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3903" windowHeight="10284" tabRatio="824" firstSheet="6" activeTab="8"/>
  </bookViews>
  <sheets>
    <sheet name="国庆7天乐|GuoqingActivity" sheetId="1" r:id="rId1"/>
    <sheet name="砸金蛋|SmashEgg" sheetId="2" r:id="rId2"/>
    <sheet name="金蛋任务|EggTask" sheetId="3" r:id="rId3"/>
    <sheet name="新手明日礼|TomorrowGift" sheetId="4" r:id="rId4"/>
    <sheet name="幸运抽抽乐|LuckyGold" sheetId="6" r:id="rId5"/>
    <sheet name="弹珠碰碰碰|MarblesCrash" sheetId="14" r:id="rId6"/>
    <sheet name="奖池|MarblesJackpot" sheetId="17" r:id="rId7"/>
    <sheet name="弹珠显示|MarblesPrice" sheetId="16" r:id="rId8"/>
    <sheet name="你游戏我买单|CashBack" sheetId="5" r:id="rId9"/>
    <sheet name="勇者斗恶龙|DragonDrop" sheetId="8" r:id="rId10"/>
    <sheet name="猴王碎片|MonkeyPaoSP" sheetId="12" r:id="rId11"/>
    <sheet name="翻牌活动|FlopActivity" sheetId="10" r:id="rId12"/>
    <sheet name="翻牌机制|FlopRule" sheetId="13" r:id="rId13"/>
    <sheet name="翻牌牌型|FlopType" sheetId="11" r:id="rId14"/>
    <sheet name="GM配置活动" sheetId="9" r:id="rId15"/>
  </sheets>
  <calcPr calcId="144525"/>
</workbook>
</file>

<file path=xl/comments1.xml><?xml version="1.0" encoding="utf-8"?>
<comments xmlns="http://schemas.openxmlformats.org/spreadsheetml/2006/main">
  <authors>
    <author>user</author>
    <author>作者</author>
  </authors>
  <commentList>
    <comment ref="X12" authorId="0">
      <text>
        <r>
          <rPr>
            <b/>
            <sz val="9"/>
            <rFont val="宋体"/>
            <charset val="134"/>
          </rPr>
          <t>user:</t>
        </r>
        <r>
          <rPr>
            <sz val="9"/>
            <rFont val="宋体"/>
            <charset val="134"/>
          </rPr>
          <t xml:space="preserve">
话费券1，客户端显示为0.1元</t>
        </r>
      </text>
    </comment>
    <comment ref="X20" authorId="1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实物价值是正常价值的2倍</t>
        </r>
      </text>
    </comment>
  </commentList>
</comments>
</file>

<file path=xl/comments2.xml><?xml version="1.0" encoding="utf-8"?>
<comments xmlns="http://schemas.openxmlformats.org/spreadsheetml/2006/main">
  <authors>
    <author>作者</author>
  </authors>
  <commentList>
    <comment ref="E4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获得金币，此处填写获得金币的途径，做之前与程序商定</t>
        </r>
      </text>
    </comment>
  </commentList>
</comments>
</file>

<file path=xl/comments3.xml><?xml version="1.0" encoding="utf-8"?>
<comments xmlns="http://schemas.openxmlformats.org/spreadsheetml/2006/main">
  <authors>
    <author>作者</author>
    <author>龙江</author>
    <author>jianlong wo</author>
  </authors>
  <commentList>
    <comment ref="E4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获得金币，此处填写获得金币的途径，做之前与程序商定</t>
        </r>
      </text>
    </comment>
    <comment ref="AH4" authorId="1">
      <text>
        <r>
          <rPr>
            <sz val="9"/>
            <rFont val="宋体"/>
            <charset val="134"/>
          </rPr>
          <t>按照平均值计算</t>
        </r>
      </text>
    </comment>
    <comment ref="AJ12" authorId="2">
      <text>
        <r>
          <rPr>
            <b/>
            <sz val="9"/>
            <rFont val="宋体"/>
            <charset val="134"/>
          </rPr>
          <t>1000福卡=1元</t>
        </r>
      </text>
    </comment>
    <comment ref="AJ20" authorId="0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实物价值是正常价值的2倍</t>
        </r>
      </text>
    </comment>
  </commentList>
</comments>
</file>

<file path=xl/comments4.xml><?xml version="1.0" encoding="utf-8"?>
<comments xmlns="http://schemas.openxmlformats.org/spreadsheetml/2006/main">
  <authors>
    <author>jianlong wo</author>
  </authors>
  <commentList>
    <comment ref="C4" authorId="0">
      <text>
        <r>
          <rPr>
            <b/>
            <sz val="9"/>
            <rFont val="宋体"/>
            <charset val="134"/>
          </rPr>
          <t>jianlong wo:</t>
        </r>
        <r>
          <rPr>
            <sz val="9"/>
            <rFont val="宋体"/>
            <charset val="134"/>
          </rPr>
          <t xml:space="preserve">
玩家注册后的</t>
        </r>
      </text>
    </comment>
    <comment ref="D4" authorId="0">
      <text>
        <r>
          <rPr>
            <b/>
            <sz val="9"/>
            <rFont val="宋体"/>
            <charset val="134"/>
          </rPr>
          <t>jianlong wo:</t>
        </r>
        <r>
          <rPr>
            <sz val="9"/>
            <rFont val="宋体"/>
            <charset val="134"/>
          </rPr>
          <t xml:space="preserve">
玩家注册后的</t>
        </r>
      </text>
    </comment>
    <comment ref="F4" authorId="0">
      <text>
        <r>
          <rPr>
            <b/>
            <sz val="9"/>
            <rFont val="宋体"/>
            <charset val="134"/>
          </rPr>
          <t>jianlong wo:</t>
        </r>
        <r>
          <rPr>
            <sz val="9"/>
            <rFont val="宋体"/>
            <charset val="134"/>
          </rPr>
          <t xml:space="preserve">
玩家注册后的</t>
        </r>
      </text>
    </comment>
    <comment ref="G4" authorId="0">
      <text>
        <r>
          <rPr>
            <b/>
            <sz val="9"/>
            <rFont val="宋体"/>
            <charset val="134"/>
          </rPr>
          <t>jianlong wo:</t>
        </r>
        <r>
          <rPr>
            <sz val="9"/>
            <rFont val="宋体"/>
            <charset val="134"/>
          </rPr>
          <t xml:space="preserve">
他俩共享次数</t>
        </r>
      </text>
    </comment>
    <comment ref="H4" authorId="0">
      <text>
        <r>
          <rPr>
            <b/>
            <sz val="9"/>
            <rFont val="宋体"/>
            <charset val="134"/>
          </rPr>
          <t>jianlong wo:</t>
        </r>
        <r>
          <rPr>
            <sz val="9"/>
            <rFont val="宋体"/>
            <charset val="134"/>
          </rPr>
          <t xml:space="preserve">
他俩共享次数</t>
        </r>
      </text>
    </comment>
  </commentList>
</comments>
</file>

<file path=xl/comments5.xml><?xml version="1.0" encoding="utf-8"?>
<comments xmlns="http://schemas.openxmlformats.org/spreadsheetml/2006/main">
  <authors>
    <author>jianlong wo</author>
  </authors>
  <commentList>
    <comment ref="U1" authorId="0">
      <text>
        <r>
          <rPr>
            <sz val="9"/>
            <rFont val="宋体"/>
            <charset val="134"/>
          </rPr>
          <t>调整后需要调整</t>
        </r>
        <r>
          <rPr>
            <b/>
            <sz val="9"/>
            <rFont val="宋体"/>
            <charset val="134"/>
          </rPr>
          <t>道具表</t>
        </r>
        <r>
          <rPr>
            <sz val="9"/>
            <rFont val="宋体"/>
            <charset val="134"/>
          </rPr>
          <t>金币、星钻价值</t>
        </r>
      </text>
    </comment>
  </commentList>
</comments>
</file>

<file path=xl/comments6.xml><?xml version="1.0" encoding="utf-8"?>
<comments xmlns="http://schemas.openxmlformats.org/spreadsheetml/2006/main">
  <authors>
    <author>user</author>
  </authors>
  <commentList>
    <comment ref="A1" authorId="0">
      <text>
        <r>
          <rPr>
            <sz val="9"/>
            <rFont val="宋体"/>
            <charset val="134"/>
          </rPr>
          <t>改完后校验一下</t>
        </r>
      </text>
    </comment>
    <comment ref="A22" authorId="0">
      <text>
        <r>
          <rPr>
            <sz val="9"/>
            <rFont val="宋体"/>
            <charset val="134"/>
          </rPr>
          <t>改完后校验一下</t>
        </r>
      </text>
    </comment>
  </commentList>
</comments>
</file>

<file path=xl/sharedStrings.xml><?xml version="1.0" encoding="utf-8"?>
<sst xmlns="http://schemas.openxmlformats.org/spreadsheetml/2006/main" count="1100" uniqueCount="509">
  <si>
    <t>cs</t>
  </si>
  <si>
    <t>c</t>
  </si>
  <si>
    <t>差额</t>
  </si>
  <si>
    <t>估算价值
百分比</t>
  </si>
  <si>
    <t>计算
奖励价值</t>
  </si>
  <si>
    <t>实际人民币价值(超级武器、金币、钻石)</t>
  </si>
  <si>
    <t>%</t>
  </si>
  <si>
    <t>实际人民币总价值</t>
  </si>
  <si>
    <t>买一送2千，阶段奖励为80%</t>
  </si>
  <si>
    <t>int</t>
  </si>
  <si>
    <t>string</t>
  </si>
  <si>
    <t>验算表</t>
  </si>
  <si>
    <t>rechargelimit</t>
  </si>
  <si>
    <t>reward</t>
  </si>
  <si>
    <t>pic</t>
  </si>
  <si>
    <t>物品1</t>
  </si>
  <si>
    <t>物品2</t>
  </si>
  <si>
    <t>物品3</t>
  </si>
  <si>
    <t>物品4</t>
  </si>
  <si>
    <t>物品5</t>
  </si>
  <si>
    <t>物品6</t>
  </si>
  <si>
    <t>充值额度</t>
  </si>
  <si>
    <t>达到该额度后玩家所得奖励</t>
  </si>
  <si>
    <t>宝箱图标</t>
  </si>
  <si>
    <t>物品名称</t>
  </si>
  <si>
    <t>物品类型</t>
  </si>
  <si>
    <t>物品id</t>
  </si>
  <si>
    <t>数量</t>
  </si>
  <si>
    <t>人民币
价值</t>
  </si>
  <si>
    <t>人民币价值</t>
  </si>
  <si>
    <t>价值
钻石价值</t>
  </si>
  <si>
    <t>id</t>
  </si>
  <si>
    <t>金币</t>
  </si>
  <si>
    <t>人民币</t>
  </si>
  <si>
    <t>超级武器1</t>
  </si>
  <si>
    <t>钻石</t>
  </si>
  <si>
    <t>green</t>
  </si>
  <si>
    <t>超级武器2</t>
  </si>
  <si>
    <t>锁定</t>
  </si>
  <si>
    <t>超级武器3</t>
  </si>
  <si>
    <t>冰冻</t>
  </si>
  <si>
    <t>lan</t>
  </si>
  <si>
    <t>狂暴</t>
  </si>
  <si>
    <t>召唤</t>
  </si>
  <si>
    <t>超级武器4</t>
  </si>
  <si>
    <t>话费券</t>
  </si>
  <si>
    <t>blue</t>
  </si>
  <si>
    <t>brown</t>
  </si>
  <si>
    <t>10元话费卡</t>
  </si>
  <si>
    <t>2元话费卡</t>
  </si>
  <si>
    <t>高压锅</t>
  </si>
  <si>
    <t>30元话费卡</t>
  </si>
  <si>
    <t>50元话费卡</t>
  </si>
  <si>
    <t>活跃度</t>
  </si>
  <si>
    <t>红包【恭】</t>
  </si>
  <si>
    <t>红包【喜】</t>
  </si>
  <si>
    <t>红包【发】</t>
  </si>
  <si>
    <t>红包【财】</t>
  </si>
  <si>
    <t>s</t>
  </si>
  <si>
    <t>每充值30元赠送一个金锤子</t>
  </si>
  <si>
    <t>满足条件的活跃按照2000算，V1及其以上玩家人数200左右</t>
  </si>
  <si>
    <t>活动期间，每天根据使用金锤子数量进行排名，前三的有弹头奖励</t>
  </si>
  <si>
    <t>drawpool</t>
  </si>
  <si>
    <t>probability</t>
  </si>
  <si>
    <t>dropVipLimit</t>
  </si>
  <si>
    <t>alllimit</t>
  </si>
  <si>
    <t>playerlimit</t>
  </si>
  <si>
    <t>recharge</t>
  </si>
  <si>
    <t>unlock</t>
  </si>
  <si>
    <t>led</t>
  </si>
  <si>
    <t>record</t>
  </si>
  <si>
    <t>zero</t>
  </si>
  <si>
    <t>序号</t>
  </si>
  <si>
    <t>分属奖池
1.金龙蛋
2.银龙蛋</t>
  </si>
  <si>
    <t>奖励内容</t>
  </si>
  <si>
    <t>抽中该奖励的权重</t>
  </si>
  <si>
    <t>掉落需要的VIP等级，大于等于该VIP</t>
  </si>
  <si>
    <r>
      <rPr>
        <sz val="9"/>
        <color theme="1"/>
        <rFont val="微软雅黑"/>
        <charset val="134"/>
      </rPr>
      <t xml:space="preserve">每日全服抽取次数上限
-1为无上限
</t>
    </r>
    <r>
      <rPr>
        <sz val="9"/>
        <color rgb="FFFF0000"/>
        <rFont val="微软雅黑"/>
        <charset val="134"/>
      </rPr>
      <t>充值或时间间隔解锁配置后生效</t>
    </r>
  </si>
  <si>
    <t>每日单个玩家抽取次数上限</t>
  </si>
  <si>
    <r>
      <rPr>
        <sz val="9"/>
        <color theme="1"/>
        <rFont val="微软雅黑"/>
        <charset val="134"/>
      </rPr>
      <t xml:space="preserve">每日全服充值n元后解锁一个此道具
</t>
    </r>
    <r>
      <rPr>
        <sz val="9"/>
        <color rgb="FFFF0000"/>
        <rFont val="微软雅黑"/>
        <charset val="134"/>
      </rPr>
      <t>每日间隔配置后此列废弃</t>
    </r>
  </si>
  <si>
    <t>每日隔n分钟后解锁一个此道具</t>
  </si>
  <si>
    <t>是否播放led
1为播放led
-1为不需要播放</t>
  </si>
  <si>
    <t>是否展示在活动界面上
1为展示
-1为不展示</t>
  </si>
  <si>
    <t>0点的时候补偿n个道具</t>
  </si>
  <si>
    <t>抽中概率</t>
  </si>
  <si>
    <t>期望值</t>
  </si>
  <si>
    <t>物品名称
辅助用到</t>
  </si>
  <si>
    <t>金币价值</t>
  </si>
  <si>
    <t>兑换价值衰减</t>
  </si>
  <si>
    <t>金币、钻石</t>
  </si>
  <si>
    <t>5元话费卡</t>
  </si>
  <si>
    <t>金蛋每日零点解锁一张50元一张30元话费，之后每充值1500元解锁一张50元、一张30元。2元5元无限制。</t>
  </si>
  <si>
    <t>双轮</t>
  </si>
  <si>
    <t>银蛋每日零点解锁100张5元，250张2元，之后不再补充。</t>
  </si>
  <si>
    <t>橄榄油</t>
  </si>
  <si>
    <t>米面礼盒</t>
  </si>
  <si>
    <t>1元话费卡</t>
  </si>
  <si>
    <t>该活动放出去后，关掉每日充值</t>
  </si>
  <si>
    <t>tesktype</t>
  </si>
  <si>
    <t>icon</t>
  </si>
  <si>
    <t>desc</t>
  </si>
  <si>
    <t>teskaim</t>
  </si>
  <si>
    <t>aimvalue</t>
  </si>
  <si>
    <t>viplevel</t>
  </si>
  <si>
    <t>weight</t>
  </si>
  <si>
    <t>continuity</t>
  </si>
  <si>
    <t>3类型任务验算</t>
  </si>
  <si>
    <r>
      <rPr>
        <sz val="10"/>
        <color theme="1"/>
        <rFont val="微软雅黑"/>
        <charset val="134"/>
      </rPr>
      <t xml:space="preserve">任务内容
</t>
    </r>
    <r>
      <rPr>
        <sz val="9"/>
        <color theme="1"/>
        <rFont val="微软雅黑"/>
        <charset val="134"/>
      </rPr>
      <t>8.当日每充值n元可获得m个金锤子
2.击杀boss获得锤子
14.游戏一定时间可获得锤子/s
3.根据当日登录游戏时解锁的最高炮倍率，对应捕鱼获得金币，</t>
    </r>
    <r>
      <rPr>
        <i/>
        <sz val="9"/>
        <color rgb="FF0070C0"/>
        <rFont val="微软雅黑"/>
        <charset val="134"/>
      </rPr>
      <t>详情炮解锁表</t>
    </r>
    <r>
      <rPr>
        <sz val="9"/>
        <color theme="1"/>
        <rFont val="微软雅黑"/>
        <charset val="134"/>
      </rPr>
      <t xml:space="preserve">
27.vipn每日登录可得锤子</t>
    </r>
  </si>
  <si>
    <t>每个任务使用的小icon（可以让美术出特定名字的图，就不用配这行了）（同福利）</t>
  </si>
  <si>
    <t>对应的文本描述</t>
  </si>
  <si>
    <t>任务目标id
根据鱼的type走
没有就写0</t>
  </si>
  <si>
    <t>任务达标需求（系数）
1为登录</t>
  </si>
  <si>
    <t>vip等级设置</t>
  </si>
  <si>
    <t>显示顺序权重
0表示没有权重</t>
  </si>
  <si>
    <t>是否为连续任务
1连续，0不连续</t>
  </si>
  <si>
    <t>物品类型和奖励内容</t>
  </si>
  <si>
    <t>vipN</t>
  </si>
  <si>
    <r>
      <rPr>
        <sz val="11"/>
        <color theme="1"/>
        <rFont val="微软雅黑"/>
        <charset val="134"/>
      </rPr>
      <t>金锤数量
/天</t>
    </r>
    <r>
      <rPr>
        <sz val="10"/>
        <color theme="1"/>
        <rFont val="微软雅黑"/>
        <charset val="134"/>
      </rPr>
      <t>（不计充值）</t>
    </r>
  </si>
  <si>
    <t>登录银锤数量
/天</t>
  </si>
  <si>
    <t>捕鱼掉落银锤数量
/天</t>
  </si>
  <si>
    <t>金币总价值</t>
  </si>
  <si>
    <t>炮倍率</t>
  </si>
  <si>
    <t>icon_renwutubiao_chongzhi_01</t>
  </si>
  <si>
    <t>eggtask_01</t>
  </si>
  <si>
    <t>2|1600|1</t>
  </si>
  <si>
    <t>icon_renwutubiao_boss_01</t>
  </si>
  <si>
    <t>eggtask_02</t>
  </si>
  <si>
    <t>icon_renwutubiao_shichang_01</t>
  </si>
  <si>
    <t>eggtask_03</t>
  </si>
  <si>
    <t>icon_renwutubiao_jinbii_01</t>
  </si>
  <si>
    <t>eggtask_04</t>
  </si>
  <si>
    <t>icon_renwutubiao_chuizi_01</t>
  </si>
  <si>
    <t>eggtask_05</t>
  </si>
  <si>
    <t>2|1601|1</t>
  </si>
  <si>
    <t>2|1601|2</t>
  </si>
  <si>
    <t>2|1601|3</t>
  </si>
  <si>
    <t>2|1601|4</t>
  </si>
  <si>
    <t>2|1601|5</t>
  </si>
  <si>
    <t>2|1601|6</t>
  </si>
  <si>
    <t>2|1601|7</t>
  </si>
  <si>
    <t>2|1601|8</t>
  </si>
  <si>
    <t>2|1601|9</t>
  </si>
  <si>
    <t>2|1601|12</t>
  </si>
  <si>
    <t>2|1601|15</t>
  </si>
  <si>
    <t>抽奖等获得的福卡按照5000金币=1福卡</t>
  </si>
  <si>
    <t>每天总共可以许愿6次，每次许愿从数量最小和最大直范围内随机一个值</t>
  </si>
  <si>
    <t>兑出按照1000福卡=15万金币（即150金币=1福卡），狂暴等道具按照金币价值来</t>
  </si>
  <si>
    <t>prize1</t>
  </si>
  <si>
    <t>prize1range</t>
  </si>
  <si>
    <t>prize2</t>
  </si>
  <si>
    <t>prize2range</t>
  </si>
  <si>
    <t>prize3</t>
  </si>
  <si>
    <t>prize3range</t>
  </si>
  <si>
    <t>prize4</t>
  </si>
  <si>
    <t>prize4range</t>
  </si>
  <si>
    <t>1000福卡=1元</t>
  </si>
  <si>
    <t>第n天</t>
  </si>
  <si>
    <t>奖品1</t>
  </si>
  <si>
    <t>奖品1范围</t>
  </si>
  <si>
    <t>奖品2</t>
  </si>
  <si>
    <t>奖品2范围</t>
  </si>
  <si>
    <t>奖品3</t>
  </si>
  <si>
    <t>奖品3范围</t>
  </si>
  <si>
    <t>奖品4</t>
  </si>
  <si>
    <t>奖品4范围</t>
  </si>
  <si>
    <t>数量最小</t>
  </si>
  <si>
    <t>数量最大</t>
  </si>
  <si>
    <t>平均值</t>
  </si>
  <si>
    <t>每天最大福卡</t>
  </si>
  <si>
    <t>1个该物品对应的价值</t>
  </si>
  <si>
    <t>钻石价值</t>
  </si>
  <si>
    <t>兑换价值</t>
  </si>
  <si>
    <t>福卡</t>
  </si>
  <si>
    <t>次留</t>
  </si>
  <si>
    <t>3留</t>
  </si>
  <si>
    <t>7留</t>
  </si>
  <si>
    <t>闪电</t>
  </si>
  <si>
    <t>会员加量卡</t>
  </si>
  <si>
    <t>Ⅰ级核弹碎片</t>
  </si>
  <si>
    <t>Ⅱ级核弹碎片</t>
  </si>
  <si>
    <t>Ⅲ级核弹碎片</t>
  </si>
  <si>
    <t>Ⅳ级核弹碎片</t>
  </si>
  <si>
    <t>正常情况下
普通翻倍钻石概率</t>
  </si>
  <si>
    <t>本次免费默认</t>
  </si>
  <si>
    <t>本次金币价值</t>
  </si>
  <si>
    <t>消耗钻石</t>
  </si>
  <si>
    <t>本次星钻默认</t>
  </si>
  <si>
    <r>
      <rPr>
        <b/>
        <sz val="10"/>
        <color theme="1"/>
        <rFont val="微软雅黑"/>
        <charset val="134"/>
      </rPr>
      <t>正常情况下</t>
    </r>
    <r>
      <rPr>
        <b/>
        <sz val="10"/>
        <color rgb="FFFF0000"/>
        <rFont val="微软雅黑"/>
        <charset val="134"/>
      </rPr>
      <t>(星钻)</t>
    </r>
    <r>
      <rPr>
        <b/>
        <sz val="10"/>
        <color theme="1"/>
        <rFont val="微软雅黑"/>
        <charset val="134"/>
      </rPr>
      <t xml:space="preserve">
超级翻倍概率</t>
    </r>
  </si>
  <si>
    <t>超级翻倍免费</t>
  </si>
  <si>
    <t>星钻默认</t>
  </si>
  <si>
    <r>
      <rPr>
        <b/>
        <sz val="10"/>
        <color theme="1"/>
        <rFont val="微软雅黑"/>
        <charset val="134"/>
      </rPr>
      <t>正常情况下</t>
    </r>
    <r>
      <rPr>
        <b/>
        <sz val="10"/>
        <color rgb="FFFF0000"/>
        <rFont val="微软雅黑"/>
        <charset val="134"/>
      </rPr>
      <t>（福卡）</t>
    </r>
    <r>
      <rPr>
        <b/>
        <sz val="10"/>
        <color theme="1"/>
        <rFont val="微软雅黑"/>
        <charset val="134"/>
      </rPr>
      <t xml:space="preserve">
超级翻倍概率</t>
    </r>
  </si>
  <si>
    <t>福卡默认</t>
  </si>
  <si>
    <t>与40倍的比值</t>
  </si>
  <si>
    <t>key</t>
  </si>
  <si>
    <t>ptId</t>
  </si>
  <si>
    <t>ptweightFree</t>
  </si>
  <si>
    <t>ptweightGroup</t>
  </si>
  <si>
    <t>cjId</t>
  </si>
  <si>
    <t>cjweightFree</t>
  </si>
  <si>
    <t>cjweightGroup</t>
  </si>
  <si>
    <t>cjweightQuan</t>
  </si>
  <si>
    <t>基础金币</t>
  </si>
  <si>
    <t xml:space="preserve">
</t>
  </si>
  <si>
    <t>平均倍数</t>
  </si>
  <si>
    <t>编号</t>
  </si>
  <si>
    <t>倍数</t>
  </si>
  <si>
    <t>普通翻倍（免费）
[0,x]中0表示默认概率
第N次权重</t>
  </si>
  <si>
    <r>
      <rPr>
        <sz val="9"/>
        <color theme="1"/>
        <rFont val="微软雅黑"/>
        <charset val="134"/>
      </rPr>
      <t>普通翻倍（钻石</t>
    </r>
    <r>
      <rPr>
        <sz val="9"/>
        <color theme="1"/>
        <rFont val="微软雅黑"/>
        <charset val="134"/>
      </rPr>
      <t>）
[0,x]中0表示默认概率
第N次权重</t>
    </r>
  </si>
  <si>
    <t>倍数范围</t>
  </si>
  <si>
    <r>
      <rPr>
        <sz val="9"/>
        <color theme="1"/>
        <rFont val="微软雅黑"/>
        <charset val="134"/>
      </rPr>
      <t>超级翻倍</t>
    </r>
    <r>
      <rPr>
        <sz val="9"/>
        <color rgb="FFFF0000"/>
        <rFont val="微软雅黑"/>
        <charset val="134"/>
      </rPr>
      <t>(免费）</t>
    </r>
    <r>
      <rPr>
        <sz val="9"/>
        <color theme="1"/>
        <rFont val="微软雅黑"/>
        <charset val="134"/>
      </rPr>
      <t xml:space="preserve">
[0,x]中0表示默认概率
第N次权重</t>
    </r>
  </si>
  <si>
    <r>
      <rPr>
        <sz val="9"/>
        <color theme="1"/>
        <rFont val="微软雅黑"/>
        <charset val="134"/>
      </rPr>
      <t>超级翻倍（钻石</t>
    </r>
    <r>
      <rPr>
        <sz val="9"/>
        <color theme="1"/>
        <rFont val="微软雅黑"/>
        <charset val="134"/>
      </rPr>
      <t>）
[0,x]中0表示默认概率
第N次权重</t>
    </r>
  </si>
  <si>
    <t>超级翻倍（福卡）
[0,x]中0表示默认概率
第N次权重</t>
  </si>
  <si>
    <t>翻倍钻石</t>
  </si>
  <si>
    <t>权重</t>
  </si>
  <si>
    <t>概率</t>
  </si>
  <si>
    <t>平均金币</t>
  </si>
  <si>
    <t>实际价值</t>
  </si>
  <si>
    <t>玩家购买钻石时不增加充值池子</t>
  </si>
  <si>
    <t>即实际上1钻石=2万金币</t>
  </si>
  <si>
    <t>然后按照1：0.99下调了星钻翻倍的概率</t>
  </si>
  <si>
    <r>
      <rPr>
        <sz val="10"/>
        <color theme="1"/>
        <rFont val="微软雅黑"/>
        <charset val="134"/>
      </rPr>
      <t>c</t>
    </r>
    <r>
      <rPr>
        <sz val="11"/>
        <color theme="1"/>
        <rFont val="宋体"/>
        <charset val="134"/>
        <scheme val="minor"/>
      </rPr>
      <t>s</t>
    </r>
  </si>
  <si>
    <t>itemId</t>
  </si>
  <si>
    <t>type</t>
  </si>
  <si>
    <t>skin</t>
  </si>
  <si>
    <t>奖励编号</t>
  </si>
  <si>
    <t>弹珠道具id</t>
  </si>
  <si>
    <t>奖励类型
1固定，2巨奖，3大奖，4小奖</t>
  </si>
  <si>
    <t>奖励桶显示区分：
1固定，2巨奖，3大奖，4小奖，5固定中要突出的奖</t>
  </si>
  <si>
    <t>奖品</t>
  </si>
  <si>
    <t>权重，走动态权重则配0</t>
  </si>
  <si>
    <t>1|2|180000</t>
  </si>
  <si>
    <t>1|2|60000</t>
  </si>
  <si>
    <t>1|2|100000</t>
  </si>
  <si>
    <t>1|2|50000</t>
  </si>
  <si>
    <t>1|2|90000</t>
  </si>
  <si>
    <t>1|2|350000</t>
  </si>
  <si>
    <t>1|2|80000</t>
  </si>
  <si>
    <t>1|2|120000</t>
  </si>
  <si>
    <t>1|2|30000</t>
  </si>
  <si>
    <t>1|2|500000</t>
  </si>
  <si>
    <t>1|2|750000</t>
  </si>
  <si>
    <t>1|2|200000</t>
  </si>
  <si>
    <t>1|2|250000</t>
  </si>
  <si>
    <t>1|2|1500000</t>
  </si>
  <si>
    <t>1|2|300000</t>
  </si>
  <si>
    <t>1|2|150000</t>
  </si>
  <si>
    <t>1|2|2500000</t>
  </si>
  <si>
    <t>1|2|2000000</t>
  </si>
  <si>
    <t>1|2|600000</t>
  </si>
  <si>
    <t>1|2|1000000</t>
  </si>
  <si>
    <t>1|2|6000000</t>
  </si>
  <si>
    <t>1|2|900000</t>
  </si>
  <si>
    <t>1|2|1800000</t>
  </si>
  <si>
    <t>1|2|14000000</t>
  </si>
  <si>
    <t>CS</t>
  </si>
  <si>
    <t>float</t>
  </si>
  <si>
    <t>bigwinper</t>
  </si>
  <si>
    <t>midwinMultiple</t>
  </si>
  <si>
    <t>rewardEXpect</t>
  </si>
  <si>
    <t>smallwinExpect</t>
  </si>
  <si>
    <t>smallwinShow</t>
  </si>
  <si>
    <t>smallwinAdd</t>
  </si>
  <si>
    <t>AaddChangeTime</t>
  </si>
  <si>
    <t>AaddChangeNum</t>
  </si>
  <si>
    <t>AaddChangeMax</t>
  </si>
  <si>
    <t>AaddChangeTime1</t>
  </si>
  <si>
    <t>AaddChangeNum1</t>
  </si>
  <si>
    <t>AaddChangeMin</t>
  </si>
  <si>
    <t>AaddChangeTime2</t>
  </si>
  <si>
    <t>AaddChangeNum2</t>
  </si>
  <si>
    <t>jackpotTrackXZtime</t>
  </si>
  <si>
    <t>jackpotTrackXZRange</t>
  </si>
  <si>
    <t>大奖倍数</t>
  </si>
  <si>
    <t>中奖倍数</t>
  </si>
  <si>
    <t>返奖期望</t>
  </si>
  <si>
    <t>小奖金额期望</t>
  </si>
  <si>
    <t>小奖金额初始值</t>
  </si>
  <si>
    <t>小奖每秒累加值</t>
  </si>
  <si>
    <t>随机间隔（秒）</t>
  </si>
  <si>
    <t>随机增加值</t>
  </si>
  <si>
    <t>小奖超过这个值，走后面的随机时间和范围</t>
  </si>
  <si>
    <t>每10s随机1次</t>
  </si>
  <si>
    <t>随机范围</t>
  </si>
  <si>
    <t>小奖低于这个值，走后面的随机时间和范围</t>
  </si>
  <si>
    <t>奖金池修正时间间隔，秒</t>
  </si>
  <si>
    <t>1200秒后强制的修正范围</t>
  </si>
  <si>
    <t>[[25,-18900,0],[25,-28900,15120],[20,-67800,36820],[10,-56710,66446],[20,0,0]]</t>
  </si>
  <si>
    <t>[[70,-47259,2835],[30,0,0]]</t>
  </si>
  <si>
    <t>[[70,-2835,47259],[30,0,0]]</t>
  </si>
  <si>
    <t>need</t>
  </si>
  <si>
    <r>
      <rPr>
        <sz val="10"/>
        <color theme="1"/>
        <rFont val="微软雅黑"/>
        <charset val="134"/>
      </rPr>
      <t>r</t>
    </r>
    <r>
      <rPr>
        <sz val="11"/>
        <color theme="1"/>
        <rFont val="宋体"/>
        <charset val="134"/>
        <scheme val="minor"/>
      </rPr>
      <t>eward</t>
    </r>
  </si>
  <si>
    <t>商品编号</t>
  </si>
  <si>
    <t>消耗</t>
  </si>
  <si>
    <t>奖励</t>
  </si>
  <si>
    <t>1|1|50</t>
  </si>
  <si>
    <t>2|1605|10</t>
  </si>
  <si>
    <t>1|1|200</t>
  </si>
  <si>
    <t>2|1606|10</t>
  </si>
  <si>
    <t>1|1|500</t>
  </si>
  <si>
    <t>2|1607|10</t>
  </si>
  <si>
    <t>clockin</t>
  </si>
  <si>
    <t>get</t>
  </si>
  <si>
    <t>getAlternate</t>
  </si>
  <si>
    <t>addpay</t>
  </si>
  <si>
    <t>第n天打卡需充值的金额（根据序号为第n天）</t>
  </si>
  <si>
    <t>完成第n日打卡所得买单券数量（序号为第n天）</t>
  </si>
  <si>
    <t>替补奖励</t>
  </si>
  <si>
    <r>
      <rPr>
        <sz val="10"/>
        <color theme="1"/>
        <rFont val="微软雅黑"/>
        <charset val="134"/>
      </rPr>
      <t>第n次补卡需充值的金额（根据序号为第n</t>
    </r>
    <r>
      <rPr>
        <b/>
        <sz val="10"/>
        <color theme="1"/>
        <rFont val="微软雅黑"/>
        <charset val="134"/>
      </rPr>
      <t>次</t>
    </r>
    <r>
      <rPr>
        <sz val="10"/>
        <color theme="1"/>
        <rFont val="微软雅黑"/>
        <charset val="134"/>
      </rPr>
      <t>补卡）</t>
    </r>
  </si>
  <si>
    <t>2|1210|1</t>
  </si>
  <si>
    <t>1|7|50</t>
  </si>
  <si>
    <t>客户端展示为固定展示，配置展示哪些内容</t>
  </si>
  <si>
    <t>金币价值(闪电)</t>
  </si>
  <si>
    <t>星钻价格</t>
  </si>
  <si>
    <t>dropItem</t>
  </si>
  <si>
    <t>isValuable</t>
  </si>
  <si>
    <t>isNum</t>
  </si>
  <si>
    <t>showPosition</t>
  </si>
  <si>
    <t>dropWeight</t>
  </si>
  <si>
    <t>dropWeight10</t>
  </si>
  <si>
    <t>fullServiceLimit</t>
  </si>
  <si>
    <t>singleLimit</t>
  </si>
  <si>
    <r>
      <rPr>
        <sz val="10"/>
        <color theme="1"/>
        <rFont val="微软雅黑"/>
        <charset val="134"/>
      </rPr>
      <t>vip</t>
    </r>
    <r>
      <rPr>
        <sz val="10"/>
        <color theme="1"/>
        <rFont val="微软雅黑"/>
        <charset val="134"/>
      </rPr>
      <t>Limit</t>
    </r>
  </si>
  <si>
    <t>修正后星钻</t>
  </si>
  <si>
    <t>掉落物品和数量</t>
  </si>
  <si>
    <t>是否按照贵
重物品显示
0否，1是</t>
  </si>
  <si>
    <r>
      <rPr>
        <sz val="10"/>
        <color theme="1"/>
        <rFont val="微软雅黑"/>
        <charset val="134"/>
      </rPr>
      <t xml:space="preserve">显示图片
</t>
    </r>
    <r>
      <rPr>
        <sz val="8"/>
        <color theme="1"/>
        <rFont val="微软雅黑"/>
        <charset val="134"/>
      </rPr>
      <t>如果配置显示配置图片，否则显示默认图片</t>
    </r>
  </si>
  <si>
    <t>是否显示具体值
0否，1是</t>
  </si>
  <si>
    <t>展示位置，图片中
从左下顺时针开始为1号位置</t>
  </si>
  <si>
    <t>攻击一次
掉落权重</t>
  </si>
  <si>
    <t>攻击十次
掉落权重</t>
  </si>
  <si>
    <r>
      <rPr>
        <sz val="10"/>
        <color theme="1"/>
        <rFont val="微软雅黑"/>
        <charset val="134"/>
      </rPr>
      <t xml:space="preserve">全服每日上限
</t>
    </r>
    <r>
      <rPr>
        <sz val="8"/>
        <color rgb="FFFF0000"/>
        <rFont val="微软雅黑"/>
        <charset val="134"/>
      </rPr>
      <t>-1表示无上限</t>
    </r>
  </si>
  <si>
    <r>
      <rPr>
        <sz val="10"/>
        <color theme="1"/>
        <rFont val="微软雅黑"/>
        <charset val="134"/>
      </rPr>
      <t xml:space="preserve">每人每天获得上限
</t>
    </r>
    <r>
      <rPr>
        <sz val="8"/>
        <color rgb="FFFF0000"/>
        <rFont val="微软雅黑"/>
        <charset val="134"/>
      </rPr>
      <t>-1表示无上限</t>
    </r>
  </si>
  <si>
    <t>抽到该档位需要
vip等级限制</t>
  </si>
  <si>
    <t>是否进入led播放：
0不进入
1进入B类led
2进入B+类</t>
  </si>
  <si>
    <t>辅助
xx万金币</t>
  </si>
  <si>
    <r>
      <rPr>
        <b/>
        <sz val="10"/>
        <color theme="1"/>
        <rFont val="微软雅黑"/>
        <charset val="134"/>
      </rPr>
      <t>攻击一次</t>
    </r>
    <r>
      <rPr>
        <sz val="10"/>
        <color theme="1"/>
        <rFont val="微软雅黑"/>
        <charset val="134"/>
      </rPr>
      <t xml:space="preserve">
掉落权重</t>
    </r>
  </si>
  <si>
    <t>掉落概率
辅助</t>
  </si>
  <si>
    <r>
      <rPr>
        <b/>
        <sz val="10"/>
        <color theme="0"/>
        <rFont val="微软雅黑"/>
        <charset val="134"/>
      </rPr>
      <t>攻击十次</t>
    </r>
    <r>
      <rPr>
        <sz val="10"/>
        <color theme="0"/>
        <rFont val="微软雅黑"/>
        <charset val="134"/>
      </rPr>
      <t xml:space="preserve">
掉落权重</t>
    </r>
  </si>
  <si>
    <t>1次</t>
  </si>
  <si>
    <t>10次</t>
  </si>
  <si>
    <t>ic_zg1y_01</t>
  </si>
  <si>
    <t>福卡计入福卡池子上限(福卡渔鱼潮上线)</t>
  </si>
  <si>
    <t>spNum</t>
  </si>
  <si>
    <t>tiyankaid</t>
  </si>
  <si>
    <t>times</t>
  </si>
  <si>
    <t>兑换体验卡需要碎片</t>
  </si>
  <si>
    <t>体验卡</t>
  </si>
  <si>
    <t>活动期间可兑换次数</t>
  </si>
  <si>
    <t>碎片id</t>
  </si>
  <si>
    <t>碎片个数</t>
  </si>
  <si>
    <t>兑换体验卡id</t>
  </si>
  <si>
    <t>1天体验卡</t>
  </si>
  <si>
    <t>3天体验卡</t>
  </si>
  <si>
    <t>5天体验卡</t>
  </si>
  <si>
    <r>
      <rPr>
        <sz val="11"/>
        <color rgb="FFFF0000"/>
        <rFont val="微软雅黑"/>
        <charset val="134"/>
      </rPr>
      <t>修改后记得调整</t>
    </r>
    <r>
      <rPr>
        <b/>
        <sz val="11"/>
        <color rgb="FFFF0000"/>
        <rFont val="微软雅黑"/>
        <charset val="134"/>
      </rPr>
      <t>全局表</t>
    </r>
    <r>
      <rPr>
        <sz val="11"/>
        <color rgb="FFFF0000"/>
        <rFont val="微软雅黑"/>
        <charset val="134"/>
      </rPr>
      <t>掉落上限，鱼属性表掉落节奏！！！</t>
    </r>
  </si>
  <si>
    <t>iconFrame</t>
  </si>
  <si>
    <t>isHit</t>
  </si>
  <si>
    <r>
      <rPr>
        <sz val="10"/>
        <color theme="1"/>
        <rFont val="微软雅黑"/>
        <charset val="134"/>
      </rPr>
      <t xml:space="preserve">牌id
</t>
    </r>
    <r>
      <rPr>
        <sz val="9"/>
        <color theme="1"/>
        <rFont val="微软雅黑"/>
        <charset val="134"/>
      </rPr>
      <t>黄金鱼1_a、黄金鱼1_b
黄金鱼1_c、黄金鱼1_d，
黄金鱼2_a、黄金鱼2_b、
黄金鱼2_c、黄金鱼2_d，
黄金鱼3_a、黄金鱼3_b、
黄金鱼3_c、黄金鱼3_d，
黄金鱼4_a、黄金鱼4_b、
黄金鱼4_c、黄金鱼4_d，
银财神、金财神</t>
    </r>
  </si>
  <si>
    <r>
      <rPr>
        <sz val="10"/>
        <color theme="1"/>
        <rFont val="微软雅黑"/>
        <charset val="134"/>
      </rPr>
      <t xml:space="preserve">牌型：
</t>
    </r>
    <r>
      <rPr>
        <sz val="9"/>
        <color theme="1"/>
        <rFont val="微软雅黑"/>
        <charset val="134"/>
      </rPr>
      <t>1、黄金鱼1，2、黄金鱼2
3、黄金鱼3，4、黄金鱼4
5、银财神，6、金财神</t>
    </r>
  </si>
  <si>
    <t>icon边框</t>
  </si>
  <si>
    <t>是否为首次
必中牌id
0否，1是</t>
  </si>
  <si>
    <t>价值</t>
  </si>
  <si>
    <t>牌类型</t>
  </si>
  <si>
    <t>ic_fkhd_01</t>
  </si>
  <si>
    <t>ui_fl_kb_02</t>
  </si>
  <si>
    <t>黄金鱼1</t>
  </si>
  <si>
    <t>黄金鱼2</t>
  </si>
  <si>
    <t>黄金鱼3</t>
  </si>
  <si>
    <t>黄金鱼4</t>
  </si>
  <si>
    <t>ic_fkhd_02</t>
  </si>
  <si>
    <t>银财神</t>
  </si>
  <si>
    <t>金财神</t>
  </si>
  <si>
    <t>ic_fkhd_03</t>
  </si>
  <si>
    <t>ic_fkhd_04</t>
  </si>
  <si>
    <t>翻牌</t>
  </si>
  <si>
    <t>翻到该牌的概率</t>
  </si>
  <si>
    <t>翻牌次数</t>
  </si>
  <si>
    <t>财神概率</t>
  </si>
  <si>
    <t>基础牌概率</t>
  </si>
  <si>
    <t>情况1</t>
  </si>
  <si>
    <t>情况2</t>
  </si>
  <si>
    <t>情况3</t>
  </si>
  <si>
    <t>情况4</t>
  </si>
  <si>
    <t>情况5</t>
  </si>
  <si>
    <t>情况6</t>
  </si>
  <si>
    <t>情况7</t>
  </si>
  <si>
    <t>情况8</t>
  </si>
  <si>
    <t>1张</t>
  </si>
  <si>
    <t>ic_fkhd_05</t>
  </si>
  <si>
    <t>ui_fl_kb_03</t>
  </si>
  <si>
    <t>2张相同</t>
  </si>
  <si>
    <t>2张不同</t>
  </si>
  <si>
    <t>ui_fl_kb_04</t>
  </si>
  <si>
    <t>3张相同</t>
  </si>
  <si>
    <t>3张不同</t>
  </si>
  <si>
    <t>2张相同+1张其他</t>
  </si>
  <si>
    <t>4张相同</t>
  </si>
  <si>
    <t>3张相同+1张其他</t>
  </si>
  <si>
    <t>2张相同+2张相同</t>
  </si>
  <si>
    <t>2张相同+2张其他</t>
  </si>
  <si>
    <t>4张不同</t>
  </si>
  <si>
    <t>财神</t>
  </si>
  <si>
    <t>4张相同+1张其他</t>
  </si>
  <si>
    <t>3张相同+2张相同</t>
  </si>
  <si>
    <t>2张相同+2张相同+1张其他</t>
  </si>
  <si>
    <t>2张相同+3张其他</t>
  </si>
  <si>
    <t>4张相同+2张相同</t>
  </si>
  <si>
    <t>4张相同+2张其他</t>
  </si>
  <si>
    <t>3张相同+2张相同+1张其他</t>
  </si>
  <si>
    <t>3张相同+3张其他</t>
  </si>
  <si>
    <t>2张相同+2张相同+2张相同</t>
  </si>
  <si>
    <t>2张相同+2张相同+2张其他</t>
  </si>
  <si>
    <t>4张相同+3张相同</t>
  </si>
  <si>
    <t>4张相同+2张相同+1张其他</t>
  </si>
  <si>
    <t>3张相同+3张相同+1张其他</t>
  </si>
  <si>
    <t>3张相同+2张相同+2张相同</t>
  </si>
  <si>
    <t>3张相同+2张相同+2张其他</t>
  </si>
  <si>
    <t>4张相同+4张相同</t>
  </si>
  <si>
    <t>4张相同+3张相同+1张其他</t>
  </si>
  <si>
    <t>3张相同+3张相同+2张相同</t>
  </si>
  <si>
    <t>3张相同+3张相同+2张其他</t>
  </si>
  <si>
    <t>3张相同+2张相同+2张相同+1张其他</t>
  </si>
  <si>
    <t>2张相同+2张相同+2张相同+2张相同</t>
  </si>
  <si>
    <t>财神单独计算概率</t>
  </si>
  <si>
    <t>4张相同+4张相同+1张其他</t>
  </si>
  <si>
    <t>4张相同+3张相同+2张相同</t>
  </si>
  <si>
    <t>4张相同+3张相同+2张其他</t>
  </si>
  <si>
    <t>3张相同+3张相同+3张相同</t>
  </si>
  <si>
    <t>3张相同+3张相同+2张相同+1张其他</t>
  </si>
  <si>
    <t>3张相同+2张相同+2张相同+2张相同</t>
  </si>
  <si>
    <t>4张相同+4张相同+2张相同</t>
  </si>
  <si>
    <t>4张相同+4张相同+2张其他</t>
  </si>
  <si>
    <t>4张相同+3张相同+3张相同</t>
  </si>
  <si>
    <t>4张相同+3张相同+2张相同+1张其他</t>
  </si>
  <si>
    <t>4张相同+3张相同+1张相同+2张其他</t>
  </si>
  <si>
    <t>G</t>
  </si>
  <si>
    <t>10万次数据</t>
  </si>
  <si>
    <t>特殊处理的2-3必中财神</t>
  </si>
  <si>
    <t>金币值G</t>
  </si>
  <si>
    <t>元</t>
  </si>
  <si>
    <t>次数</t>
  </si>
  <si>
    <t>赠送金币%</t>
  </si>
  <si>
    <t>金币平均值</t>
  </si>
  <si>
    <t>金或银财神次数</t>
  </si>
  <si>
    <t>最小</t>
  </si>
  <si>
    <t>最大</t>
  </si>
  <si>
    <t>des</t>
  </si>
  <si>
    <t>group</t>
  </si>
  <si>
    <t>rewardShow</t>
  </si>
  <si>
    <t>牌型</t>
  </si>
  <si>
    <t>描述</t>
  </si>
  <si>
    <t>奖励组,填写数字对应牌型</t>
  </si>
  <si>
    <r>
      <rPr>
        <sz val="10"/>
        <color theme="1"/>
        <rFont val="微软雅黑"/>
        <charset val="134"/>
      </rPr>
      <t>1固定，2随机(</t>
    </r>
    <r>
      <rPr>
        <sz val="8"/>
        <color theme="1"/>
        <rFont val="微软雅黑"/>
        <charset val="134"/>
      </rPr>
      <t>包含固定和随机)</t>
    </r>
    <r>
      <rPr>
        <sz val="10"/>
        <color theme="1"/>
        <rFont val="微软雅黑"/>
        <charset val="134"/>
      </rPr>
      <t xml:space="preserve">
</t>
    </r>
  </si>
  <si>
    <t>是否显示再中奖记录中
0不显示，1显示</t>
  </si>
  <si>
    <t>Flopdes_1</t>
  </si>
  <si>
    <t>[[1],[2],[3],[4]]</t>
  </si>
  <si>
    <t>1|2|88888</t>
  </si>
  <si>
    <t>基础</t>
  </si>
  <si>
    <t>Flopdes_2</t>
  </si>
  <si>
    <t>[[1,1],[2,2],[3,3],[4,4]]</t>
  </si>
  <si>
    <t>1|2|888888</t>
  </si>
  <si>
    <t>对子，例如凑齐2个黄金鱼1即为对子</t>
  </si>
  <si>
    <t>Flopdes_3</t>
  </si>
  <si>
    <t>[[1,1,1],[2,2,2],[3,3,3],[4,4,4]]</t>
  </si>
  <si>
    <t>1|2|8888888</t>
  </si>
  <si>
    <t>三条，例如凑齐3个黄金鱼1即为三条</t>
  </si>
  <si>
    <t>Flopdes_4</t>
  </si>
  <si>
    <t>[[1,1,1,1],[2,2,2,2],[3,3,3,3],[4,4,4,4]]</t>
  </si>
  <si>
    <t>1|2|18888888</t>
  </si>
  <si>
    <t>四条</t>
  </si>
  <si>
    <t>Flopdes_5</t>
  </si>
  <si>
    <t>[[5]]</t>
  </si>
  <si>
    <t>1|2|10888888</t>
  </si>
  <si>
    <t>Flopdes_6</t>
  </si>
  <si>
    <t>[[6]]</t>
  </si>
  <si>
    <t>从范围内和从数值内随机</t>
  </si>
  <si>
    <t>Flopdes_7</t>
  </si>
  <si>
    <t>[[5,6]]</t>
  </si>
  <si>
    <t>最后一档显示"奖池30%"</t>
  </si>
  <si>
    <t>金银财神都凑齐</t>
  </si>
  <si>
    <t>30%大奖情况</t>
  </si>
  <si>
    <t>55008888,56188888</t>
  </si>
  <si>
    <t>http://www.bejson.com/</t>
  </si>
  <si>
    <r>
      <rPr>
        <sz val="11"/>
        <color theme="1"/>
        <rFont val="微软雅黑"/>
        <charset val="134"/>
      </rPr>
      <t>GM配置</t>
    </r>
    <r>
      <rPr>
        <b/>
        <sz val="11"/>
        <color theme="1"/>
        <rFont val="微软雅黑"/>
        <charset val="134"/>
      </rPr>
      <t>累计</t>
    </r>
    <r>
      <rPr>
        <sz val="11"/>
        <color theme="1"/>
        <rFont val="微软雅黑"/>
        <charset val="134"/>
      </rPr>
      <t>充值</t>
    </r>
  </si>
  <si>
    <t>grade</t>
  </si>
  <si>
    <t>prize</t>
  </si>
  <si>
    <t>兑出按照1000福卡=15万金币，狂暴等道具按照金币价值来</t>
  </si>
  <si>
    <t>档位编号</t>
  </si>
  <si>
    <t>充值档位</t>
  </si>
  <si>
    <t>充值档位完成后可领取的奖励</t>
  </si>
  <si>
    <t>档位价值</t>
  </si>
  <si>
    <t>档位金币价值</t>
  </si>
  <si>
    <t>奖励
金币价值</t>
  </si>
  <si>
    <t>奖励占档位比</t>
  </si>
  <si>
    <t>不考虑道具时
奖励金币价值</t>
  </si>
  <si>
    <t>不考虑道具占比</t>
  </si>
  <si>
    <t>""</t>
  </si>
  <si>
    <t>[[1,10,"",["2|1005|1","2|1003|5","2|1603|1"]],[2,50,"",["2|1005|2","2|1003|10","2|1603|6"]],[3,100,"",["2|1005|3","2|1003|20","2|1603|8"]],[4,200,"",["2|1006|2","2|1003|30","2|1603|18"]],[5,500,"",["2|1006|5","2|1003|50","2|1603|38"]],[6,1000,"",["2|1007|5","2|1003|100","2|1603|58"]],[7,2000,"",["2|1007|10","2|1003|200","2|1603|88"]],[8,3000,"",["2|1008|5","2|1003|300","2|1603|98"]],[9,5000,"",["2|1008|20","2|1003|500","2|1603|168"]]]</t>
  </si>
  <si>
    <r>
      <rPr>
        <sz val="11"/>
        <color theme="1"/>
        <rFont val="微软雅黑"/>
        <charset val="134"/>
      </rPr>
      <t>GM配置</t>
    </r>
    <r>
      <rPr>
        <b/>
        <sz val="11"/>
        <color rgb="FFFF0000"/>
        <rFont val="微软雅黑"/>
        <charset val="134"/>
      </rPr>
      <t>充值翻牌子</t>
    </r>
  </si>
  <si>
    <t>进度条位置</t>
  </si>
  <si>
    <t>充值到该档位累计增加翻牌次数</t>
  </si>
  <si>
    <t>{ money: 6, frequency: 1, progress: 0.0458 },</t>
  </si>
  <si>
    <t>{ money: 50, frequency: 1, progress: 0.113 },</t>
  </si>
  <si>
    <t>{ money: 100, frequency: 1, progress: 0.1802 },</t>
  </si>
  <si>
    <t>{ money: 300, frequency: 1, progress: 0.2813 },</t>
  </si>
  <si>
    <t>{ money: 600, frequency: 2, progress: 0.4207 },</t>
  </si>
  <si>
    <t>{ money: 1000, frequency: 2, progress: 0.5833 },</t>
  </si>
  <si>
    <t>{ money: 1500, frequency: 2, progress: 0.7711 },</t>
  </si>
  <si>
    <t>{ money: 2000, frequency: 3, progress: 0.9561 },</t>
  </si>
</sst>
</file>

<file path=xl/styles.xml><?xml version="1.0" encoding="utf-8"?>
<styleSheet xmlns="http://schemas.openxmlformats.org/spreadsheetml/2006/main">
  <numFmts count="9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176" formatCode="0.0%"/>
    <numFmt numFmtId="177" formatCode="0.00_);[Red]\(0.00\)"/>
    <numFmt numFmtId="178" formatCode="0.000000%"/>
    <numFmt numFmtId="179" formatCode="0.0000%"/>
    <numFmt numFmtId="180" formatCode="0.0000E+00"/>
  </numFmts>
  <fonts count="45">
    <font>
      <sz val="11"/>
      <color theme="1"/>
      <name val="宋体"/>
      <charset val="134"/>
      <scheme val="minor"/>
    </font>
    <font>
      <sz val="11"/>
      <color theme="1"/>
      <name val="微软雅黑"/>
      <charset val="134"/>
    </font>
    <font>
      <u/>
      <sz val="11"/>
      <color theme="10"/>
      <name val="宋体"/>
      <charset val="134"/>
      <scheme val="minor"/>
    </font>
    <font>
      <sz val="10"/>
      <color theme="1"/>
      <name val="微软雅黑"/>
      <charset val="134"/>
    </font>
    <font>
      <b/>
      <sz val="11"/>
      <color rgb="FFFF0000"/>
      <name val="微软雅黑"/>
      <charset val="134"/>
    </font>
    <font>
      <sz val="8"/>
      <color theme="1"/>
      <name val="微软雅黑"/>
      <charset val="134"/>
    </font>
    <font>
      <sz val="9"/>
      <color theme="1"/>
      <name val="微软雅黑"/>
      <charset val="134"/>
    </font>
    <font>
      <b/>
      <sz val="11"/>
      <color theme="1"/>
      <name val="微软雅黑"/>
      <charset val="134"/>
    </font>
    <font>
      <b/>
      <sz val="8"/>
      <color theme="1"/>
      <name val="微软雅黑"/>
      <charset val="134"/>
    </font>
    <font>
      <sz val="6"/>
      <color theme="1"/>
      <name val="微软雅黑"/>
      <charset val="134"/>
    </font>
    <font>
      <b/>
      <sz val="10"/>
      <color theme="1"/>
      <name val="微软雅黑"/>
      <charset val="134"/>
    </font>
    <font>
      <sz val="8"/>
      <color rgb="FFFF0000"/>
      <name val="微软雅黑"/>
      <charset val="134"/>
    </font>
    <font>
      <b/>
      <sz val="10"/>
      <color theme="0"/>
      <name val="微软雅黑"/>
      <charset val="134"/>
    </font>
    <font>
      <sz val="9"/>
      <color rgb="FFFF0000"/>
      <name val="微软雅黑"/>
      <charset val="134"/>
    </font>
    <font>
      <sz val="11"/>
      <color rgb="FFFF0000"/>
      <name val="微软雅黑"/>
      <charset val="134"/>
    </font>
    <font>
      <sz val="10"/>
      <color rgb="FF7030A0"/>
      <name val="微软雅黑"/>
      <charset val="134"/>
    </font>
    <font>
      <sz val="10"/>
      <color rgb="FFFF0000"/>
      <name val="微软雅黑"/>
      <charset val="134"/>
    </font>
    <font>
      <sz val="10"/>
      <color theme="0"/>
      <name val="微软雅黑"/>
      <charset val="134"/>
    </font>
    <font>
      <sz val="8"/>
      <color rgb="FF000000"/>
      <name val="微软雅黑"/>
      <charset val="134"/>
    </font>
    <font>
      <b/>
      <sz val="8"/>
      <color rgb="FF7030A0"/>
      <name val="微软雅黑"/>
      <charset val="134"/>
    </font>
    <font>
      <sz val="11"/>
      <color rgb="FFFF0000"/>
      <name val="宋体"/>
      <charset val="134"/>
      <scheme val="minor"/>
    </font>
    <font>
      <b/>
      <sz val="11"/>
      <color rgb="FF7030A0"/>
      <name val="微软雅黑"/>
      <charset val="134"/>
    </font>
    <font>
      <u/>
      <sz val="11"/>
      <color theme="1"/>
      <name val="微软雅黑"/>
      <charset val="134"/>
    </font>
    <font>
      <b/>
      <sz val="11"/>
      <color rgb="FF3F3F3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0061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0"/>
      <color rgb="FFFF0000"/>
      <name val="微软雅黑"/>
      <charset val="134"/>
    </font>
    <font>
      <i/>
      <sz val="9"/>
      <color rgb="FF0070C0"/>
      <name val="微软雅黑"/>
      <charset val="134"/>
    </font>
    <font>
      <b/>
      <sz val="9"/>
      <name val="宋体"/>
      <charset val="134"/>
    </font>
    <font>
      <sz val="9"/>
      <name val="宋体"/>
      <charset val="134"/>
    </font>
  </fonts>
  <fills count="54">
    <fill>
      <patternFill patternType="none"/>
    </fill>
    <fill>
      <patternFill patternType="gray125"/>
    </fill>
    <fill>
      <patternFill patternType="solid">
        <fgColor theme="3" tint="0.79961546678060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731437116611"/>
        <bgColor indexed="64"/>
      </patternFill>
    </fill>
    <fill>
      <patternFill patternType="solid">
        <fgColor theme="6" tint="0.399761955626087"/>
        <bgColor indexed="64"/>
      </patternFill>
    </fill>
    <fill>
      <patternFill patternType="solid">
        <fgColor theme="3" tint="0.39973143711661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3" tint="0.399761955626087"/>
        <bgColor indexed="64"/>
      </patternFill>
    </fill>
    <fill>
      <patternFill patternType="solid">
        <fgColor theme="3" tint="0.79970702230903"/>
        <bgColor indexed="64"/>
      </patternFill>
    </fill>
    <fill>
      <patternFill patternType="solid">
        <fgColor theme="3" tint="0.799676503799554"/>
        <bgColor indexed="64"/>
      </patternFill>
    </fill>
    <fill>
      <patternFill patternType="solid">
        <fgColor theme="8" tint="0.399914548173467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3" tint="0.799645985290078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79955442976165"/>
        <bgColor indexed="64"/>
      </patternFill>
    </fill>
    <fill>
      <patternFill patternType="solid">
        <fgColor theme="3" tint="0.799523911252174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723807489242"/>
        <bgColor indexed="64"/>
      </patternFill>
    </fill>
    <fill>
      <patternFill patternType="solid">
        <fgColor theme="6" tint="0.399578844569231"/>
        <bgColor indexed="64"/>
      </patternFill>
    </fill>
    <fill>
      <patternFill patternType="solid">
        <fgColor theme="3" tint="0.399578844569231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/>
    <xf numFmtId="42" fontId="0" fillId="0" borderId="0" applyFont="0" applyFill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4" fillId="27" borderId="1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34" fillId="3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2" fillId="39" borderId="0" applyNumberFormat="0" applyBorder="0" applyAlignment="0" applyProtection="0">
      <alignment vertical="center"/>
    </xf>
    <xf numFmtId="0" fontId="2" fillId="0" borderId="0" applyNumberFormat="0" applyFill="0" applyBorder="0" applyAlignment="0" applyProtection="0"/>
    <xf numFmtId="9" fontId="0" fillId="0" borderId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35" borderId="23" applyNumberFormat="0" applyFont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3" fillId="0" borderId="21" applyNumberFormat="0" applyFill="0" applyAlignment="0" applyProtection="0">
      <alignment vertical="center"/>
    </xf>
    <xf numFmtId="0" fontId="30" fillId="0" borderId="21" applyNumberFormat="0" applyFill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28" fillId="0" borderId="22" applyNumberFormat="0" applyFill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23" fillId="26" borderId="17" applyNumberFormat="0" applyAlignment="0" applyProtection="0">
      <alignment vertical="center"/>
    </xf>
    <xf numFmtId="0" fontId="40" fillId="26" borderId="18" applyNumberFormat="0" applyAlignment="0" applyProtection="0">
      <alignment vertical="center"/>
    </xf>
    <xf numFmtId="0" fontId="29" fillId="28" borderId="20" applyNumberFormat="0" applyAlignment="0" applyProtection="0">
      <alignment vertical="center"/>
    </xf>
    <xf numFmtId="0" fontId="25" fillId="43" borderId="0" applyNumberFormat="0" applyBorder="0" applyAlignment="0" applyProtection="0">
      <alignment vertical="center"/>
    </xf>
    <xf numFmtId="0" fontId="32" fillId="45" borderId="0" applyNumberFormat="0" applyBorder="0" applyAlignment="0" applyProtection="0">
      <alignment vertical="center"/>
    </xf>
    <xf numFmtId="0" fontId="38" fillId="0" borderId="24" applyNumberFormat="0" applyFill="0" applyAlignment="0" applyProtection="0">
      <alignment vertical="center"/>
    </xf>
    <xf numFmtId="0" fontId="26" fillId="0" borderId="19" applyNumberFormat="0" applyFill="0" applyAlignment="0" applyProtection="0">
      <alignment vertical="center"/>
    </xf>
    <xf numFmtId="0" fontId="36" fillId="40" borderId="0" applyNumberFormat="0" applyBorder="0" applyAlignment="0" applyProtection="0">
      <alignment vertical="center"/>
    </xf>
    <xf numFmtId="0" fontId="35" fillId="37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32" fillId="46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32" fillId="48" borderId="0" applyNumberFormat="0" applyBorder="0" applyAlignment="0" applyProtection="0">
      <alignment vertical="center"/>
    </xf>
    <xf numFmtId="0" fontId="32" fillId="49" borderId="0" applyNumberFormat="0" applyBorder="0" applyAlignment="0" applyProtection="0">
      <alignment vertical="center"/>
    </xf>
    <xf numFmtId="0" fontId="25" fillId="44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32" fillId="47" borderId="0" applyNumberFormat="0" applyBorder="0" applyAlignment="0" applyProtection="0">
      <alignment vertical="center"/>
    </xf>
    <xf numFmtId="0" fontId="25" fillId="42" borderId="0" applyNumberFormat="0" applyBorder="0" applyAlignment="0" applyProtection="0">
      <alignment vertical="center"/>
    </xf>
    <xf numFmtId="0" fontId="32" fillId="50" borderId="0" applyNumberFormat="0" applyBorder="0" applyAlignment="0" applyProtection="0">
      <alignment vertical="center"/>
    </xf>
    <xf numFmtId="0" fontId="32" fillId="51" borderId="0" applyNumberFormat="0" applyBorder="0" applyAlignment="0" applyProtection="0">
      <alignment vertical="center"/>
    </xf>
    <xf numFmtId="0" fontId="25" fillId="52" borderId="0" applyNumberFormat="0" applyBorder="0" applyAlignment="0" applyProtection="0">
      <alignment vertical="center"/>
    </xf>
    <xf numFmtId="0" fontId="32" fillId="53" borderId="0" applyNumberFormat="0" applyBorder="0" applyAlignment="0" applyProtection="0">
      <alignment vertical="center"/>
    </xf>
  </cellStyleXfs>
  <cellXfs count="220">
    <xf numFmtId="0" fontId="0" fillId="0" borderId="0" xfId="0"/>
    <xf numFmtId="0" fontId="1" fillId="0" borderId="0" xfId="0" applyFont="1" applyAlignment="1">
      <alignment horizontal="left"/>
    </xf>
    <xf numFmtId="0" fontId="1" fillId="0" borderId="0" xfId="0" applyFont="1" applyAlignment="1">
      <alignment horizontal="left" vertical="center"/>
    </xf>
    <xf numFmtId="0" fontId="2" fillId="0" borderId="0" xfId="10"/>
    <xf numFmtId="0" fontId="3" fillId="2" borderId="1" xfId="0" applyFont="1" applyFill="1" applyBorder="1" applyAlignment="1">
      <alignment horizontal="left"/>
    </xf>
    <xf numFmtId="0" fontId="4" fillId="0" borderId="0" xfId="0" applyFont="1" applyAlignment="1">
      <alignment horizontal="left"/>
    </xf>
    <xf numFmtId="0" fontId="1" fillId="0" borderId="0" xfId="0" applyFont="1" applyAlignment="1">
      <alignment wrapText="1"/>
    </xf>
    <xf numFmtId="0" fontId="1" fillId="3" borderId="0" xfId="0" applyFont="1" applyFill="1" applyAlignment="1">
      <alignment horizontal="left"/>
    </xf>
    <xf numFmtId="0" fontId="5" fillId="2" borderId="1" xfId="0" applyFont="1" applyFill="1" applyBorder="1" applyAlignment="1">
      <alignment horizontal="left" vertical="top" wrapText="1"/>
    </xf>
    <xf numFmtId="0" fontId="6" fillId="0" borderId="0" xfId="0" applyFont="1" applyAlignment="1">
      <alignment horizontal="left"/>
    </xf>
    <xf numFmtId="0" fontId="6" fillId="0" borderId="0" xfId="0" applyFont="1" applyAlignment="1">
      <alignment wrapText="1"/>
    </xf>
    <xf numFmtId="0" fontId="1" fillId="0" borderId="2" xfId="0" applyFont="1" applyBorder="1" applyAlignment="1">
      <alignment horizontal="left"/>
    </xf>
    <xf numFmtId="0" fontId="1" fillId="0" borderId="0" xfId="0" applyFont="1" applyBorder="1" applyAlignment="1">
      <alignment horizontal="left"/>
    </xf>
    <xf numFmtId="0" fontId="1" fillId="0" borderId="3" xfId="0" applyFont="1" applyBorder="1" applyAlignment="1">
      <alignment horizontal="left" vertical="center"/>
    </xf>
    <xf numFmtId="0" fontId="1" fillId="0" borderId="4" xfId="0" applyFont="1" applyBorder="1" applyAlignment="1">
      <alignment horizontal="left"/>
    </xf>
    <xf numFmtId="0" fontId="1" fillId="0" borderId="5" xfId="0" applyFont="1" applyBorder="1" applyAlignment="1">
      <alignment horizontal="left"/>
    </xf>
    <xf numFmtId="0" fontId="1" fillId="0" borderId="6" xfId="0" applyFont="1" applyBorder="1" applyAlignment="1">
      <alignment horizontal="left" vertical="center"/>
    </xf>
    <xf numFmtId="0" fontId="7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1" fillId="0" borderId="0" xfId="0" applyFont="1" applyAlignment="1">
      <alignment vertical="center" wrapText="1"/>
    </xf>
    <xf numFmtId="10" fontId="9" fillId="0" borderId="0" xfId="11" applyNumberFormat="1" applyFont="1" applyAlignment="1">
      <alignment horizontal="left"/>
    </xf>
    <xf numFmtId="0" fontId="0" fillId="0" borderId="0" xfId="0" applyFont="1"/>
    <xf numFmtId="0" fontId="10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0" fillId="4" borderId="0" xfId="0" applyFont="1" applyFill="1" applyAlignment="1">
      <alignment horizontal="center" vertical="center"/>
    </xf>
    <xf numFmtId="0" fontId="6" fillId="0" borderId="0" xfId="0" applyFont="1" applyAlignment="1">
      <alignment horizontal="left" vertical="center"/>
    </xf>
    <xf numFmtId="176" fontId="6" fillId="0" borderId="0" xfId="11" applyNumberFormat="1" applyFont="1" applyAlignment="1">
      <alignment horizontal="left"/>
    </xf>
    <xf numFmtId="0" fontId="6" fillId="0" borderId="0" xfId="11" applyNumberFormat="1" applyFont="1" applyAlignment="1">
      <alignment horizontal="left"/>
    </xf>
    <xf numFmtId="9" fontId="6" fillId="0" borderId="0" xfId="11" applyNumberFormat="1" applyFont="1" applyAlignment="1">
      <alignment horizontal="left"/>
    </xf>
    <xf numFmtId="0" fontId="3" fillId="3" borderId="0" xfId="0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0" fontId="3" fillId="0" borderId="0" xfId="0" applyFont="1" applyAlignment="1">
      <alignment horizontal="left" vertical="center"/>
    </xf>
    <xf numFmtId="9" fontId="1" fillId="0" borderId="0" xfId="11" applyNumberFormat="1" applyFont="1" applyAlignment="1">
      <alignment horizontal="left"/>
    </xf>
    <xf numFmtId="0" fontId="10" fillId="5" borderId="0" xfId="0" applyFont="1" applyFill="1" applyAlignment="1">
      <alignment horizontal="center" vertical="center"/>
    </xf>
    <xf numFmtId="0" fontId="10" fillId="6" borderId="0" xfId="0" applyFont="1" applyFill="1" applyAlignment="1">
      <alignment horizontal="center" vertical="center"/>
    </xf>
    <xf numFmtId="0" fontId="12" fillId="7" borderId="0" xfId="0" applyFont="1" applyFill="1" applyAlignment="1">
      <alignment horizontal="center" vertical="center"/>
    </xf>
    <xf numFmtId="0" fontId="10" fillId="8" borderId="0" xfId="0" applyFont="1" applyFill="1" applyAlignment="1">
      <alignment horizontal="center" vertical="center"/>
    </xf>
    <xf numFmtId="176" fontId="13" fillId="0" borderId="0" xfId="11" applyNumberFormat="1" applyFont="1" applyFill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" fillId="0" borderId="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left" vertical="center"/>
    </xf>
    <xf numFmtId="0" fontId="1" fillId="0" borderId="8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/>
    </xf>
    <xf numFmtId="0" fontId="1" fillId="0" borderId="0" xfId="0" applyFont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0" fontId="1" fillId="3" borderId="0" xfId="0" applyFont="1" applyFill="1" applyBorder="1" applyAlignment="1">
      <alignment horizontal="left" vertical="center"/>
    </xf>
    <xf numFmtId="0" fontId="3" fillId="0" borderId="0" xfId="0" applyNumberFormat="1" applyFont="1" applyBorder="1" applyAlignment="1">
      <alignment horizontal="left" vertical="center"/>
    </xf>
    <xf numFmtId="0" fontId="1" fillId="0" borderId="0" xfId="0" applyNumberFormat="1" applyFont="1" applyBorder="1" applyAlignment="1">
      <alignment horizontal="left" vertical="center"/>
    </xf>
    <xf numFmtId="0" fontId="1" fillId="0" borderId="4" xfId="0" applyFont="1" applyBorder="1" applyAlignment="1">
      <alignment horizontal="left" vertical="center"/>
    </xf>
    <xf numFmtId="0" fontId="1" fillId="0" borderId="5" xfId="0" applyFont="1" applyBorder="1" applyAlignment="1">
      <alignment horizontal="left" vertical="center"/>
    </xf>
    <xf numFmtId="0" fontId="1" fillId="0" borderId="9" xfId="0" applyFont="1" applyBorder="1" applyAlignment="1">
      <alignment horizontal="left" vertical="center"/>
    </xf>
    <xf numFmtId="0" fontId="3" fillId="9" borderId="1" xfId="0" applyFont="1" applyFill="1" applyBorder="1" applyAlignment="1">
      <alignment horizontal="left"/>
    </xf>
    <xf numFmtId="0" fontId="3" fillId="10" borderId="1" xfId="0" applyFont="1" applyFill="1" applyBorder="1" applyAlignment="1">
      <alignment horizontal="left"/>
    </xf>
    <xf numFmtId="0" fontId="3" fillId="10" borderId="1" xfId="0" applyFont="1" applyFill="1" applyBorder="1" applyAlignment="1">
      <alignment horizontal="left" vertical="center"/>
    </xf>
    <xf numFmtId="0" fontId="3" fillId="10" borderId="1" xfId="0" applyFont="1" applyFill="1" applyBorder="1" applyAlignment="1">
      <alignment horizontal="left" vertical="center" wrapText="1"/>
    </xf>
    <xf numFmtId="0" fontId="6" fillId="0" borderId="0" xfId="0" applyNumberFormat="1" applyFont="1" applyAlignment="1">
      <alignment horizontal="left"/>
    </xf>
    <xf numFmtId="49" fontId="1" fillId="0" borderId="0" xfId="0" applyNumberFormat="1" applyFont="1" applyAlignment="1">
      <alignment horizontal="left"/>
    </xf>
    <xf numFmtId="0" fontId="3" fillId="0" borderId="0" xfId="0" applyFont="1" applyAlignment="1">
      <alignment horizontal="left"/>
    </xf>
    <xf numFmtId="10" fontId="1" fillId="0" borderId="0" xfId="0" applyNumberFormat="1" applyFont="1" applyAlignment="1">
      <alignment horizontal="left"/>
    </xf>
    <xf numFmtId="10" fontId="1" fillId="0" borderId="0" xfId="11" applyNumberFormat="1" applyFont="1" applyAlignment="1">
      <alignment horizontal="left"/>
    </xf>
    <xf numFmtId="0" fontId="1" fillId="0" borderId="0" xfId="0" applyFont="1"/>
    <xf numFmtId="0" fontId="3" fillId="0" borderId="0" xfId="0" applyFont="1"/>
    <xf numFmtId="0" fontId="6" fillId="0" borderId="0" xfId="0" applyFont="1"/>
    <xf numFmtId="9" fontId="6" fillId="0" borderId="0" xfId="0" applyNumberFormat="1" applyFont="1" applyAlignment="1">
      <alignment horizontal="left"/>
    </xf>
    <xf numFmtId="0" fontId="5" fillId="0" borderId="0" xfId="0" applyFont="1"/>
    <xf numFmtId="0" fontId="11" fillId="0" borderId="0" xfId="0" applyFont="1"/>
    <xf numFmtId="0" fontId="5" fillId="10" borderId="1" xfId="0" applyFont="1" applyFill="1" applyBorder="1" applyAlignment="1">
      <alignment horizontal="left" vertical="center"/>
    </xf>
    <xf numFmtId="0" fontId="14" fillId="0" borderId="0" xfId="0" applyFont="1"/>
    <xf numFmtId="0" fontId="15" fillId="9" borderId="1" xfId="0" applyFont="1" applyFill="1" applyBorder="1" applyAlignment="1">
      <alignment horizontal="left"/>
    </xf>
    <xf numFmtId="0" fontId="6" fillId="10" borderId="1" xfId="0" applyFont="1" applyFill="1" applyBorder="1" applyAlignment="1">
      <alignment horizontal="left" vertical="center" wrapText="1"/>
    </xf>
    <xf numFmtId="0" fontId="3" fillId="9" borderId="1" xfId="0" applyFont="1" applyFill="1" applyBorder="1" applyAlignment="1">
      <alignment horizontal="left" vertical="center" wrapText="1"/>
    </xf>
    <xf numFmtId="0" fontId="15" fillId="9" borderId="1" xfId="0" applyFont="1" applyFill="1" applyBorder="1" applyAlignment="1">
      <alignment horizontal="left" vertical="center" wrapText="1"/>
    </xf>
    <xf numFmtId="0" fontId="3" fillId="9" borderId="1" xfId="0" applyFont="1" applyFill="1" applyBorder="1" applyAlignment="1">
      <alignment horizontal="left" vertical="center"/>
    </xf>
    <xf numFmtId="0" fontId="6" fillId="9" borderId="1" xfId="0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14" fillId="0" borderId="0" xfId="0" applyFont="1" applyAlignment="1">
      <alignment horizontal="left"/>
    </xf>
    <xf numFmtId="177" fontId="1" fillId="0" borderId="0" xfId="0" applyNumberFormat="1" applyFont="1" applyAlignment="1">
      <alignment horizontal="left"/>
    </xf>
    <xf numFmtId="0" fontId="1" fillId="0" borderId="0" xfId="0" applyNumberFormat="1" applyFont="1" applyAlignment="1">
      <alignment horizontal="left"/>
    </xf>
    <xf numFmtId="0" fontId="3" fillId="0" borderId="1" xfId="0" applyFont="1" applyFill="1" applyBorder="1" applyAlignment="1">
      <alignment horizontal="left" vertical="center"/>
    </xf>
    <xf numFmtId="0" fontId="3" fillId="11" borderId="1" xfId="0" applyFont="1" applyFill="1" applyBorder="1" applyAlignment="1">
      <alignment horizontal="left" vertical="center" wrapText="1"/>
    </xf>
    <xf numFmtId="0" fontId="17" fillId="12" borderId="1" xfId="0" applyFont="1" applyFill="1" applyBorder="1" applyAlignment="1">
      <alignment horizontal="left" vertical="center" wrapText="1"/>
    </xf>
    <xf numFmtId="178" fontId="1" fillId="0" borderId="0" xfId="11" applyNumberFormat="1" applyFont="1" applyAlignment="1">
      <alignment horizontal="left"/>
    </xf>
    <xf numFmtId="0" fontId="14" fillId="0" borderId="0" xfId="0" applyFont="1" applyAlignment="1">
      <alignment horizontal="left" vertical="center"/>
    </xf>
    <xf numFmtId="0" fontId="1" fillId="0" borderId="7" xfId="0" applyFont="1" applyBorder="1" applyAlignment="1">
      <alignment horizontal="left" vertical="center" wrapText="1"/>
    </xf>
    <xf numFmtId="0" fontId="1" fillId="0" borderId="3" xfId="0" applyFont="1" applyFill="1" applyBorder="1" applyAlignment="1">
      <alignment horizontal="left" vertical="center"/>
    </xf>
    <xf numFmtId="0" fontId="3" fillId="0" borderId="0" xfId="0" applyNumberFormat="1" applyFont="1" applyFill="1" applyBorder="1" applyAlignment="1">
      <alignment horizontal="left" vertical="center"/>
    </xf>
    <xf numFmtId="0" fontId="1" fillId="0" borderId="5" xfId="0" applyFont="1" applyFill="1" applyBorder="1" applyAlignment="1">
      <alignment horizontal="left" vertical="center"/>
    </xf>
    <xf numFmtId="0" fontId="1" fillId="0" borderId="6" xfId="0" applyFont="1" applyFill="1" applyBorder="1" applyAlignment="1">
      <alignment horizontal="left" vertical="center"/>
    </xf>
    <xf numFmtId="0" fontId="1" fillId="0" borderId="0" xfId="0" applyFont="1" applyFill="1" applyAlignment="1">
      <alignment horizontal="left" vertical="center"/>
    </xf>
    <xf numFmtId="0" fontId="1" fillId="0" borderId="7" xfId="0" applyFont="1" applyBorder="1" applyAlignment="1">
      <alignment horizontal="left" vertical="center"/>
    </xf>
    <xf numFmtId="0" fontId="1" fillId="0" borderId="8" xfId="0" applyFont="1" applyFill="1" applyBorder="1" applyAlignment="1">
      <alignment horizontal="left" vertical="center"/>
    </xf>
    <xf numFmtId="0" fontId="1" fillId="0" borderId="9" xfId="0" applyFont="1" applyFill="1" applyBorder="1" applyAlignment="1">
      <alignment horizontal="left" vertical="center"/>
    </xf>
    <xf numFmtId="0" fontId="6" fillId="0" borderId="2" xfId="0" applyFont="1" applyBorder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9" fontId="1" fillId="0" borderId="0" xfId="11" applyFont="1" applyFill="1" applyAlignment="1">
      <alignment horizontal="left" vertical="center"/>
    </xf>
    <xf numFmtId="0" fontId="1" fillId="0" borderId="0" xfId="0" applyFont="1" applyFill="1" applyAlignment="1">
      <alignment horizontal="left" vertical="center" wrapText="1"/>
    </xf>
    <xf numFmtId="0" fontId="3" fillId="13" borderId="1" xfId="0" applyFont="1" applyFill="1" applyBorder="1" applyAlignment="1">
      <alignment horizontal="left"/>
    </xf>
    <xf numFmtId="0" fontId="3" fillId="13" borderId="1" xfId="0" applyFont="1" applyFill="1" applyBorder="1" applyAlignment="1">
      <alignment horizontal="left" wrapText="1"/>
    </xf>
    <xf numFmtId="0" fontId="0" fillId="0" borderId="0" xfId="0" applyBorder="1"/>
    <xf numFmtId="0" fontId="18" fillId="14" borderId="10" xfId="0" applyFont="1" applyFill="1" applyBorder="1" applyAlignment="1">
      <alignment vertical="center"/>
    </xf>
    <xf numFmtId="0" fontId="18" fillId="14" borderId="11" xfId="0" applyFont="1" applyFill="1" applyBorder="1" applyAlignment="1">
      <alignment vertical="center"/>
    </xf>
    <xf numFmtId="0" fontId="18" fillId="14" borderId="12" xfId="0" applyFont="1" applyFill="1" applyBorder="1" applyAlignment="1">
      <alignment vertical="center" wrapText="1"/>
    </xf>
    <xf numFmtId="0" fontId="18" fillId="14" borderId="13" xfId="0" applyFont="1" applyFill="1" applyBorder="1" applyAlignment="1">
      <alignment vertical="center" wrapText="1"/>
    </xf>
    <xf numFmtId="0" fontId="19" fillId="0" borderId="0" xfId="0" applyFont="1" applyBorder="1" applyAlignment="1">
      <alignment vertical="center"/>
    </xf>
    <xf numFmtId="0" fontId="19" fillId="0" borderId="0" xfId="0" applyNumberFormat="1" applyFont="1" applyBorder="1" applyAlignment="1">
      <alignment horizontal="left" vertical="center"/>
    </xf>
    <xf numFmtId="9" fontId="0" fillId="0" borderId="0" xfId="0" applyNumberFormat="1"/>
    <xf numFmtId="49" fontId="5" fillId="0" borderId="0" xfId="0" applyNumberFormat="1" applyFont="1" applyAlignment="1">
      <alignment horizontal="left" vertical="center"/>
    </xf>
    <xf numFmtId="49" fontId="19" fillId="0" borderId="0" xfId="0" applyNumberFormat="1" applyFont="1" applyAlignment="1">
      <alignment horizontal="left" vertical="center"/>
    </xf>
    <xf numFmtId="0" fontId="19" fillId="0" borderId="0" xfId="0" applyNumberFormat="1" applyFont="1" applyAlignment="1">
      <alignment horizontal="left" vertical="center"/>
    </xf>
    <xf numFmtId="0" fontId="3" fillId="10" borderId="0" xfId="0" applyFont="1" applyFill="1" applyBorder="1" applyAlignment="1">
      <alignment horizontal="left"/>
    </xf>
    <xf numFmtId="0" fontId="3" fillId="10" borderId="1" xfId="0" applyFont="1" applyFill="1" applyBorder="1" applyAlignment="1">
      <alignment horizontal="left" wrapText="1"/>
    </xf>
    <xf numFmtId="0" fontId="0" fillId="15" borderId="0" xfId="0" applyFill="1"/>
    <xf numFmtId="0" fontId="0" fillId="16" borderId="0" xfId="0" applyFill="1"/>
    <xf numFmtId="0" fontId="0" fillId="17" borderId="0" xfId="0" applyFill="1"/>
    <xf numFmtId="179" fontId="1" fillId="0" borderId="0" xfId="0" applyNumberFormat="1" applyFont="1" applyFill="1" applyAlignment="1">
      <alignment horizontal="left" vertical="center"/>
    </xf>
    <xf numFmtId="0" fontId="3" fillId="13" borderId="1" xfId="0" applyFont="1" applyFill="1" applyBorder="1" applyAlignment="1">
      <alignment horizontal="left" vertical="center"/>
    </xf>
    <xf numFmtId="0" fontId="6" fillId="13" borderId="1" xfId="0" applyFont="1" applyFill="1" applyBorder="1" applyAlignment="1">
      <alignment horizontal="left" wrapText="1"/>
    </xf>
    <xf numFmtId="0" fontId="6" fillId="0" borderId="0" xfId="0" applyFont="1" applyFill="1" applyAlignment="1">
      <alignment horizontal="left" vertical="center"/>
    </xf>
    <xf numFmtId="0" fontId="3" fillId="18" borderId="0" xfId="0" applyFont="1" applyFill="1" applyAlignment="1">
      <alignment horizontal="center" vertical="center" wrapText="1"/>
    </xf>
    <xf numFmtId="0" fontId="14" fillId="0" borderId="0" xfId="0" applyFont="1" applyFill="1" applyAlignment="1">
      <alignment horizontal="left" vertical="center"/>
    </xf>
    <xf numFmtId="0" fontId="1" fillId="0" borderId="0" xfId="0" applyNumberFormat="1" applyFont="1" applyFill="1" applyAlignment="1">
      <alignment horizontal="left" vertical="center"/>
    </xf>
    <xf numFmtId="0" fontId="3" fillId="0" borderId="0" xfId="0" applyFont="1" applyFill="1" applyAlignment="1">
      <alignment horizontal="center" vertical="center"/>
    </xf>
    <xf numFmtId="0" fontId="10" fillId="0" borderId="0" xfId="0" applyFont="1" applyFill="1" applyAlignment="1">
      <alignment horizontal="left" vertical="center"/>
    </xf>
    <xf numFmtId="179" fontId="3" fillId="0" borderId="0" xfId="0" applyNumberFormat="1" applyFont="1" applyFill="1" applyAlignment="1">
      <alignment horizontal="left" vertical="center"/>
    </xf>
    <xf numFmtId="0" fontId="10" fillId="19" borderId="0" xfId="0" applyFont="1" applyFill="1" applyAlignment="1">
      <alignment horizontal="center" vertical="center" wrapText="1"/>
    </xf>
    <xf numFmtId="0" fontId="16" fillId="0" borderId="0" xfId="0" applyFont="1" applyFill="1" applyAlignment="1">
      <alignment horizontal="left" vertical="center"/>
    </xf>
    <xf numFmtId="3" fontId="3" fillId="0" borderId="0" xfId="0" applyNumberFormat="1" applyFont="1" applyFill="1" applyAlignment="1">
      <alignment horizontal="left" vertical="center"/>
    </xf>
    <xf numFmtId="0" fontId="3" fillId="0" borderId="0" xfId="0" applyNumberFormat="1" applyFont="1" applyFill="1" applyAlignment="1">
      <alignment horizontal="left" vertical="center"/>
    </xf>
    <xf numFmtId="0" fontId="0" fillId="0" borderId="0" xfId="0" applyAlignment="1">
      <alignment horizontal="left"/>
    </xf>
    <xf numFmtId="0" fontId="3" fillId="20" borderId="1" xfId="0" applyFont="1" applyFill="1" applyBorder="1" applyAlignment="1">
      <alignment horizontal="left"/>
    </xf>
    <xf numFmtId="0" fontId="6" fillId="9" borderId="1" xfId="0" applyFont="1" applyFill="1" applyBorder="1" applyAlignment="1">
      <alignment vertical="center" wrapText="1"/>
    </xf>
    <xf numFmtId="0" fontId="20" fillId="0" borderId="0" xfId="0" applyFont="1"/>
    <xf numFmtId="0" fontId="14" fillId="3" borderId="2" xfId="0" applyFont="1" applyFill="1" applyBorder="1" applyAlignment="1">
      <alignment horizontal="left" vertical="center"/>
    </xf>
    <xf numFmtId="0" fontId="21" fillId="3" borderId="0" xfId="0" applyFont="1" applyFill="1" applyBorder="1" applyAlignment="1">
      <alignment horizontal="left" vertical="center"/>
    </xf>
    <xf numFmtId="0" fontId="21" fillId="3" borderId="3" xfId="0" applyFont="1" applyFill="1" applyBorder="1" applyAlignment="1">
      <alignment horizontal="left" vertical="center"/>
    </xf>
    <xf numFmtId="0" fontId="14" fillId="3" borderId="4" xfId="0" applyFont="1" applyFill="1" applyBorder="1" applyAlignment="1">
      <alignment horizontal="left" vertical="center"/>
    </xf>
    <xf numFmtId="0" fontId="21" fillId="3" borderId="5" xfId="0" applyFont="1" applyFill="1" applyBorder="1" applyAlignment="1">
      <alignment horizontal="left" vertical="center"/>
    </xf>
    <xf numFmtId="0" fontId="21" fillId="3" borderId="6" xfId="0" applyFont="1" applyFill="1" applyBorder="1" applyAlignment="1">
      <alignment horizontal="left" vertical="center"/>
    </xf>
    <xf numFmtId="0" fontId="14" fillId="3" borderId="14" xfId="0" applyFont="1" applyFill="1" applyBorder="1" applyAlignment="1">
      <alignment horizontal="left" vertical="center"/>
    </xf>
    <xf numFmtId="0" fontId="14" fillId="3" borderId="15" xfId="0" applyFont="1" applyFill="1" applyBorder="1" applyAlignment="1">
      <alignment horizontal="left" vertical="center"/>
    </xf>
    <xf numFmtId="0" fontId="14" fillId="3" borderId="16" xfId="0" applyFont="1" applyFill="1" applyBorder="1" applyAlignment="1">
      <alignment horizontal="left" vertical="center"/>
    </xf>
    <xf numFmtId="0" fontId="14" fillId="3" borderId="0" xfId="0" applyFont="1" applyFill="1" applyBorder="1" applyAlignment="1">
      <alignment horizontal="left" vertical="center"/>
    </xf>
    <xf numFmtId="0" fontId="3" fillId="0" borderId="0" xfId="0" applyFont="1" applyFill="1" applyAlignment="1">
      <alignment horizontal="left" vertical="center" wrapText="1"/>
    </xf>
    <xf numFmtId="0" fontId="14" fillId="0" borderId="0" xfId="0" applyFont="1" applyAlignment="1">
      <alignment horizontal="left" vertical="center" wrapText="1"/>
    </xf>
    <xf numFmtId="0" fontId="14" fillId="3" borderId="3" xfId="0" applyFont="1" applyFill="1" applyBorder="1" applyAlignment="1">
      <alignment horizontal="left" vertical="center"/>
    </xf>
    <xf numFmtId="9" fontId="1" fillId="0" borderId="0" xfId="11" applyFont="1" applyAlignment="1">
      <alignment horizontal="left" vertical="center"/>
    </xf>
    <xf numFmtId="9" fontId="1" fillId="3" borderId="0" xfId="11" applyFont="1" applyFill="1" applyAlignment="1">
      <alignment horizontal="left" vertical="center"/>
    </xf>
    <xf numFmtId="0" fontId="3" fillId="21" borderId="1" xfId="0" applyFont="1" applyFill="1" applyBorder="1" applyAlignment="1">
      <alignment horizontal="left"/>
    </xf>
    <xf numFmtId="0" fontId="6" fillId="10" borderId="1" xfId="0" applyFont="1" applyFill="1" applyBorder="1" applyAlignment="1">
      <alignment vertical="center" wrapText="1"/>
    </xf>
    <xf numFmtId="0" fontId="3" fillId="13" borderId="1" xfId="0" applyFont="1" applyFill="1" applyBorder="1" applyAlignment="1">
      <alignment horizontal="left" vertical="center" wrapText="1"/>
    </xf>
    <xf numFmtId="0" fontId="3" fillId="0" borderId="0" xfId="0" applyFont="1" applyFill="1" applyAlignment="1">
      <alignment horizontal="left"/>
    </xf>
    <xf numFmtId="0" fontId="1" fillId="22" borderId="0" xfId="0" applyFont="1" applyFill="1" applyAlignment="1">
      <alignment horizontal="left"/>
    </xf>
    <xf numFmtId="0" fontId="1" fillId="0" borderId="0" xfId="0" applyFont="1" applyAlignment="1">
      <alignment horizontal="left" wrapText="1"/>
    </xf>
    <xf numFmtId="0" fontId="4" fillId="3" borderId="0" xfId="0" applyFont="1" applyFill="1" applyAlignment="1">
      <alignment horizontal="left"/>
    </xf>
    <xf numFmtId="0" fontId="6" fillId="13" borderId="14" xfId="0" applyFont="1" applyFill="1" applyBorder="1" applyAlignment="1">
      <alignment horizontal="left" vertical="center"/>
    </xf>
    <xf numFmtId="0" fontId="6" fillId="13" borderId="14" xfId="0" applyFont="1" applyFill="1" applyBorder="1" applyAlignment="1">
      <alignment horizontal="left" vertical="center" wrapText="1"/>
    </xf>
    <xf numFmtId="0" fontId="6" fillId="13" borderId="1" xfId="0" applyFont="1" applyFill="1" applyBorder="1" applyAlignment="1">
      <alignment horizontal="left" vertical="center" wrapText="1"/>
    </xf>
    <xf numFmtId="0" fontId="6" fillId="13" borderId="1" xfId="0" applyFont="1" applyFill="1" applyBorder="1" applyAlignment="1">
      <alignment horizontal="left" vertical="top" wrapText="1"/>
    </xf>
    <xf numFmtId="0" fontId="1" fillId="0" borderId="7" xfId="0" applyFont="1" applyBorder="1" applyAlignment="1">
      <alignment horizontal="left"/>
    </xf>
    <xf numFmtId="0" fontId="1" fillId="0" borderId="8" xfId="0" applyFont="1" applyBorder="1" applyAlignment="1">
      <alignment horizontal="left"/>
    </xf>
    <xf numFmtId="0" fontId="1" fillId="0" borderId="8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left"/>
    </xf>
    <xf numFmtId="0" fontId="1" fillId="0" borderId="5" xfId="0" applyFont="1" applyFill="1" applyBorder="1" applyAlignment="1">
      <alignment horizontal="left"/>
    </xf>
    <xf numFmtId="179" fontId="14" fillId="22" borderId="8" xfId="11" applyNumberFormat="1" applyFont="1" applyFill="1" applyBorder="1" applyAlignment="1">
      <alignment horizontal="left"/>
    </xf>
    <xf numFmtId="0" fontId="1" fillId="0" borderId="8" xfId="11" applyNumberFormat="1" applyFont="1" applyBorder="1" applyAlignment="1">
      <alignment horizontal="left"/>
    </xf>
    <xf numFmtId="179" fontId="14" fillId="22" borderId="0" xfId="11" applyNumberFormat="1" applyFont="1" applyFill="1" applyBorder="1" applyAlignment="1">
      <alignment horizontal="left"/>
    </xf>
    <xf numFmtId="0" fontId="1" fillId="0" borderId="0" xfId="11" applyNumberFormat="1" applyFont="1" applyBorder="1" applyAlignment="1">
      <alignment horizontal="left"/>
    </xf>
    <xf numFmtId="10" fontId="1" fillId="0" borderId="0" xfId="11" applyNumberFormat="1" applyFont="1" applyBorder="1" applyAlignment="1">
      <alignment horizontal="left"/>
    </xf>
    <xf numFmtId="10" fontId="1" fillId="0" borderId="3" xfId="11" applyNumberFormat="1" applyFont="1" applyBorder="1" applyAlignment="1">
      <alignment horizontal="left"/>
    </xf>
    <xf numFmtId="10" fontId="13" fillId="0" borderId="3" xfId="11" applyNumberFormat="1" applyFont="1" applyBorder="1" applyAlignment="1">
      <alignment horizontal="left"/>
    </xf>
    <xf numFmtId="0" fontId="1" fillId="0" borderId="5" xfId="11" applyNumberFormat="1" applyFont="1" applyBorder="1" applyAlignment="1">
      <alignment horizontal="left"/>
    </xf>
    <xf numFmtId="0" fontId="1" fillId="0" borderId="6" xfId="11" applyNumberFormat="1" applyFont="1" applyBorder="1" applyAlignment="1">
      <alignment horizontal="left"/>
    </xf>
    <xf numFmtId="0" fontId="1" fillId="0" borderId="0" xfId="11" applyNumberFormat="1" applyFont="1" applyFill="1" applyBorder="1" applyAlignment="1">
      <alignment horizontal="left"/>
    </xf>
    <xf numFmtId="179" fontId="14" fillId="22" borderId="5" xfId="11" applyNumberFormat="1" applyFont="1" applyFill="1" applyBorder="1" applyAlignment="1">
      <alignment horizontal="left"/>
    </xf>
    <xf numFmtId="0" fontId="1" fillId="0" borderId="5" xfId="11" applyNumberFormat="1" applyFont="1" applyFill="1" applyBorder="1" applyAlignment="1">
      <alignment horizontal="left"/>
    </xf>
    <xf numFmtId="0" fontId="14" fillId="22" borderId="0" xfId="0" applyFont="1" applyFill="1" applyAlignment="1">
      <alignment horizontal="left"/>
    </xf>
    <xf numFmtId="0" fontId="4" fillId="0" borderId="0" xfId="0" applyFont="1" applyFill="1" applyAlignment="1">
      <alignment horizontal="left" vertical="center"/>
    </xf>
    <xf numFmtId="0" fontId="14" fillId="0" borderId="7" xfId="0" applyFont="1" applyFill="1" applyBorder="1" applyAlignment="1">
      <alignment horizontal="left" vertical="center" wrapText="1"/>
    </xf>
    <xf numFmtId="0" fontId="3" fillId="0" borderId="8" xfId="0" applyFont="1" applyFill="1" applyBorder="1" applyAlignment="1">
      <alignment horizontal="left" vertical="center" wrapText="1"/>
    </xf>
    <xf numFmtId="0" fontId="1" fillId="0" borderId="9" xfId="0" applyFont="1" applyFill="1" applyBorder="1" applyAlignment="1">
      <alignment horizontal="left" vertical="center" wrapText="1"/>
    </xf>
    <xf numFmtId="0" fontId="14" fillId="22" borderId="2" xfId="0" applyFont="1" applyFill="1" applyBorder="1" applyAlignment="1">
      <alignment horizontal="left" vertical="center"/>
    </xf>
    <xf numFmtId="0" fontId="14" fillId="19" borderId="0" xfId="0" applyFont="1" applyFill="1" applyBorder="1" applyAlignment="1">
      <alignment horizontal="left" vertical="center"/>
    </xf>
    <xf numFmtId="0" fontId="14" fillId="22" borderId="0" xfId="0" applyFont="1" applyFill="1" applyBorder="1" applyAlignment="1">
      <alignment horizontal="left" vertical="center"/>
    </xf>
    <xf numFmtId="0" fontId="14" fillId="22" borderId="4" xfId="0" applyFont="1" applyFill="1" applyBorder="1" applyAlignment="1">
      <alignment horizontal="left" vertical="center"/>
    </xf>
    <xf numFmtId="0" fontId="14" fillId="19" borderId="5" xfId="0" applyFont="1" applyFill="1" applyBorder="1" applyAlignment="1">
      <alignment horizontal="left" vertical="center"/>
    </xf>
    <xf numFmtId="0" fontId="14" fillId="0" borderId="2" xfId="0" applyFont="1" applyBorder="1" applyAlignment="1">
      <alignment horizontal="left" vertical="center"/>
    </xf>
    <xf numFmtId="0" fontId="14" fillId="23" borderId="8" xfId="0" applyFont="1" applyFill="1" applyBorder="1" applyAlignment="1">
      <alignment horizontal="left" vertical="center"/>
    </xf>
    <xf numFmtId="0" fontId="14" fillId="23" borderId="0" xfId="0" applyFont="1" applyFill="1" applyBorder="1" applyAlignment="1">
      <alignment horizontal="left" vertical="center"/>
    </xf>
    <xf numFmtId="0" fontId="14" fillId="23" borderId="2" xfId="0" applyFont="1" applyFill="1" applyBorder="1" applyAlignment="1">
      <alignment horizontal="left" vertical="center"/>
    </xf>
    <xf numFmtId="0" fontId="14" fillId="23" borderId="4" xfId="0" applyFont="1" applyFill="1" applyBorder="1" applyAlignment="1">
      <alignment horizontal="left" vertical="center"/>
    </xf>
    <xf numFmtId="0" fontId="14" fillId="23" borderId="5" xfId="0" applyFont="1" applyFill="1" applyBorder="1" applyAlignment="1">
      <alignment horizontal="left" vertical="center"/>
    </xf>
    <xf numFmtId="0" fontId="14" fillId="22" borderId="0" xfId="0" applyFont="1" applyFill="1" applyAlignment="1">
      <alignment horizontal="left" vertical="center"/>
    </xf>
    <xf numFmtId="0" fontId="1" fillId="22" borderId="0" xfId="0" applyFont="1" applyFill="1" applyAlignment="1">
      <alignment horizontal="left" vertical="center"/>
    </xf>
    <xf numFmtId="180" fontId="3" fillId="0" borderId="0" xfId="0" applyNumberFormat="1" applyFont="1" applyBorder="1" applyAlignment="1">
      <alignment horizontal="left" vertical="center"/>
    </xf>
    <xf numFmtId="180" fontId="1" fillId="0" borderId="0" xfId="0" applyNumberFormat="1" applyFont="1" applyBorder="1" applyAlignment="1">
      <alignment horizontal="left" vertical="center"/>
    </xf>
    <xf numFmtId="0" fontId="6" fillId="0" borderId="2" xfId="0" applyFont="1" applyFill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vertical="center" wrapText="1"/>
    </xf>
    <xf numFmtId="177" fontId="3" fillId="0" borderId="0" xfId="11" applyNumberFormat="1" applyFont="1" applyAlignment="1">
      <alignment horizontal="left"/>
    </xf>
    <xf numFmtId="0" fontId="4" fillId="0" borderId="0" xfId="0" applyFont="1" applyAlignment="1">
      <alignment horizontal="left" vertical="center"/>
    </xf>
    <xf numFmtId="0" fontId="4" fillId="0" borderId="0" xfId="0" applyFont="1" applyFill="1" applyAlignment="1">
      <alignment horizontal="left"/>
    </xf>
    <xf numFmtId="0" fontId="1" fillId="0" borderId="0" xfId="0" applyFont="1" applyFill="1" applyAlignment="1">
      <alignment horizontal="left"/>
    </xf>
    <xf numFmtId="176" fontId="1" fillId="0" borderId="0" xfId="11" applyNumberFormat="1" applyFont="1" applyAlignment="1">
      <alignment horizontal="left" vertical="center"/>
    </xf>
    <xf numFmtId="10" fontId="1" fillId="0" borderId="0" xfId="11" applyNumberFormat="1" applyFont="1" applyAlignment="1">
      <alignment horizontal="left" vertical="center"/>
    </xf>
    <xf numFmtId="176" fontId="1" fillId="0" borderId="0" xfId="11" applyNumberFormat="1" applyFont="1" applyAlignment="1">
      <alignment horizontal="left"/>
    </xf>
    <xf numFmtId="0" fontId="3" fillId="0" borderId="0" xfId="0" applyFont="1" applyAlignment="1">
      <alignment horizontal="left" vertical="center" wrapText="1"/>
    </xf>
    <xf numFmtId="0" fontId="10" fillId="24" borderId="0" xfId="0" applyFont="1" applyFill="1" applyAlignment="1">
      <alignment horizontal="center" vertical="center"/>
    </xf>
    <xf numFmtId="0" fontId="10" fillId="25" borderId="0" xfId="0" applyFont="1" applyFill="1" applyAlignment="1">
      <alignment horizontal="center" vertical="center"/>
    </xf>
    <xf numFmtId="0" fontId="6" fillId="0" borderId="7" xfId="0" applyFont="1" applyBorder="1" applyAlignment="1">
      <alignment horizontal="left" vertical="center"/>
    </xf>
    <xf numFmtId="0" fontId="6" fillId="0" borderId="8" xfId="0" applyFont="1" applyBorder="1" applyAlignment="1">
      <alignment horizontal="left" vertical="center"/>
    </xf>
    <xf numFmtId="0" fontId="6" fillId="0" borderId="9" xfId="0" applyFont="1" applyBorder="1" applyAlignment="1">
      <alignment horizontal="left" vertical="center" wrapText="1"/>
    </xf>
    <xf numFmtId="0" fontId="3" fillId="3" borderId="2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0" fontId="3" fillId="3" borderId="0" xfId="0" applyFont="1" applyFill="1" applyBorder="1" applyAlignment="1">
      <alignment horizontal="left" vertical="center"/>
    </xf>
    <xf numFmtId="0" fontId="3" fillId="0" borderId="3" xfId="0" applyFont="1" applyBorder="1" applyAlignment="1">
      <alignment horizontal="left" vertical="center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22" fillId="0" borderId="0" xfId="0" applyFont="1" applyAlignment="1">
      <alignment horizontal="left" vertical="center"/>
    </xf>
    <xf numFmtId="0" fontId="22" fillId="0" borderId="0" xfId="0" applyFont="1" applyBorder="1" applyAlignment="1">
      <alignment horizontal="left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6">
    <dxf>
      <fill>
        <patternFill patternType="solid">
          <bgColor rgb="FFFF0000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8" Type="http://schemas.openxmlformats.org/officeDocument/2006/relationships/sharedStrings" Target="sharedStrings.xml"/><Relationship Id="rId17" Type="http://schemas.openxmlformats.org/officeDocument/2006/relationships/styles" Target="styles.xml"/><Relationship Id="rId16" Type="http://schemas.openxmlformats.org/officeDocument/2006/relationships/theme" Target="theme/theme1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22</xdr:col>
      <xdr:colOff>426720</xdr:colOff>
      <xdr:row>1</xdr:row>
      <xdr:rowOff>53340</xdr:rowOff>
    </xdr:from>
    <xdr:to>
      <xdr:col>25</xdr:col>
      <xdr:colOff>598170</xdr:colOff>
      <xdr:row>6</xdr:row>
      <xdr:rowOff>122555</xdr:rowOff>
    </xdr:to>
    <xdr:pic>
      <xdr:nvPicPr>
        <xdr:cNvPr id="2" name="图片 1"/>
        <xdr:cNvPicPr/>
      </xdr:nvPicPr>
      <xdr:blipFill>
        <a:blip r:embed="rId1"/>
        <a:stretch>
          <a:fillRect/>
        </a:stretch>
      </xdr:blipFill>
      <xdr:spPr>
        <a:xfrm>
          <a:off x="19232880" y="243840"/>
          <a:ext cx="5269230" cy="254571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15</xdr:col>
      <xdr:colOff>502920</xdr:colOff>
      <xdr:row>0</xdr:row>
      <xdr:rowOff>129540</xdr:rowOff>
    </xdr:from>
    <xdr:to>
      <xdr:col>21</xdr:col>
      <xdr:colOff>1170305</xdr:colOff>
      <xdr:row>7</xdr:row>
      <xdr:rowOff>79375</xdr:rowOff>
    </xdr:to>
    <xdr:pic>
      <xdr:nvPicPr>
        <xdr:cNvPr id="3" name="图片 2"/>
        <xdr:cNvPicPr/>
      </xdr:nvPicPr>
      <xdr:blipFill>
        <a:blip r:embed="rId2"/>
        <a:stretch>
          <a:fillRect/>
        </a:stretch>
      </xdr:blipFill>
      <xdr:spPr>
        <a:xfrm>
          <a:off x="13327380" y="129540"/>
          <a:ext cx="5269865" cy="281495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19</xdr:col>
      <xdr:colOff>586740</xdr:colOff>
      <xdr:row>3</xdr:row>
      <xdr:rowOff>160168</xdr:rowOff>
    </xdr:from>
    <xdr:to>
      <xdr:col>27</xdr:col>
      <xdr:colOff>262035</xdr:colOff>
      <xdr:row>8</xdr:row>
      <xdr:rowOff>34149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670280" y="739140"/>
          <a:ext cx="5260340" cy="864235"/>
        </a:xfrm>
        <a:prstGeom prst="rect">
          <a:avLst/>
        </a:prstGeom>
      </xdr:spPr>
    </xdr:pic>
    <xdr:clientData/>
  </xdr:twoCellAnchor>
  <xdr:twoCellAnchor editAs="oneCell">
    <xdr:from>
      <xdr:col>27</xdr:col>
      <xdr:colOff>83820</xdr:colOff>
      <xdr:row>20</xdr:row>
      <xdr:rowOff>99060</xdr:rowOff>
    </xdr:from>
    <xdr:to>
      <xdr:col>29</xdr:col>
      <xdr:colOff>156027</xdr:colOff>
      <xdr:row>23</xdr:row>
      <xdr:rowOff>9462</xdr:rowOff>
    </xdr:to>
    <xdr:pic>
      <xdr:nvPicPr>
        <xdr:cNvPr id="4" name="图片 3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8752820" y="4046220"/>
          <a:ext cx="1466215" cy="50419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6896100</xdr:colOff>
      <xdr:row>36</xdr:row>
      <xdr:rowOff>152400</xdr:rowOff>
    </xdr:from>
    <xdr:to>
      <xdr:col>5</xdr:col>
      <xdr:colOff>617220</xdr:colOff>
      <xdr:row>47</xdr:row>
      <xdr:rowOff>60960</xdr:rowOff>
    </xdr:to>
    <xdr:pic>
      <xdr:nvPicPr>
        <xdr:cNvPr id="4" name="图片 3"/>
        <xdr:cNvPicPr/>
      </xdr:nvPicPr>
      <xdr:blipFill>
        <a:blip r:embed="rId1"/>
        <a:stretch>
          <a:fillRect/>
        </a:stretch>
      </xdr:blipFill>
      <xdr:spPr>
        <a:xfrm>
          <a:off x="6896100" y="7741920"/>
          <a:ext cx="5273040" cy="208788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5.xml.rels><?xml version="1.0" encoding="UTF-8" standalone="yes"?>
<Relationships xmlns="http://schemas.openxmlformats.org/package/2006/relationships"><Relationship Id="rId4" Type="http://schemas.openxmlformats.org/officeDocument/2006/relationships/hyperlink" Target="http://www.bejson.com/" TargetMode="External"/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3.xml"/><Relationship Id="rId1" Type="http://schemas.openxmlformats.org/officeDocument/2006/relationships/comments" Target="../comments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U27"/>
  <sheetViews>
    <sheetView workbookViewId="0">
      <selection activeCell="B16" sqref="B16:B17"/>
    </sheetView>
  </sheetViews>
  <sheetFormatPr defaultColWidth="9" defaultRowHeight="14.4"/>
  <cols>
    <col min="1" max="1" width="12.1111111111111" customWidth="1"/>
    <col min="2" max="2" width="57.3333333333333" customWidth="1"/>
    <col min="3" max="3" width="35.6666666666667" customWidth="1"/>
    <col min="10" max="10" width="5.33333333333333" customWidth="1"/>
    <col min="19" max="19" width="10.4444444444444" customWidth="1"/>
  </cols>
  <sheetData>
    <row r="1" ht="17.25" customHeight="1" spans="1:47">
      <c r="A1" s="52" t="s">
        <v>0</v>
      </c>
      <c r="B1" s="52" t="s">
        <v>0</v>
      </c>
      <c r="C1" s="52" t="s">
        <v>1</v>
      </c>
      <c r="D1" s="196" t="s">
        <v>2</v>
      </c>
      <c r="E1" s="197" t="s">
        <v>3</v>
      </c>
      <c r="F1" s="197" t="s">
        <v>4</v>
      </c>
      <c r="G1" s="198" t="s">
        <v>5</v>
      </c>
      <c r="H1" s="31" t="s">
        <v>6</v>
      </c>
      <c r="I1" s="206" t="s">
        <v>7</v>
      </c>
      <c r="J1" s="31" t="s">
        <v>6</v>
      </c>
      <c r="K1" s="2" t="s">
        <v>8</v>
      </c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</row>
    <row r="2" ht="17.25" customHeight="1" spans="1:47">
      <c r="A2" s="97" t="s">
        <v>9</v>
      </c>
      <c r="B2" s="97" t="s">
        <v>10</v>
      </c>
      <c r="C2" s="97" t="s">
        <v>10</v>
      </c>
      <c r="D2" s="196"/>
      <c r="E2" s="197"/>
      <c r="F2" s="197"/>
      <c r="G2" s="198"/>
      <c r="H2" s="31"/>
      <c r="I2" s="206"/>
      <c r="J2" s="31"/>
      <c r="K2" s="22" t="s">
        <v>11</v>
      </c>
      <c r="L2" s="23"/>
      <c r="M2" s="23"/>
      <c r="N2" s="2"/>
      <c r="O2" s="2"/>
      <c r="P2" s="23"/>
      <c r="Q2" s="23"/>
      <c r="R2" s="23"/>
      <c r="S2" s="2"/>
      <c r="T2" s="2"/>
      <c r="U2" s="23"/>
      <c r="V2" s="23"/>
      <c r="W2" s="23"/>
      <c r="X2" s="2"/>
      <c r="Y2" s="2"/>
      <c r="Z2" s="23"/>
      <c r="AA2" s="23"/>
      <c r="AB2" s="23"/>
      <c r="AC2" s="2"/>
      <c r="AD2" s="2"/>
      <c r="AE2" s="23"/>
      <c r="AF2" s="23"/>
      <c r="AG2" s="23"/>
      <c r="AH2" s="2"/>
      <c r="AI2" s="2"/>
      <c r="AJ2" s="23"/>
      <c r="AK2" s="23"/>
      <c r="AL2" s="23"/>
      <c r="AM2" s="2"/>
      <c r="AN2" s="2"/>
      <c r="AO2" s="2"/>
      <c r="AP2" s="2"/>
      <c r="AQ2" s="2"/>
      <c r="AR2" s="2"/>
      <c r="AS2" s="2"/>
      <c r="AT2" s="2"/>
      <c r="AU2" s="2"/>
    </row>
    <row r="3" ht="17.25" customHeight="1" spans="1:47">
      <c r="A3" s="97" t="s">
        <v>12</v>
      </c>
      <c r="B3" s="97" t="s">
        <v>13</v>
      </c>
      <c r="C3" s="97" t="s">
        <v>14</v>
      </c>
      <c r="D3" s="196"/>
      <c r="E3" s="197"/>
      <c r="F3" s="197"/>
      <c r="G3" s="198"/>
      <c r="H3" s="31"/>
      <c r="I3" s="206"/>
      <c r="J3" s="31"/>
      <c r="K3" s="207" t="s">
        <v>15</v>
      </c>
      <c r="L3" s="207"/>
      <c r="M3" s="207"/>
      <c r="N3" s="207"/>
      <c r="O3" s="207"/>
      <c r="P3" s="208" t="s">
        <v>16</v>
      </c>
      <c r="Q3" s="208"/>
      <c r="R3" s="208"/>
      <c r="S3" s="208"/>
      <c r="T3" s="208"/>
      <c r="U3" s="35" t="s">
        <v>17</v>
      </c>
      <c r="V3" s="35"/>
      <c r="W3" s="35"/>
      <c r="X3" s="35"/>
      <c r="Y3" s="35"/>
      <c r="Z3" s="208" t="s">
        <v>18</v>
      </c>
      <c r="AA3" s="208"/>
      <c r="AB3" s="208"/>
      <c r="AC3" s="208"/>
      <c r="AD3" s="208"/>
      <c r="AE3" s="35" t="s">
        <v>19</v>
      </c>
      <c r="AF3" s="35"/>
      <c r="AG3" s="35"/>
      <c r="AH3" s="35"/>
      <c r="AI3" s="35"/>
      <c r="AJ3" s="208" t="s">
        <v>20</v>
      </c>
      <c r="AK3" s="208"/>
      <c r="AL3" s="208"/>
      <c r="AM3" s="208"/>
      <c r="AN3" s="208"/>
      <c r="AO3" s="2"/>
      <c r="AP3" s="2"/>
      <c r="AQ3" s="2"/>
      <c r="AR3" s="2"/>
      <c r="AS3" s="2"/>
      <c r="AT3" s="2"/>
      <c r="AU3" s="2"/>
    </row>
    <row r="4" ht="33" customHeight="1" spans="1:47">
      <c r="A4" s="149" t="s">
        <v>21</v>
      </c>
      <c r="B4" s="149" t="s">
        <v>22</v>
      </c>
      <c r="C4" s="149" t="s">
        <v>23</v>
      </c>
      <c r="D4" s="196"/>
      <c r="E4" s="197"/>
      <c r="F4" s="197"/>
      <c r="G4" s="198"/>
      <c r="H4" s="31"/>
      <c r="I4" s="206"/>
      <c r="J4" s="31"/>
      <c r="K4" s="209" t="s">
        <v>24</v>
      </c>
      <c r="L4" s="210" t="s">
        <v>25</v>
      </c>
      <c r="M4" s="210" t="s">
        <v>26</v>
      </c>
      <c r="N4" s="210" t="s">
        <v>27</v>
      </c>
      <c r="O4" s="211" t="s">
        <v>28</v>
      </c>
      <c r="P4" s="209" t="s">
        <v>24</v>
      </c>
      <c r="Q4" s="210" t="s">
        <v>25</v>
      </c>
      <c r="R4" s="210" t="s">
        <v>26</v>
      </c>
      <c r="S4" s="210" t="s">
        <v>27</v>
      </c>
      <c r="T4" s="211" t="s">
        <v>28</v>
      </c>
      <c r="U4" s="209" t="s">
        <v>24</v>
      </c>
      <c r="V4" s="210" t="s">
        <v>25</v>
      </c>
      <c r="W4" s="210" t="s">
        <v>26</v>
      </c>
      <c r="X4" s="210" t="s">
        <v>27</v>
      </c>
      <c r="Y4" s="211" t="s">
        <v>28</v>
      </c>
      <c r="Z4" s="209" t="s">
        <v>24</v>
      </c>
      <c r="AA4" s="210" t="s">
        <v>25</v>
      </c>
      <c r="AB4" s="210" t="s">
        <v>26</v>
      </c>
      <c r="AC4" s="210" t="s">
        <v>27</v>
      </c>
      <c r="AD4" s="211" t="s">
        <v>28</v>
      </c>
      <c r="AE4" s="209" t="s">
        <v>24</v>
      </c>
      <c r="AF4" s="210" t="s">
        <v>25</v>
      </c>
      <c r="AG4" s="210" t="s">
        <v>26</v>
      </c>
      <c r="AH4" s="210" t="s">
        <v>27</v>
      </c>
      <c r="AI4" s="211" t="s">
        <v>28</v>
      </c>
      <c r="AJ4" s="209" t="s">
        <v>24</v>
      </c>
      <c r="AK4" s="210" t="s">
        <v>25</v>
      </c>
      <c r="AL4" s="210" t="s">
        <v>26</v>
      </c>
      <c r="AM4" s="210" t="s">
        <v>27</v>
      </c>
      <c r="AN4" s="211" t="s">
        <v>28</v>
      </c>
      <c r="AO4" s="38"/>
      <c r="AP4" s="38"/>
      <c r="AQ4" s="43">
        <v>0</v>
      </c>
      <c r="AR4" s="43" t="s">
        <v>29</v>
      </c>
      <c r="AS4" s="43" t="s">
        <v>30</v>
      </c>
      <c r="AT4" s="43" t="s">
        <v>25</v>
      </c>
      <c r="AU4" s="43" t="s">
        <v>31</v>
      </c>
    </row>
    <row r="5" ht="15.6" spans="1:47">
      <c r="A5" s="2">
        <v>50</v>
      </c>
      <c r="B5" s="2" t="str">
        <f t="shared" ref="B5:B16" si="0">IF(AJ5&lt;&gt;"",L5&amp;"|"&amp;M5&amp;"|"&amp;N5&amp;","&amp;Q5&amp;"|"&amp;R5&amp;"|"&amp;S5&amp;","&amp;V5&amp;"|"&amp;W5&amp;"|"&amp;X5&amp;","&amp;AA5&amp;"|"&amp;AB5&amp;"|"&amp;AC5&amp;","&amp;AF5&amp;"|"&amp;AG5&amp;"|"&amp;AH5&amp;","&amp;AK5&amp;"|"&amp;AL5&amp;"|"&amp;AM5,IF(AE5&lt;&gt;"",L5&amp;"|"&amp;M5&amp;"|"&amp;N5&amp;","&amp;Q5&amp;"|"&amp;R5&amp;"|"&amp;S5&amp;","&amp;V5&amp;"|"&amp;W5&amp;"|"&amp;X5&amp;","&amp;AA5&amp;"|"&amp;AB5&amp;"|"&amp;AC5&amp;","&amp;AF5&amp;"|"&amp;AG5&amp;"|"&amp;AH5,IF(Z5&lt;&gt;"",L5&amp;"|"&amp;M5&amp;"|"&amp;N5&amp;","&amp;Q5&amp;"|"&amp;R5&amp;"|"&amp;S5&amp;","&amp;V5&amp;"|"&amp;W5&amp;"|"&amp;X5&amp;","&amp;AA5&amp;"|"&amp;AB5&amp;"|"&amp;AC5,IF(U5&lt;&gt;"",L5&amp;"|"&amp;M5&amp;"|"&amp;N5&amp;","&amp;Q5&amp;"|"&amp;R5&amp;"|"&amp;S5&amp;","&amp;V5&amp;"|"&amp;W5&amp;"|"&amp;X5,IF(P5&lt;&gt;"",L5&amp;"|"&amp;M5&amp;"|"&amp;N5&amp;","&amp;Q5&amp;"|"&amp;R5&amp;"|"&amp;S5,L5&amp;"|"&amp;M5&amp;"|"&amp;N5)))))</f>
        <v>1|2|400000</v>
      </c>
      <c r="C5" s="2"/>
      <c r="D5" s="89">
        <f>A5</f>
        <v>50</v>
      </c>
      <c r="E5" s="2">
        <v>0.65</v>
      </c>
      <c r="F5" s="2">
        <f>D5*E5</f>
        <v>32.5</v>
      </c>
      <c r="G5" s="7">
        <f>O5</f>
        <v>40</v>
      </c>
      <c r="H5" s="199">
        <f>G5/A5</f>
        <v>0.8</v>
      </c>
      <c r="I5" s="7">
        <f>O5+T5+Y5+AD5+AI5+AN5</f>
        <v>40</v>
      </c>
      <c r="J5" s="199">
        <f>I5/A5</f>
        <v>0.8</v>
      </c>
      <c r="K5" s="212" t="s">
        <v>32</v>
      </c>
      <c r="L5" s="213">
        <f t="shared" ref="L5:L16" si="1">VLOOKUP(K5,AQ$1:AU$27,4,0)</f>
        <v>1</v>
      </c>
      <c r="M5" s="213">
        <f t="shared" ref="M5:M16" si="2">VLOOKUP(K5,AQ$1:AU$27,5,0)</f>
        <v>2</v>
      </c>
      <c r="N5" s="214">
        <v>400000</v>
      </c>
      <c r="O5" s="215">
        <f t="shared" ref="O5:O16" si="3">VLOOKUP(K5,AQ$1:AU$27,2,0)*N5</f>
        <v>40</v>
      </c>
      <c r="P5" s="216"/>
      <c r="Q5" s="213"/>
      <c r="R5" s="213"/>
      <c r="S5" s="213"/>
      <c r="T5" s="217"/>
      <c r="U5" s="216"/>
      <c r="V5" s="213"/>
      <c r="W5" s="213"/>
      <c r="X5" s="213"/>
      <c r="Y5" s="217"/>
      <c r="Z5" s="216"/>
      <c r="AA5" s="213"/>
      <c r="AB5" s="213"/>
      <c r="AC5" s="213"/>
      <c r="AD5" s="217"/>
      <c r="AE5" s="216"/>
      <c r="AF5" s="213"/>
      <c r="AG5" s="213"/>
      <c r="AH5" s="213"/>
      <c r="AI5" s="217"/>
      <c r="AJ5" s="216"/>
      <c r="AK5" s="213"/>
      <c r="AL5" s="213"/>
      <c r="AM5" s="213"/>
      <c r="AN5" s="217"/>
      <c r="AO5" s="2"/>
      <c r="AP5" s="2"/>
      <c r="AQ5" s="43" t="s">
        <v>33</v>
      </c>
      <c r="AR5" s="43">
        <v>1</v>
      </c>
      <c r="AS5" s="43">
        <v>0.1</v>
      </c>
      <c r="AT5" s="43">
        <v>1</v>
      </c>
      <c r="AU5" s="43">
        <v>0</v>
      </c>
    </row>
    <row r="6" ht="15.6" spans="1:47">
      <c r="A6" s="2">
        <v>100</v>
      </c>
      <c r="B6" s="2" t="str">
        <f t="shared" si="0"/>
        <v>2|1005|3</v>
      </c>
      <c r="C6" s="2"/>
      <c r="D6" s="89">
        <f>A6-A5</f>
        <v>50</v>
      </c>
      <c r="E6" s="2">
        <f>E5</f>
        <v>0.65</v>
      </c>
      <c r="F6" s="2">
        <f t="shared" ref="F6:F16" si="4">D6*E6</f>
        <v>32.5</v>
      </c>
      <c r="G6" s="7">
        <f>O6</f>
        <v>45</v>
      </c>
      <c r="H6" s="199">
        <f t="shared" ref="H6:H16" si="5">G6/(A6-A5)</f>
        <v>0.9</v>
      </c>
      <c r="I6" s="7">
        <f t="shared" ref="I6:I16" si="6">O6+T6+Y6+AD6+AI6+AN6</f>
        <v>45</v>
      </c>
      <c r="J6" s="199">
        <f>I6/(A6-A5)</f>
        <v>0.9</v>
      </c>
      <c r="K6" s="212" t="s">
        <v>34</v>
      </c>
      <c r="L6" s="213">
        <f t="shared" si="1"/>
        <v>2</v>
      </c>
      <c r="M6" s="213">
        <f t="shared" si="2"/>
        <v>1005</v>
      </c>
      <c r="N6" s="214">
        <v>3</v>
      </c>
      <c r="O6" s="215">
        <f t="shared" si="3"/>
        <v>45</v>
      </c>
      <c r="P6" s="216"/>
      <c r="Q6" s="213"/>
      <c r="R6" s="213"/>
      <c r="S6" s="213"/>
      <c r="T6" s="217"/>
      <c r="U6" s="216"/>
      <c r="V6" s="213"/>
      <c r="W6" s="213"/>
      <c r="X6" s="213"/>
      <c r="Y6" s="217"/>
      <c r="Z6" s="216"/>
      <c r="AA6" s="213"/>
      <c r="AB6" s="213"/>
      <c r="AC6" s="213"/>
      <c r="AD6" s="217"/>
      <c r="AE6" s="216"/>
      <c r="AF6" s="213"/>
      <c r="AG6" s="213"/>
      <c r="AH6" s="213"/>
      <c r="AI6" s="217"/>
      <c r="AJ6" s="216"/>
      <c r="AK6" s="213"/>
      <c r="AL6" s="213"/>
      <c r="AM6" s="213"/>
      <c r="AN6" s="217"/>
      <c r="AO6" s="2"/>
      <c r="AP6" s="2"/>
      <c r="AQ6" s="43" t="s">
        <v>35</v>
      </c>
      <c r="AR6" s="43">
        <v>0.1</v>
      </c>
      <c r="AS6" s="43">
        <v>1</v>
      </c>
      <c r="AT6" s="43">
        <v>1</v>
      </c>
      <c r="AU6" s="43">
        <v>1</v>
      </c>
    </row>
    <row r="7" ht="16.2" spans="1:47">
      <c r="A7" s="200">
        <v>300</v>
      </c>
      <c r="B7" s="2" t="str">
        <f t="shared" si="0"/>
        <v>2|1006|6,1|1|400</v>
      </c>
      <c r="C7" s="60" t="s">
        <v>36</v>
      </c>
      <c r="D7" s="89">
        <f t="shared" ref="D7:D16" si="7">A7-A6</f>
        <v>200</v>
      </c>
      <c r="E7" s="200">
        <v>0.8</v>
      </c>
      <c r="F7" s="2">
        <f t="shared" si="4"/>
        <v>160</v>
      </c>
      <c r="G7" s="7">
        <f>O7+T7</f>
        <v>190</v>
      </c>
      <c r="H7" s="199">
        <f t="shared" si="5"/>
        <v>0.95</v>
      </c>
      <c r="I7" s="7">
        <f t="shared" si="6"/>
        <v>190</v>
      </c>
      <c r="J7" s="199">
        <f t="shared" ref="J7:J16" si="8">I7/(A7-A6)</f>
        <v>0.95</v>
      </c>
      <c r="K7" s="212" t="s">
        <v>37</v>
      </c>
      <c r="L7" s="213">
        <f t="shared" si="1"/>
        <v>2</v>
      </c>
      <c r="M7" s="213">
        <f t="shared" si="2"/>
        <v>1006</v>
      </c>
      <c r="N7" s="214">
        <v>6</v>
      </c>
      <c r="O7" s="215">
        <f t="shared" si="3"/>
        <v>150</v>
      </c>
      <c r="P7" s="212" t="s">
        <v>35</v>
      </c>
      <c r="Q7" s="213">
        <f>VLOOKUP(P7,AQ$1:AU$27,4,0)</f>
        <v>1</v>
      </c>
      <c r="R7" s="213">
        <f>VLOOKUP(P7,AQ$1:AU$27,5,0)</f>
        <v>1</v>
      </c>
      <c r="S7" s="214">
        <v>400</v>
      </c>
      <c r="T7" s="215">
        <f>VLOOKUP(P7,AQ$1:AU$27,2,0)*S7</f>
        <v>40</v>
      </c>
      <c r="U7" s="216"/>
      <c r="V7" s="213"/>
      <c r="W7" s="213"/>
      <c r="X7" s="213"/>
      <c r="Y7" s="217"/>
      <c r="Z7" s="216"/>
      <c r="AA7" s="213"/>
      <c r="AB7" s="213"/>
      <c r="AC7" s="213"/>
      <c r="AD7" s="217"/>
      <c r="AE7" s="216"/>
      <c r="AF7" s="213"/>
      <c r="AG7" s="213"/>
      <c r="AH7" s="213"/>
      <c r="AI7" s="217"/>
      <c r="AJ7" s="216"/>
      <c r="AK7" s="213"/>
      <c r="AL7" s="213"/>
      <c r="AM7" s="213"/>
      <c r="AN7" s="217"/>
      <c r="AO7" s="2"/>
      <c r="AP7" s="2"/>
      <c r="AQ7" s="43" t="s">
        <v>32</v>
      </c>
      <c r="AR7" s="43">
        <v>0.0001</v>
      </c>
      <c r="AS7" s="43">
        <v>0.001</v>
      </c>
      <c r="AT7" s="43">
        <v>1</v>
      </c>
      <c r="AU7" s="43">
        <v>2</v>
      </c>
    </row>
    <row r="8" ht="15.6" spans="1:47">
      <c r="A8" s="2">
        <v>500</v>
      </c>
      <c r="B8" s="2" t="str">
        <f t="shared" si="0"/>
        <v>1|2|1500000</v>
      </c>
      <c r="C8" s="2"/>
      <c r="D8" s="89">
        <f t="shared" si="7"/>
        <v>200</v>
      </c>
      <c r="E8" s="2">
        <f>E5</f>
        <v>0.65</v>
      </c>
      <c r="F8" s="2">
        <f t="shared" si="4"/>
        <v>130</v>
      </c>
      <c r="G8" s="7">
        <f>O8</f>
        <v>150</v>
      </c>
      <c r="H8" s="199">
        <f t="shared" si="5"/>
        <v>0.75</v>
      </c>
      <c r="I8" s="7">
        <f t="shared" si="6"/>
        <v>150</v>
      </c>
      <c r="J8" s="199">
        <f t="shared" si="8"/>
        <v>0.75</v>
      </c>
      <c r="K8" s="212" t="s">
        <v>32</v>
      </c>
      <c r="L8" s="213">
        <f t="shared" si="1"/>
        <v>1</v>
      </c>
      <c r="M8" s="213">
        <f t="shared" si="2"/>
        <v>2</v>
      </c>
      <c r="N8" s="214">
        <v>1500000</v>
      </c>
      <c r="O8" s="215">
        <f t="shared" si="3"/>
        <v>150</v>
      </c>
      <c r="P8" s="216"/>
      <c r="Q8" s="213"/>
      <c r="R8" s="213"/>
      <c r="S8" s="213"/>
      <c r="T8" s="217"/>
      <c r="U8" s="216"/>
      <c r="V8" s="213"/>
      <c r="W8" s="213"/>
      <c r="X8" s="213"/>
      <c r="Y8" s="217"/>
      <c r="Z8" s="216"/>
      <c r="AA8" s="213"/>
      <c r="AB8" s="213"/>
      <c r="AC8" s="213"/>
      <c r="AD8" s="217"/>
      <c r="AE8" s="216"/>
      <c r="AF8" s="213"/>
      <c r="AG8" s="213"/>
      <c r="AH8" s="213"/>
      <c r="AI8" s="217"/>
      <c r="AJ8" s="216"/>
      <c r="AK8" s="213"/>
      <c r="AL8" s="213"/>
      <c r="AM8" s="213"/>
      <c r="AN8" s="217"/>
      <c r="AO8" s="2"/>
      <c r="AP8" s="2"/>
      <c r="AQ8" s="43" t="s">
        <v>38</v>
      </c>
      <c r="AR8" s="43">
        <v>0.2</v>
      </c>
      <c r="AS8" s="43">
        <v>2</v>
      </c>
      <c r="AT8" s="43">
        <v>2</v>
      </c>
      <c r="AU8" s="43">
        <v>1001</v>
      </c>
    </row>
    <row r="9" ht="15.6" spans="1:47">
      <c r="A9" s="2">
        <v>1000</v>
      </c>
      <c r="B9" s="2" t="str">
        <f t="shared" si="0"/>
        <v>2|1007|6</v>
      </c>
      <c r="C9" s="2"/>
      <c r="D9" s="89">
        <f t="shared" si="7"/>
        <v>500</v>
      </c>
      <c r="E9" s="2">
        <f>E5</f>
        <v>0.65</v>
      </c>
      <c r="F9" s="2">
        <f t="shared" si="4"/>
        <v>325</v>
      </c>
      <c r="G9" s="7">
        <f>O9</f>
        <v>300</v>
      </c>
      <c r="H9" s="199">
        <f t="shared" si="5"/>
        <v>0.6</v>
      </c>
      <c r="I9" s="7">
        <f t="shared" si="6"/>
        <v>300</v>
      </c>
      <c r="J9" s="199">
        <f t="shared" si="8"/>
        <v>0.6</v>
      </c>
      <c r="K9" s="212" t="s">
        <v>39</v>
      </c>
      <c r="L9" s="213">
        <f t="shared" si="1"/>
        <v>2</v>
      </c>
      <c r="M9" s="213">
        <f t="shared" si="2"/>
        <v>1007</v>
      </c>
      <c r="N9" s="214">
        <v>6</v>
      </c>
      <c r="O9" s="215">
        <f t="shared" si="3"/>
        <v>300</v>
      </c>
      <c r="P9" s="216"/>
      <c r="Q9" s="213"/>
      <c r="R9" s="213"/>
      <c r="S9" s="213"/>
      <c r="T9" s="217"/>
      <c r="U9" s="216"/>
      <c r="V9" s="213"/>
      <c r="W9" s="213"/>
      <c r="X9" s="213"/>
      <c r="Y9" s="217"/>
      <c r="Z9" s="216"/>
      <c r="AA9" s="213"/>
      <c r="AB9" s="213"/>
      <c r="AC9" s="213"/>
      <c r="AD9" s="217"/>
      <c r="AE9" s="216"/>
      <c r="AF9" s="213"/>
      <c r="AG9" s="213"/>
      <c r="AH9" s="213"/>
      <c r="AI9" s="217"/>
      <c r="AJ9" s="216"/>
      <c r="AK9" s="213"/>
      <c r="AL9" s="213"/>
      <c r="AM9" s="213"/>
      <c r="AN9" s="217"/>
      <c r="AO9" s="2"/>
      <c r="AP9" s="2"/>
      <c r="AQ9" s="43" t="s">
        <v>40</v>
      </c>
      <c r="AR9" s="43">
        <v>0.5</v>
      </c>
      <c r="AS9" s="43">
        <v>5</v>
      </c>
      <c r="AT9" s="43">
        <v>2</v>
      </c>
      <c r="AU9" s="43">
        <v>1002</v>
      </c>
    </row>
    <row r="10" ht="16.2" spans="1:47">
      <c r="A10" s="201">
        <v>2000</v>
      </c>
      <c r="B10" s="2" t="str">
        <f t="shared" si="0"/>
        <v>2|1007|15,1|1|500,2|1003|10</v>
      </c>
      <c r="C10" s="60" t="s">
        <v>41</v>
      </c>
      <c r="D10" s="89">
        <f t="shared" si="7"/>
        <v>1000</v>
      </c>
      <c r="E10" s="200">
        <v>0.85</v>
      </c>
      <c r="F10" s="2">
        <f t="shared" si="4"/>
        <v>850</v>
      </c>
      <c r="G10" s="7">
        <f>O10+T10</f>
        <v>800</v>
      </c>
      <c r="H10" s="199">
        <f t="shared" si="5"/>
        <v>0.8</v>
      </c>
      <c r="I10" s="7">
        <f t="shared" si="6"/>
        <v>820</v>
      </c>
      <c r="J10" s="199">
        <f t="shared" si="8"/>
        <v>0.82</v>
      </c>
      <c r="K10" s="212" t="s">
        <v>39</v>
      </c>
      <c r="L10" s="213">
        <f t="shared" si="1"/>
        <v>2</v>
      </c>
      <c r="M10" s="213">
        <f t="shared" si="2"/>
        <v>1007</v>
      </c>
      <c r="N10" s="214">
        <v>15</v>
      </c>
      <c r="O10" s="215">
        <f t="shared" si="3"/>
        <v>750</v>
      </c>
      <c r="P10" s="212" t="s">
        <v>35</v>
      </c>
      <c r="Q10" s="213">
        <f>VLOOKUP(P10,AQ$1:AU$27,4,0)</f>
        <v>1</v>
      </c>
      <c r="R10" s="213">
        <f>VLOOKUP(P10,AQ$1:AU$27,5,0)</f>
        <v>1</v>
      </c>
      <c r="S10" s="214">
        <v>500</v>
      </c>
      <c r="T10" s="215">
        <f>VLOOKUP(P10,AQ$1:AU$27,2,0)*S10</f>
        <v>50</v>
      </c>
      <c r="U10" s="212" t="s">
        <v>42</v>
      </c>
      <c r="V10" s="213">
        <f>VLOOKUP(U10,AQ$1:AU$27,4,0)</f>
        <v>2</v>
      </c>
      <c r="W10" s="213">
        <f>VLOOKUP(U10,AQ$1:AU$27,5,0)</f>
        <v>1003</v>
      </c>
      <c r="X10" s="214">
        <v>10</v>
      </c>
      <c r="Y10" s="215">
        <f>VLOOKUP(U10,AQ$1:AU$27,2,0)*X10</f>
        <v>20</v>
      </c>
      <c r="Z10" s="216"/>
      <c r="AA10" s="213"/>
      <c r="AB10" s="213"/>
      <c r="AC10" s="213"/>
      <c r="AD10" s="217"/>
      <c r="AE10" s="216"/>
      <c r="AF10" s="213"/>
      <c r="AG10" s="213"/>
      <c r="AH10" s="213"/>
      <c r="AI10" s="217"/>
      <c r="AJ10" s="216"/>
      <c r="AK10" s="213"/>
      <c r="AL10" s="213"/>
      <c r="AM10" s="213"/>
      <c r="AN10" s="217"/>
      <c r="AO10" s="2"/>
      <c r="AP10" s="2"/>
      <c r="AQ10" s="43" t="s">
        <v>42</v>
      </c>
      <c r="AR10" s="43">
        <v>2</v>
      </c>
      <c r="AS10" s="43">
        <v>20</v>
      </c>
      <c r="AT10" s="43">
        <v>2</v>
      </c>
      <c r="AU10" s="43">
        <v>1003</v>
      </c>
    </row>
    <row r="11" ht="15.6" spans="1:47">
      <c r="A11" s="202">
        <v>5000</v>
      </c>
      <c r="B11" s="2" t="str">
        <f t="shared" si="0"/>
        <v>1|2|20000000</v>
      </c>
      <c r="C11" s="2"/>
      <c r="D11" s="89">
        <f t="shared" si="7"/>
        <v>3000</v>
      </c>
      <c r="E11" s="2">
        <f>E5</f>
        <v>0.65</v>
      </c>
      <c r="F11" s="2">
        <f t="shared" si="4"/>
        <v>1950</v>
      </c>
      <c r="G11" s="7">
        <f>O11</f>
        <v>2000</v>
      </c>
      <c r="H11" s="199">
        <f t="shared" si="5"/>
        <v>0.666666666666667</v>
      </c>
      <c r="I11" s="7">
        <f t="shared" si="6"/>
        <v>2000</v>
      </c>
      <c r="J11" s="199">
        <f t="shared" si="8"/>
        <v>0.666666666666667</v>
      </c>
      <c r="K11" s="212" t="s">
        <v>32</v>
      </c>
      <c r="L11" s="213">
        <f t="shared" si="1"/>
        <v>1</v>
      </c>
      <c r="M11" s="213">
        <f t="shared" si="2"/>
        <v>2</v>
      </c>
      <c r="N11" s="214">
        <v>20000000</v>
      </c>
      <c r="O11" s="215">
        <f t="shared" si="3"/>
        <v>2000</v>
      </c>
      <c r="P11" s="216"/>
      <c r="Q11" s="213"/>
      <c r="R11" s="213"/>
      <c r="S11" s="213"/>
      <c r="T11" s="217"/>
      <c r="U11" s="216"/>
      <c r="V11" s="213"/>
      <c r="W11" s="213"/>
      <c r="X11" s="213"/>
      <c r="Y11" s="217"/>
      <c r="Z11" s="42"/>
      <c r="AA11" s="43"/>
      <c r="AB11" s="43"/>
      <c r="AC11" s="43"/>
      <c r="AD11" s="13"/>
      <c r="AE11" s="216"/>
      <c r="AF11" s="213"/>
      <c r="AG11" s="213"/>
      <c r="AH11" s="213"/>
      <c r="AI11" s="217"/>
      <c r="AJ11" s="216"/>
      <c r="AK11" s="213"/>
      <c r="AL11" s="213"/>
      <c r="AM11" s="213"/>
      <c r="AN11" s="217"/>
      <c r="AO11" s="2"/>
      <c r="AP11" s="2"/>
      <c r="AQ11" s="43" t="s">
        <v>43</v>
      </c>
      <c r="AR11" s="43">
        <v>0.2</v>
      </c>
      <c r="AS11" s="43">
        <v>2</v>
      </c>
      <c r="AT11" s="43">
        <v>2</v>
      </c>
      <c r="AU11" s="43">
        <v>1004</v>
      </c>
    </row>
    <row r="12" ht="15.6" spans="1:47">
      <c r="A12" s="202">
        <v>10000</v>
      </c>
      <c r="B12" s="2" t="str">
        <f t="shared" si="0"/>
        <v>2|1008|30</v>
      </c>
      <c r="C12" s="2"/>
      <c r="D12" s="89">
        <f t="shared" si="7"/>
        <v>5000</v>
      </c>
      <c r="E12" s="2">
        <f>E5</f>
        <v>0.65</v>
      </c>
      <c r="F12" s="2">
        <f t="shared" si="4"/>
        <v>3250</v>
      </c>
      <c r="G12" s="7">
        <f>O12</f>
        <v>3000</v>
      </c>
      <c r="H12" s="199">
        <f t="shared" si="5"/>
        <v>0.6</v>
      </c>
      <c r="I12" s="7">
        <f t="shared" si="6"/>
        <v>3000</v>
      </c>
      <c r="J12" s="199">
        <f t="shared" si="8"/>
        <v>0.6</v>
      </c>
      <c r="K12" s="212" t="s">
        <v>44</v>
      </c>
      <c r="L12" s="213">
        <f t="shared" si="1"/>
        <v>2</v>
      </c>
      <c r="M12" s="213">
        <f t="shared" si="2"/>
        <v>1008</v>
      </c>
      <c r="N12" s="214">
        <v>30</v>
      </c>
      <c r="O12" s="215">
        <f t="shared" si="3"/>
        <v>3000</v>
      </c>
      <c r="P12" s="216"/>
      <c r="Q12" s="213"/>
      <c r="R12" s="213"/>
      <c r="S12" s="213"/>
      <c r="T12" s="217"/>
      <c r="U12" s="216"/>
      <c r="V12" s="213"/>
      <c r="W12" s="213"/>
      <c r="X12" s="213"/>
      <c r="Y12" s="217"/>
      <c r="Z12" s="42"/>
      <c r="AA12" s="43"/>
      <c r="AB12" s="43"/>
      <c r="AC12" s="43"/>
      <c r="AD12" s="13"/>
      <c r="AE12" s="216"/>
      <c r="AF12" s="213"/>
      <c r="AG12" s="213"/>
      <c r="AH12" s="213"/>
      <c r="AI12" s="217"/>
      <c r="AJ12" s="216"/>
      <c r="AK12" s="213"/>
      <c r="AL12" s="213"/>
      <c r="AM12" s="213"/>
      <c r="AN12" s="217"/>
      <c r="AO12" s="218"/>
      <c r="AP12" s="218"/>
      <c r="AQ12" s="219" t="s">
        <v>45</v>
      </c>
      <c r="AR12" s="219">
        <v>0.5</v>
      </c>
      <c r="AS12" s="219">
        <v>5</v>
      </c>
      <c r="AT12" s="219">
        <v>2</v>
      </c>
      <c r="AU12" s="219">
        <v>1204</v>
      </c>
    </row>
    <row r="13" ht="16.2" spans="1:47">
      <c r="A13" s="201">
        <v>15000</v>
      </c>
      <c r="B13" s="2" t="str">
        <f t="shared" si="0"/>
        <v>2|1008|50,2|1003|30,2|1001|10,2|1002|10</v>
      </c>
      <c r="C13" s="60" t="s">
        <v>46</v>
      </c>
      <c r="D13" s="89">
        <f t="shared" si="7"/>
        <v>5000</v>
      </c>
      <c r="E13" s="200">
        <v>0.9</v>
      </c>
      <c r="F13" s="2">
        <f t="shared" si="4"/>
        <v>4500</v>
      </c>
      <c r="G13" s="7">
        <f>O13</f>
        <v>5000</v>
      </c>
      <c r="H13" s="199">
        <f t="shared" si="5"/>
        <v>1</v>
      </c>
      <c r="I13" s="7">
        <f t="shared" si="6"/>
        <v>5067</v>
      </c>
      <c r="J13" s="199">
        <f t="shared" si="8"/>
        <v>1.0134</v>
      </c>
      <c r="K13" s="212" t="s">
        <v>44</v>
      </c>
      <c r="L13" s="213">
        <f t="shared" si="1"/>
        <v>2</v>
      </c>
      <c r="M13" s="213">
        <f t="shared" si="2"/>
        <v>1008</v>
      </c>
      <c r="N13" s="214">
        <v>50</v>
      </c>
      <c r="O13" s="215">
        <f t="shared" si="3"/>
        <v>5000</v>
      </c>
      <c r="P13" s="212" t="s">
        <v>42</v>
      </c>
      <c r="Q13" s="213">
        <f>VLOOKUP(P13,AQ$1:AU$27,4,0)</f>
        <v>2</v>
      </c>
      <c r="R13" s="213">
        <f>VLOOKUP(P13,AQ$1:AU$27,5,0)</f>
        <v>1003</v>
      </c>
      <c r="S13" s="214">
        <v>30</v>
      </c>
      <c r="T13" s="215">
        <f>VLOOKUP(P13,AQ$1:AU$27,2,0)*S13</f>
        <v>60</v>
      </c>
      <c r="U13" s="212" t="s">
        <v>38</v>
      </c>
      <c r="V13" s="213">
        <f>VLOOKUP(U13,AQ$1:AU$27,4,0)</f>
        <v>2</v>
      </c>
      <c r="W13" s="213">
        <f>VLOOKUP(U13,AQ$1:AU$27,5,0)</f>
        <v>1001</v>
      </c>
      <c r="X13" s="214">
        <v>10</v>
      </c>
      <c r="Y13" s="215">
        <f>VLOOKUP(U13,AQ$1:AU$27,2,0)*X13</f>
        <v>2</v>
      </c>
      <c r="Z13" s="212" t="s">
        <v>40</v>
      </c>
      <c r="AA13" s="213">
        <f>VLOOKUP(Z13,AQ$1:AU$27,4,0)</f>
        <v>2</v>
      </c>
      <c r="AB13" s="213">
        <f>VLOOKUP(Z13,AQ$1:AU$27,5,0)</f>
        <v>1002</v>
      </c>
      <c r="AC13" s="214">
        <v>10</v>
      </c>
      <c r="AD13" s="215">
        <f>VLOOKUP(Z13,AQ$1:AU$27,2,0)*AC13</f>
        <v>5</v>
      </c>
      <c r="AE13" s="216"/>
      <c r="AF13" s="213"/>
      <c r="AG13" s="213"/>
      <c r="AH13" s="213"/>
      <c r="AI13" s="217"/>
      <c r="AJ13" s="42"/>
      <c r="AK13" s="43"/>
      <c r="AL13" s="43"/>
      <c r="AM13" s="43"/>
      <c r="AN13" s="13"/>
      <c r="AO13" s="2"/>
      <c r="AP13" s="2"/>
      <c r="AQ13" s="43" t="s">
        <v>34</v>
      </c>
      <c r="AR13" s="43">
        <v>15</v>
      </c>
      <c r="AS13" s="43">
        <v>150</v>
      </c>
      <c r="AT13" s="43">
        <v>2</v>
      </c>
      <c r="AU13" s="43">
        <v>1005</v>
      </c>
    </row>
    <row r="14" ht="15.6" spans="1:47">
      <c r="A14" s="2">
        <v>20000</v>
      </c>
      <c r="B14" s="2" t="str">
        <f t="shared" si="0"/>
        <v>1|2|40000000</v>
      </c>
      <c r="C14" s="2"/>
      <c r="D14" s="89">
        <f t="shared" si="7"/>
        <v>5000</v>
      </c>
      <c r="E14" s="2">
        <f>E5</f>
        <v>0.65</v>
      </c>
      <c r="F14" s="2">
        <f t="shared" si="4"/>
        <v>3250</v>
      </c>
      <c r="G14" s="7">
        <f>O14</f>
        <v>4000</v>
      </c>
      <c r="H14" s="199">
        <f t="shared" si="5"/>
        <v>0.8</v>
      </c>
      <c r="I14" s="7">
        <f t="shared" si="6"/>
        <v>4000</v>
      </c>
      <c r="J14" s="199">
        <f t="shared" si="8"/>
        <v>0.8</v>
      </c>
      <c r="K14" s="212" t="s">
        <v>32</v>
      </c>
      <c r="L14" s="213">
        <f t="shared" si="1"/>
        <v>1</v>
      </c>
      <c r="M14" s="213">
        <f t="shared" si="2"/>
        <v>2</v>
      </c>
      <c r="N14" s="214">
        <v>40000000</v>
      </c>
      <c r="O14" s="215">
        <f t="shared" si="3"/>
        <v>4000</v>
      </c>
      <c r="P14" s="216"/>
      <c r="Q14" s="213"/>
      <c r="R14" s="213"/>
      <c r="S14" s="213"/>
      <c r="T14" s="217"/>
      <c r="U14" s="216"/>
      <c r="V14" s="213"/>
      <c r="W14" s="213"/>
      <c r="X14" s="213"/>
      <c r="Y14" s="217"/>
      <c r="Z14" s="42"/>
      <c r="AA14" s="43"/>
      <c r="AB14" s="43"/>
      <c r="AC14" s="43"/>
      <c r="AD14" s="13"/>
      <c r="AE14" s="216"/>
      <c r="AF14" s="213"/>
      <c r="AG14" s="213"/>
      <c r="AH14" s="213"/>
      <c r="AI14" s="217"/>
      <c r="AJ14" s="42"/>
      <c r="AK14" s="43"/>
      <c r="AL14" s="43"/>
      <c r="AM14" s="43"/>
      <c r="AN14" s="13"/>
      <c r="AO14" s="2"/>
      <c r="AP14" s="2"/>
      <c r="AQ14" s="43" t="s">
        <v>37</v>
      </c>
      <c r="AR14" s="43">
        <v>25</v>
      </c>
      <c r="AS14" s="43">
        <v>250</v>
      </c>
      <c r="AT14" s="43">
        <v>2</v>
      </c>
      <c r="AU14" s="43">
        <v>1006</v>
      </c>
    </row>
    <row r="15" ht="15.6" spans="1:47">
      <c r="A15" s="2">
        <v>30000</v>
      </c>
      <c r="B15" s="2" t="str">
        <f t="shared" si="0"/>
        <v>1|2|80000000</v>
      </c>
      <c r="C15" s="2"/>
      <c r="D15" s="89">
        <f t="shared" si="7"/>
        <v>10000</v>
      </c>
      <c r="E15" s="2">
        <f>E5</f>
        <v>0.65</v>
      </c>
      <c r="F15" s="2">
        <f t="shared" si="4"/>
        <v>6500</v>
      </c>
      <c r="G15" s="7">
        <f>O15</f>
        <v>8000</v>
      </c>
      <c r="H15" s="199">
        <f t="shared" si="5"/>
        <v>0.8</v>
      </c>
      <c r="I15" s="7">
        <f t="shared" si="6"/>
        <v>8000</v>
      </c>
      <c r="J15" s="199">
        <f t="shared" si="8"/>
        <v>0.8</v>
      </c>
      <c r="K15" s="212" t="s">
        <v>32</v>
      </c>
      <c r="L15" s="213">
        <f t="shared" si="1"/>
        <v>1</v>
      </c>
      <c r="M15" s="213">
        <f t="shared" si="2"/>
        <v>2</v>
      </c>
      <c r="N15" s="214">
        <v>80000000</v>
      </c>
      <c r="O15" s="215">
        <f t="shared" si="3"/>
        <v>8000</v>
      </c>
      <c r="P15" s="216"/>
      <c r="Q15" s="213"/>
      <c r="R15" s="213"/>
      <c r="S15" s="213"/>
      <c r="T15" s="217"/>
      <c r="U15" s="216"/>
      <c r="V15" s="213"/>
      <c r="W15" s="213"/>
      <c r="X15" s="213"/>
      <c r="Y15" s="217"/>
      <c r="Z15" s="42"/>
      <c r="AA15" s="43"/>
      <c r="AB15" s="43"/>
      <c r="AC15" s="43"/>
      <c r="AD15" s="13"/>
      <c r="AE15" s="216"/>
      <c r="AF15" s="213"/>
      <c r="AG15" s="213"/>
      <c r="AH15" s="213"/>
      <c r="AI15" s="217"/>
      <c r="AJ15" s="42"/>
      <c r="AK15" s="43"/>
      <c r="AL15" s="43"/>
      <c r="AM15" s="43"/>
      <c r="AN15" s="13"/>
      <c r="AO15" s="2"/>
      <c r="AP15" s="2"/>
      <c r="AQ15" s="43" t="s">
        <v>39</v>
      </c>
      <c r="AR15" s="43">
        <v>50</v>
      </c>
      <c r="AS15" s="43">
        <v>500</v>
      </c>
      <c r="AT15" s="43">
        <v>2</v>
      </c>
      <c r="AU15" s="43">
        <v>1007</v>
      </c>
    </row>
    <row r="16" ht="16.2" spans="1:47">
      <c r="A16" s="200">
        <v>50000</v>
      </c>
      <c r="B16" s="2" t="str">
        <f t="shared" si="0"/>
        <v>2|1008|80,1|2|100000000,2|1003|50,2|1001|30,2|1002|30</v>
      </c>
      <c r="C16" s="60" t="s">
        <v>47</v>
      </c>
      <c r="D16" s="89">
        <f t="shared" si="7"/>
        <v>20000</v>
      </c>
      <c r="E16" s="200">
        <v>1</v>
      </c>
      <c r="F16" s="2">
        <f t="shared" si="4"/>
        <v>20000</v>
      </c>
      <c r="G16" s="7">
        <f>O16+T16+X16</f>
        <v>18050</v>
      </c>
      <c r="H16" s="199">
        <f t="shared" si="5"/>
        <v>0.9025</v>
      </c>
      <c r="I16" s="7">
        <f t="shared" si="6"/>
        <v>18121</v>
      </c>
      <c r="J16" s="199">
        <f t="shared" si="8"/>
        <v>0.90605</v>
      </c>
      <c r="K16" s="212" t="s">
        <v>44</v>
      </c>
      <c r="L16" s="213">
        <f t="shared" si="1"/>
        <v>2</v>
      </c>
      <c r="M16" s="213">
        <f t="shared" si="2"/>
        <v>1008</v>
      </c>
      <c r="N16" s="214">
        <v>80</v>
      </c>
      <c r="O16" s="215">
        <f t="shared" si="3"/>
        <v>8000</v>
      </c>
      <c r="P16" s="212" t="s">
        <v>32</v>
      </c>
      <c r="Q16" s="213">
        <f>VLOOKUP(P16,AQ$1:AU$27,4,0)</f>
        <v>1</v>
      </c>
      <c r="R16" s="213">
        <f>VLOOKUP(P16,AQ$1:AU$27,5,0)</f>
        <v>2</v>
      </c>
      <c r="S16" s="214">
        <v>100000000</v>
      </c>
      <c r="T16" s="215">
        <f>VLOOKUP(P16,AQ$1:AU$27,2,0)*S16</f>
        <v>10000</v>
      </c>
      <c r="U16" s="212" t="s">
        <v>42</v>
      </c>
      <c r="V16" s="213">
        <f>VLOOKUP(U16,AQ$1:AU$27,4,0)</f>
        <v>2</v>
      </c>
      <c r="W16" s="213">
        <f>VLOOKUP(U16,AQ$1:AU$27,5,0)</f>
        <v>1003</v>
      </c>
      <c r="X16" s="214">
        <v>50</v>
      </c>
      <c r="Y16" s="215">
        <f>VLOOKUP(U16,AQ$1:AU$27,2,0)*X16</f>
        <v>100</v>
      </c>
      <c r="Z16" s="212" t="s">
        <v>38</v>
      </c>
      <c r="AA16" s="213">
        <f>VLOOKUP(Z16,AQ$1:AU$27,4,0)</f>
        <v>2</v>
      </c>
      <c r="AB16" s="213">
        <f>VLOOKUP(Z16,AQ$1:AU$27,5,0)</f>
        <v>1001</v>
      </c>
      <c r="AC16" s="214">
        <v>30</v>
      </c>
      <c r="AD16" s="215">
        <f>VLOOKUP(Z16,AQ$1:AU$27,2,0)*AC16</f>
        <v>6</v>
      </c>
      <c r="AE16" s="212" t="s">
        <v>40</v>
      </c>
      <c r="AF16" s="213">
        <f>VLOOKUP(AE16,AQ$1:AU$27,4,0)</f>
        <v>2</v>
      </c>
      <c r="AG16" s="213">
        <f>VLOOKUP(AE16,AQ$1:AU$27,5,0)</f>
        <v>1002</v>
      </c>
      <c r="AH16" s="214">
        <v>30</v>
      </c>
      <c r="AI16" s="215">
        <f>VLOOKUP(AE16,AQ$1:AU$27,2,0)*AH16</f>
        <v>15</v>
      </c>
      <c r="AJ16" s="42"/>
      <c r="AK16" s="43"/>
      <c r="AL16" s="43"/>
      <c r="AM16" s="43"/>
      <c r="AN16" s="13"/>
      <c r="AO16" s="2"/>
      <c r="AP16" s="2"/>
      <c r="AQ16" s="43" t="s">
        <v>44</v>
      </c>
      <c r="AR16" s="43">
        <v>100</v>
      </c>
      <c r="AS16" s="43">
        <v>1000</v>
      </c>
      <c r="AT16" s="43">
        <v>2</v>
      </c>
      <c r="AU16" s="43">
        <v>1008</v>
      </c>
    </row>
    <row r="17" ht="15.6" spans="1:47">
      <c r="A17" s="2"/>
      <c r="B17" s="2"/>
      <c r="C17" s="2"/>
      <c r="D17" s="89"/>
      <c r="E17" s="2"/>
      <c r="F17" s="203">
        <f>SUM(F5:F16)/A16</f>
        <v>0.8196</v>
      </c>
      <c r="G17" s="204">
        <f>SUM(G5:G16)/A16</f>
        <v>0.8315</v>
      </c>
      <c r="H17" s="205"/>
      <c r="I17" s="204">
        <f>SUM(G5:G16)/A16</f>
        <v>0.8315</v>
      </c>
      <c r="J17" s="2"/>
      <c r="AO17" s="2"/>
      <c r="AP17" s="2"/>
      <c r="AQ17" s="43" t="s">
        <v>48</v>
      </c>
      <c r="AR17" s="43">
        <v>10</v>
      </c>
      <c r="AS17" s="43">
        <v>100</v>
      </c>
      <c r="AT17" s="43">
        <v>2</v>
      </c>
      <c r="AU17" s="43">
        <v>1206</v>
      </c>
    </row>
    <row r="18" ht="15.6" spans="1:47">
      <c r="A18" s="2"/>
      <c r="B18" s="2"/>
      <c r="C18" s="2"/>
      <c r="D18" s="2"/>
      <c r="E18" s="2"/>
      <c r="F18" s="2"/>
      <c r="G18" s="2"/>
      <c r="H18" s="2"/>
      <c r="I18" s="1"/>
      <c r="J18" s="1"/>
      <c r="AO18" s="2"/>
      <c r="AP18" s="2"/>
      <c r="AQ18" s="43" t="s">
        <v>49</v>
      </c>
      <c r="AR18" s="43">
        <v>2</v>
      </c>
      <c r="AS18" s="43">
        <v>20</v>
      </c>
      <c r="AT18" s="43">
        <v>2</v>
      </c>
      <c r="AU18" s="43">
        <v>1205</v>
      </c>
    </row>
    <row r="19" ht="15.6" spans="1:47">
      <c r="A19" s="2"/>
      <c r="B19" s="2"/>
      <c r="C19" s="2"/>
      <c r="D19" s="2"/>
      <c r="E19" s="2"/>
      <c r="F19" s="2"/>
      <c r="G19" s="2"/>
      <c r="H19" s="2"/>
      <c r="I19" s="1"/>
      <c r="J19" s="1"/>
      <c r="AO19" s="2"/>
      <c r="AP19" s="2"/>
      <c r="AQ19" s="43" t="s">
        <v>50</v>
      </c>
      <c r="AR19" s="43">
        <v>200</v>
      </c>
      <c r="AS19" s="43">
        <v>2000</v>
      </c>
      <c r="AT19" s="43">
        <v>2</v>
      </c>
      <c r="AU19" s="43">
        <v>1208</v>
      </c>
    </row>
    <row r="20" ht="15.6" spans="1:47">
      <c r="A20" s="2"/>
      <c r="B20" s="2"/>
      <c r="C20" s="2"/>
      <c r="D20" s="2"/>
      <c r="E20" s="2"/>
      <c r="F20" s="2"/>
      <c r="G20" s="2"/>
      <c r="H20" s="2"/>
      <c r="I20" s="1"/>
      <c r="J20" s="1"/>
      <c r="AO20" s="2"/>
      <c r="AP20" s="2"/>
      <c r="AQ20" s="43" t="s">
        <v>51</v>
      </c>
      <c r="AR20" s="43">
        <v>30</v>
      </c>
      <c r="AS20" s="43">
        <v>300</v>
      </c>
      <c r="AT20" s="43">
        <v>2</v>
      </c>
      <c r="AU20" s="43">
        <v>1209</v>
      </c>
    </row>
    <row r="21" ht="15.6" spans="1:47">
      <c r="A21" s="2"/>
      <c r="B21" s="2"/>
      <c r="C21" s="2"/>
      <c r="D21" s="2"/>
      <c r="E21" s="2"/>
      <c r="F21" s="2"/>
      <c r="G21" s="2"/>
      <c r="H21" s="2"/>
      <c r="I21" s="1"/>
      <c r="J21" s="1"/>
      <c r="AO21" s="2"/>
      <c r="AP21" s="2"/>
      <c r="AQ21" s="43" t="s">
        <v>52</v>
      </c>
      <c r="AR21" s="43">
        <v>50</v>
      </c>
      <c r="AS21" s="43">
        <v>500</v>
      </c>
      <c r="AT21" s="43">
        <v>2</v>
      </c>
      <c r="AU21" s="43">
        <v>1210</v>
      </c>
    </row>
    <row r="22" ht="15.6" spans="1:47">
      <c r="A22" s="2"/>
      <c r="B22" s="2"/>
      <c r="C22" s="2"/>
      <c r="D22" s="2"/>
      <c r="E22" s="2"/>
      <c r="F22" s="2"/>
      <c r="G22" s="2"/>
      <c r="H22" s="2"/>
      <c r="I22" s="1"/>
      <c r="J22" s="1"/>
      <c r="AO22" s="2"/>
      <c r="AP22" s="2"/>
      <c r="AQ22" s="43" t="s">
        <v>53</v>
      </c>
      <c r="AR22" s="43">
        <v>1</v>
      </c>
      <c r="AS22" s="43">
        <v>10</v>
      </c>
      <c r="AT22" s="43">
        <v>1</v>
      </c>
      <c r="AU22" s="43">
        <v>6</v>
      </c>
    </row>
    <row r="23" ht="15.6" spans="1:47">
      <c r="A23" s="2"/>
      <c r="B23" s="2"/>
      <c r="C23" s="2"/>
      <c r="D23" s="2"/>
      <c r="E23" s="2"/>
      <c r="F23" s="2"/>
      <c r="G23" s="2"/>
      <c r="H23" s="2"/>
      <c r="I23" s="1"/>
      <c r="J23" s="1"/>
      <c r="AO23" s="2"/>
      <c r="AP23" s="2"/>
      <c r="AQ23" s="43" t="s">
        <v>54</v>
      </c>
      <c r="AR23" s="43">
        <v>1</v>
      </c>
      <c r="AS23" s="43">
        <v>10</v>
      </c>
      <c r="AT23" s="43">
        <v>2</v>
      </c>
      <c r="AU23" s="43">
        <v>1301</v>
      </c>
    </row>
    <row r="24" ht="15.6" spans="1:47">
      <c r="A24" s="2"/>
      <c r="B24" s="2"/>
      <c r="C24" s="2"/>
      <c r="D24" s="2"/>
      <c r="E24" s="2"/>
      <c r="F24" s="2"/>
      <c r="G24" s="2"/>
      <c r="H24" s="2"/>
      <c r="I24" s="1"/>
      <c r="J24" s="1"/>
      <c r="AO24" s="2"/>
      <c r="AP24" s="2"/>
      <c r="AQ24" s="43" t="s">
        <v>55</v>
      </c>
      <c r="AR24" s="43">
        <v>1</v>
      </c>
      <c r="AS24" s="43">
        <v>10</v>
      </c>
      <c r="AT24" s="43">
        <v>2</v>
      </c>
      <c r="AU24" s="43">
        <v>1302</v>
      </c>
    </row>
    <row r="25" ht="15.6" spans="1:47">
      <c r="A25" s="2"/>
      <c r="B25" s="2"/>
      <c r="C25" s="2"/>
      <c r="D25" s="2"/>
      <c r="E25" s="2"/>
      <c r="F25" s="2"/>
      <c r="G25" s="2"/>
      <c r="H25" s="2"/>
      <c r="I25" s="1"/>
      <c r="J25" s="1"/>
      <c r="AO25" s="2"/>
      <c r="AP25" s="2"/>
      <c r="AQ25" s="43" t="s">
        <v>56</v>
      </c>
      <c r="AR25" s="43">
        <v>1</v>
      </c>
      <c r="AS25" s="43">
        <v>10</v>
      </c>
      <c r="AT25" s="43">
        <v>2</v>
      </c>
      <c r="AU25" s="43">
        <v>1303</v>
      </c>
    </row>
    <row r="26" ht="15.6" spans="1:47">
      <c r="A26" s="2"/>
      <c r="B26" s="1"/>
      <c r="C26" s="1"/>
      <c r="D26" s="2"/>
      <c r="E26" s="2"/>
      <c r="F26" s="2"/>
      <c r="G26" s="2"/>
      <c r="H26" s="2"/>
      <c r="I26" s="1"/>
      <c r="J26" s="1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43" t="s">
        <v>57</v>
      </c>
      <c r="AR26" s="43">
        <v>1</v>
      </c>
      <c r="AS26" s="43">
        <v>10</v>
      </c>
      <c r="AT26" s="43">
        <v>2</v>
      </c>
      <c r="AU26" s="43">
        <v>1304</v>
      </c>
    </row>
    <row r="27" ht="15.6" spans="1:47">
      <c r="A27" s="2"/>
      <c r="B27" s="1"/>
      <c r="C27" s="1"/>
      <c r="D27" s="2"/>
      <c r="E27" s="2"/>
      <c r="F27" s="2"/>
      <c r="G27" s="2"/>
      <c r="H27" s="2"/>
      <c r="I27" s="1"/>
      <c r="J27" s="1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43">
        <v>0</v>
      </c>
      <c r="AR27" s="43">
        <v>0</v>
      </c>
      <c r="AS27" s="43">
        <v>0</v>
      </c>
      <c r="AT27" s="43">
        <v>0</v>
      </c>
      <c r="AU27" s="43">
        <v>0</v>
      </c>
    </row>
  </sheetData>
  <mergeCells count="13">
    <mergeCell ref="K3:O3"/>
    <mergeCell ref="P3:T3"/>
    <mergeCell ref="U3:Y3"/>
    <mergeCell ref="Z3:AD3"/>
    <mergeCell ref="AE3:AI3"/>
    <mergeCell ref="AJ3:AN3"/>
    <mergeCell ref="D1:D4"/>
    <mergeCell ref="E1:E4"/>
    <mergeCell ref="F1:F4"/>
    <mergeCell ref="G1:G4"/>
    <mergeCell ref="H1:H4"/>
    <mergeCell ref="I1:I4"/>
    <mergeCell ref="J1:J4"/>
  </mergeCells>
  <conditionalFormatting sqref="D1">
    <cfRule type="containsText" dxfId="0" priority="4" operator="between" text=" ">
      <formula>NOT(ISERROR(SEARCH(" ",D1)))</formula>
    </cfRule>
  </conditionalFormatting>
  <conditionalFormatting sqref="H1">
    <cfRule type="containsText" dxfId="0" priority="5" operator="between" text=" ">
      <formula>NOT(ISERROR(SEARCH(" ",H1)))</formula>
    </cfRule>
  </conditionalFormatting>
  <conditionalFormatting sqref="J1">
    <cfRule type="containsText" dxfId="0" priority="3" operator="between" text=" ">
      <formula>NOT(ISERROR(SEARCH(" ",J1)))</formula>
    </cfRule>
  </conditionalFormatting>
  <conditionalFormatting sqref="K1">
    <cfRule type="containsText" dxfId="0" priority="111" operator="between" text=" ">
      <formula>NOT(ISERROR(SEARCH(" ",K1)))</formula>
    </cfRule>
  </conditionalFormatting>
  <conditionalFormatting sqref="B4">
    <cfRule type="containsText" dxfId="0" priority="306" operator="between" text=" ">
      <formula>NOT(ISERROR(SEARCH(" ",B4)))</formula>
    </cfRule>
  </conditionalFormatting>
  <conditionalFormatting sqref="C4">
    <cfRule type="containsText" dxfId="0" priority="1" operator="between" text=" ">
      <formula>NOT(ISERROR(SEARCH(" ",C4)))</formula>
    </cfRule>
  </conditionalFormatting>
  <conditionalFormatting sqref="T4">
    <cfRule type="containsText" dxfId="0" priority="265" operator="between" text=" ">
      <formula>NOT(ISERROR(SEARCH(" ",T4)))</formula>
    </cfRule>
  </conditionalFormatting>
  <conditionalFormatting sqref="Y4">
    <cfRule type="containsText" dxfId="0" priority="264" operator="between" text=" ">
      <formula>NOT(ISERROR(SEARCH(" ",Y4)))</formula>
    </cfRule>
  </conditionalFormatting>
  <conditionalFormatting sqref="AD4">
    <cfRule type="containsText" dxfId="0" priority="263" operator="between" text=" ">
      <formula>NOT(ISERROR(SEARCH(" ",AD4)))</formula>
    </cfRule>
  </conditionalFormatting>
  <conditionalFormatting sqref="AI4">
    <cfRule type="containsText" dxfId="0" priority="262" operator="between" text=" ">
      <formula>NOT(ISERROR(SEARCH(" ",AI4)))</formula>
    </cfRule>
  </conditionalFormatting>
  <conditionalFormatting sqref="AN4">
    <cfRule type="containsText" dxfId="0" priority="217" operator="between" text=" ">
      <formula>NOT(ISERROR(SEARCH(" ",AN4)))</formula>
    </cfRule>
  </conditionalFormatting>
  <conditionalFormatting sqref="N5">
    <cfRule type="containsText" dxfId="0" priority="35" operator="between" text=" ">
      <formula>NOT(ISERROR(SEARCH(" ",N5)))</formula>
    </cfRule>
  </conditionalFormatting>
  <conditionalFormatting sqref="N6">
    <cfRule type="containsText" dxfId="0" priority="34" operator="between" text=" ">
      <formula>NOT(ISERROR(SEARCH(" ",N6)))</formula>
    </cfRule>
  </conditionalFormatting>
  <conditionalFormatting sqref="N7">
    <cfRule type="containsText" dxfId="0" priority="33" operator="between" text=" ">
      <formula>NOT(ISERROR(SEARCH(" ",N7)))</formula>
    </cfRule>
  </conditionalFormatting>
  <conditionalFormatting sqref="P7">
    <cfRule type="containsText" dxfId="0" priority="27" operator="between" text=" ">
      <formula>NOT(ISERROR(SEARCH(" ",P7)))</formula>
    </cfRule>
  </conditionalFormatting>
  <conditionalFormatting sqref="Q7:T7">
    <cfRule type="containsText" dxfId="0" priority="97" operator="between" text=" ">
      <formula>NOT(ISERROR(SEARCH(" ",Q7)))</formula>
    </cfRule>
  </conditionalFormatting>
  <conditionalFormatting sqref="Z7">
    <cfRule type="containsText" dxfId="0" priority="67" operator="between" text=" ">
      <formula>NOT(ISERROR(SEARCH(" ",Z7)))</formula>
    </cfRule>
  </conditionalFormatting>
  <conditionalFormatting sqref="AC7">
    <cfRule type="containsText" dxfId="0" priority="68" operator="between" text=" ">
      <formula>NOT(ISERROR(SEARCH(" ",AC7)))</formula>
    </cfRule>
  </conditionalFormatting>
  <conditionalFormatting sqref="AE7">
    <cfRule type="containsText" dxfId="0" priority="29" operator="between" text=" ">
      <formula>NOT(ISERROR(SEARCH(" ",AE7)))</formula>
    </cfRule>
  </conditionalFormatting>
  <conditionalFormatting sqref="N8">
    <cfRule type="containsText" dxfId="0" priority="32" operator="between" text=" ">
      <formula>NOT(ISERROR(SEARCH(" ",N8)))</formula>
    </cfRule>
  </conditionalFormatting>
  <conditionalFormatting sqref="N9">
    <cfRule type="containsText" dxfId="0" priority="31" operator="between" text=" ">
      <formula>NOT(ISERROR(SEARCH(" ",N9)))</formula>
    </cfRule>
  </conditionalFormatting>
  <conditionalFormatting sqref="N10">
    <cfRule type="containsText" dxfId="0" priority="40" operator="between" text=" ">
      <formula>NOT(ISERROR(SEARCH(" ",N10)))</formula>
    </cfRule>
  </conditionalFormatting>
  <conditionalFormatting sqref="P10">
    <cfRule type="containsText" dxfId="0" priority="81" operator="between" text=" ">
      <formula>NOT(ISERROR(SEARCH(" ",P10)))</formula>
    </cfRule>
  </conditionalFormatting>
  <conditionalFormatting sqref="S10">
    <cfRule type="containsText" dxfId="0" priority="78" operator="between" text=" ">
      <formula>NOT(ISERROR(SEARCH(" ",S10)))</formula>
    </cfRule>
  </conditionalFormatting>
  <conditionalFormatting sqref="Z10">
    <cfRule type="containsText" dxfId="0" priority="64" operator="between" text=" ">
      <formula>NOT(ISERROR(SEARCH(" ",Z10)))</formula>
    </cfRule>
  </conditionalFormatting>
  <conditionalFormatting sqref="AC10">
    <cfRule type="containsText" dxfId="0" priority="65" operator="between" text=" ">
      <formula>NOT(ISERROR(SEARCH(" ",AC10)))</formula>
    </cfRule>
  </conditionalFormatting>
  <conditionalFormatting sqref="N11">
    <cfRule type="containsText" dxfId="0" priority="41" operator="between" text=" ">
      <formula>NOT(ISERROR(SEARCH(" ",N11)))</formula>
    </cfRule>
  </conditionalFormatting>
  <conditionalFormatting sqref="N12">
    <cfRule type="containsText" dxfId="0" priority="39" operator="between" text=" ">
      <formula>NOT(ISERROR(SEARCH(" ",N12)))</formula>
    </cfRule>
  </conditionalFormatting>
  <conditionalFormatting sqref="AP12">
    <cfRule type="containsText" dxfId="0" priority="320" operator="between" text=" ">
      <formula>NOT(ISERROR(SEARCH(" ",AP12)))</formula>
    </cfRule>
  </conditionalFormatting>
  <conditionalFormatting sqref="N13">
    <cfRule type="containsText" dxfId="0" priority="38" operator="between" text=" ">
      <formula>NOT(ISERROR(SEARCH(" ",N13)))</formula>
    </cfRule>
  </conditionalFormatting>
  <conditionalFormatting sqref="P13">
    <cfRule type="containsText" dxfId="0" priority="80" operator="between" text=" ">
      <formula>NOT(ISERROR(SEARCH(" ",P13)))</formula>
    </cfRule>
  </conditionalFormatting>
  <conditionalFormatting sqref="S13">
    <cfRule type="containsText" dxfId="0" priority="77" operator="between" text=" ">
      <formula>NOT(ISERROR(SEARCH(" ",S13)))</formula>
    </cfRule>
  </conditionalFormatting>
  <conditionalFormatting sqref="Z13">
    <cfRule type="containsText" dxfId="0" priority="10" operator="between" text=" ">
      <formula>NOT(ISERROR(SEARCH(" ",Z13)))</formula>
    </cfRule>
  </conditionalFormatting>
  <conditionalFormatting sqref="AC13">
    <cfRule type="containsText" dxfId="0" priority="11" operator="between" text=" ">
      <formula>NOT(ISERROR(SEARCH(" ",AC13)))</formula>
    </cfRule>
  </conditionalFormatting>
  <conditionalFormatting sqref="AF13">
    <cfRule type="containsText" dxfId="0" priority="30" operator="between" text=" ">
      <formula>NOT(ISERROR(SEARCH(" ",AF13)))</formula>
    </cfRule>
  </conditionalFormatting>
  <conditionalFormatting sqref="AP13">
    <cfRule type="containsText" dxfId="0" priority="319" operator="between" text=" ">
      <formula>NOT(ISERROR(SEARCH(" ",AP13)))</formula>
    </cfRule>
  </conditionalFormatting>
  <conditionalFormatting sqref="A14">
    <cfRule type="containsText" dxfId="0" priority="108" operator="between" text=" ">
      <formula>NOT(ISERROR(SEARCH(" ",A14)))</formula>
    </cfRule>
  </conditionalFormatting>
  <conditionalFormatting sqref="N14">
    <cfRule type="containsText" dxfId="0" priority="37" operator="between" text=" ">
      <formula>NOT(ISERROR(SEARCH(" ",N14)))</formula>
    </cfRule>
  </conditionalFormatting>
  <conditionalFormatting sqref="AE14:AI14">
    <cfRule type="containsText" dxfId="0" priority="90" operator="between" text=" ">
      <formula>NOT(ISERROR(SEARCH(" ",AE14)))</formula>
    </cfRule>
  </conditionalFormatting>
  <conditionalFormatting sqref="AP14">
    <cfRule type="containsText" dxfId="0" priority="318" operator="between" text=" ">
      <formula>NOT(ISERROR(SEARCH(" ",AP14)))</formula>
    </cfRule>
  </conditionalFormatting>
  <conditionalFormatting sqref="A15">
    <cfRule type="containsText" dxfId="0" priority="24" operator="between" text=" ">
      <formula>NOT(ISERROR(SEARCH(" ",A15)))</formula>
    </cfRule>
  </conditionalFormatting>
  <conditionalFormatting sqref="B15:C15">
    <cfRule type="containsText" dxfId="0" priority="25" operator="between" text=" ">
      <formula>NOT(ISERROR(SEARCH(" ",B15)))</formula>
    </cfRule>
  </conditionalFormatting>
  <conditionalFormatting sqref="E15:F15">
    <cfRule type="containsText" dxfId="0" priority="26" operator="between" text=" ">
      <formula>NOT(ISERROR(SEARCH(" ",E15)))</formula>
    </cfRule>
  </conditionalFormatting>
  <conditionalFormatting sqref="K15">
    <cfRule type="containsText" dxfId="0" priority="14" operator="between" text=" ">
      <formula>NOT(ISERROR(SEARCH(" ",K15)))</formula>
    </cfRule>
  </conditionalFormatting>
  <conditionalFormatting sqref="N15">
    <cfRule type="containsText" dxfId="0" priority="13" operator="between" text=" ">
      <formula>NOT(ISERROR(SEARCH(" ",N15)))</formula>
    </cfRule>
  </conditionalFormatting>
  <conditionalFormatting sqref="Z15:AD15">
    <cfRule type="containsText" dxfId="0" priority="20" operator="between" text=" ">
      <formula>NOT(ISERROR(SEARCH(" ",Z15)))</formula>
    </cfRule>
  </conditionalFormatting>
  <conditionalFormatting sqref="AE15:AI15">
    <cfRule type="containsText" dxfId="0" priority="21" operator="between" text=" ">
      <formula>NOT(ISERROR(SEARCH(" ",AE15)))</formula>
    </cfRule>
  </conditionalFormatting>
  <conditionalFormatting sqref="AJ15:AN15">
    <cfRule type="containsText" dxfId="0" priority="19" operator="between" text=" ">
      <formula>NOT(ISERROR(SEARCH(" ",AJ15)))</formula>
    </cfRule>
  </conditionalFormatting>
  <conditionalFormatting sqref="AP15">
    <cfRule type="containsText" dxfId="0" priority="317" operator="between" text=" ">
      <formula>NOT(ISERROR(SEARCH(" ",AP15)))</formula>
    </cfRule>
  </conditionalFormatting>
  <conditionalFormatting sqref="A16">
    <cfRule type="containsText" dxfId="0" priority="107" operator="between" text=" ">
      <formula>NOT(ISERROR(SEARCH(" ",A16)))</formula>
    </cfRule>
  </conditionalFormatting>
  <conditionalFormatting sqref="N16">
    <cfRule type="containsText" dxfId="0" priority="36" operator="between" text=" ">
      <formula>NOT(ISERROR(SEARCH(" ",N16)))</formula>
    </cfRule>
  </conditionalFormatting>
  <conditionalFormatting sqref="P16">
    <cfRule type="containsText" dxfId="0" priority="79" operator="between" text=" ">
      <formula>NOT(ISERROR(SEARCH(" ",P16)))</formula>
    </cfRule>
  </conditionalFormatting>
  <conditionalFormatting sqref="S16">
    <cfRule type="containsText" dxfId="0" priority="76" operator="between" text=" ">
      <formula>NOT(ISERROR(SEARCH(" ",S16)))</formula>
    </cfRule>
  </conditionalFormatting>
  <conditionalFormatting sqref="Z16">
    <cfRule type="containsText" dxfId="0" priority="61" operator="between" text=" ">
      <formula>NOT(ISERROR(SEARCH(" ",Z16)))</formula>
    </cfRule>
  </conditionalFormatting>
  <conditionalFormatting sqref="AC16">
    <cfRule type="containsText" dxfId="0" priority="62" operator="between" text=" ">
      <formula>NOT(ISERROR(SEARCH(" ",AC16)))</formula>
    </cfRule>
  </conditionalFormatting>
  <conditionalFormatting sqref="AE16">
    <cfRule type="containsText" dxfId="0" priority="7" operator="between" text=" ">
      <formula>NOT(ISERROR(SEARCH(" ",AE16)))</formula>
    </cfRule>
  </conditionalFormatting>
  <conditionalFormatting sqref="AH16">
    <cfRule type="containsText" dxfId="0" priority="8" operator="between" text=" ">
      <formula>NOT(ISERROR(SEARCH(" ",AH16)))</formula>
    </cfRule>
  </conditionalFormatting>
  <conditionalFormatting sqref="AP16">
    <cfRule type="containsText" dxfId="0" priority="316" operator="between" text=" ">
      <formula>NOT(ISERROR(SEARCH(" ",AP16)))</formula>
    </cfRule>
  </conditionalFormatting>
  <conditionalFormatting sqref="A17">
    <cfRule type="containsText" dxfId="0" priority="92" operator="between" text=" ">
      <formula>NOT(ISERROR(SEARCH(" ",A17)))</formula>
    </cfRule>
  </conditionalFormatting>
  <conditionalFormatting sqref="D22:H22">
    <cfRule type="containsText" dxfId="0" priority="199" operator="between" text=" ">
      <formula>NOT(ISERROR(SEARCH(" ",D22)))</formula>
    </cfRule>
  </conditionalFormatting>
  <conditionalFormatting sqref="I22">
    <cfRule type="containsText" dxfId="0" priority="198" operator="between" text=" ">
      <formula>NOT(ISERROR(SEARCH(" ",I22)))</formula>
    </cfRule>
  </conditionalFormatting>
  <conditionalFormatting sqref="D23:H23">
    <cfRule type="containsText" dxfId="0" priority="194" operator="between" text=" ">
      <formula>NOT(ISERROR(SEARCH(" ",D23)))</formula>
    </cfRule>
  </conditionalFormatting>
  <conditionalFormatting sqref="I23">
    <cfRule type="containsText" dxfId="0" priority="193" operator="between" text=" ">
      <formula>NOT(ISERROR(SEARCH(" ",I23)))</formula>
    </cfRule>
  </conditionalFormatting>
  <conditionalFormatting sqref="D24:H24">
    <cfRule type="containsText" dxfId="0" priority="189" operator="between" text=" ">
      <formula>NOT(ISERROR(SEARCH(" ",D24)))</formula>
    </cfRule>
  </conditionalFormatting>
  <conditionalFormatting sqref="I24">
    <cfRule type="containsText" dxfId="0" priority="188" operator="between" text=" ">
      <formula>NOT(ISERROR(SEARCH(" ",I24)))</formula>
    </cfRule>
  </conditionalFormatting>
  <conditionalFormatting sqref="A25">
    <cfRule type="containsText" dxfId="0" priority="152" operator="between" text=" ">
      <formula>NOT(ISERROR(SEARCH(" ",A25)))</formula>
    </cfRule>
  </conditionalFormatting>
  <conditionalFormatting sqref="B1:B3">
    <cfRule type="containsText" dxfId="0" priority="307" operator="between" text=" ">
      <formula>NOT(ISERROR(SEARCH(" ",B1)))</formula>
    </cfRule>
  </conditionalFormatting>
  <conditionalFormatting sqref="C1:C3">
    <cfRule type="containsText" dxfId="0" priority="2" operator="between" text=" ">
      <formula>NOT(ISERROR(SEARCH(" ",C1)))</formula>
    </cfRule>
  </conditionalFormatting>
  <conditionalFormatting sqref="A2 A26:A27 A19:A21 A4 D26:H27 B18:C25 E1:F1">
    <cfRule type="containsText" dxfId="0" priority="301" operator="between" text=" ">
      <formula>NOT(ISERROR(SEARCH(" ",A1)))</formula>
    </cfRule>
  </conditionalFormatting>
  <conditionalFormatting sqref="A1 A3">
    <cfRule type="containsText" dxfId="0" priority="327" operator="between" text=" ">
      <formula>NOT(ISERROR(SEARCH(" ",A1)))</formula>
    </cfRule>
  </conditionalFormatting>
  <conditionalFormatting sqref="K2:O2 K4:O4 K3 AO4:AP4 AO1:AQ3 AO10:AP10 L1:O1">
    <cfRule type="containsText" dxfId="0" priority="315" operator="between" text=" ">
      <formula>NOT(ISERROR(SEARCH(" ",K1)))</formula>
    </cfRule>
  </conditionalFormatting>
  <conditionalFormatting sqref="P1:T2 P4:S4 P3">
    <cfRule type="containsText" dxfId="0" priority="312" operator="between" text=" ">
      <formula>NOT(ISERROR(SEARCH(" ",P1)))</formula>
    </cfRule>
  </conditionalFormatting>
  <conditionalFormatting sqref="U1:Y2 U3 U4:X4">
    <cfRule type="containsText" dxfId="0" priority="310" operator="between" text=" ">
      <formula>NOT(ISERROR(SEARCH(" ",U1)))</formula>
    </cfRule>
  </conditionalFormatting>
  <conditionalFormatting sqref="Z1:AD2 Z4:AC4 Z3">
    <cfRule type="containsText" dxfId="0" priority="286" operator="between" text=" ">
      <formula>NOT(ISERROR(SEARCH(" ",Z1)))</formula>
    </cfRule>
  </conditionalFormatting>
  <conditionalFormatting sqref="AE1:AI2 AE3 AE4:AH4">
    <cfRule type="containsText" dxfId="0" priority="283" operator="between" text=" ">
      <formula>NOT(ISERROR(SEARCH(" ",AE1)))</formula>
    </cfRule>
  </conditionalFormatting>
  <conditionalFormatting sqref="AJ1:AN2 AJ4:AM4 AJ3">
    <cfRule type="containsText" dxfId="0" priority="224" operator="between" text=" ">
      <formula>NOT(ISERROR(SEARCH(" ",AJ1)))</formula>
    </cfRule>
  </conditionalFormatting>
  <conditionalFormatting sqref="AQ4:AU27">
    <cfRule type="containsText" dxfId="0" priority="314" operator="between" text=" ">
      <formula>NOT(ISERROR(SEARCH(" ",AQ4)))</formula>
    </cfRule>
  </conditionalFormatting>
  <conditionalFormatting sqref="A5:A13 B17:D17 B16 G5:J6 G16 I16 G7:G14 I7:I14 H7:H16 J7:J16">
    <cfRule type="containsText" dxfId="0" priority="101" operator="between" text=" ">
      <formula>NOT(ISERROR(SEARCH(" ",A5)))</formula>
    </cfRule>
  </conditionalFormatting>
  <conditionalFormatting sqref="AO17:AP20 AO5:AP9 B26:C27 I18:J19 I25:J27">
    <cfRule type="containsText" dxfId="0" priority="328" operator="between" text=" ">
      <formula>NOT(ISERROR(SEARCH(" ",B5)))</formula>
    </cfRule>
  </conditionalFormatting>
  <conditionalFormatting sqref="B5:D6 B8:C9 B7 B11:C12 B10 B14:C14 B13 H17 D7:D16">
    <cfRule type="containsText" dxfId="0" priority="109" operator="between" text=" ">
      <formula>NOT(ISERROR(SEARCH(" ",B5)))</formula>
    </cfRule>
  </conditionalFormatting>
  <conditionalFormatting sqref="E16:F17 E5:F14">
    <cfRule type="containsText" dxfId="0" priority="110" operator="between" text=" ">
      <formula>NOT(ISERROR(SEARCH(" ",E5)))</formula>
    </cfRule>
  </conditionalFormatting>
  <conditionalFormatting sqref="K5:K14 K16">
    <cfRule type="containsText" dxfId="0" priority="42" operator="between" text=" ">
      <formula>NOT(ISERROR(SEARCH(" ",K5)))</formula>
    </cfRule>
  </conditionalFormatting>
  <conditionalFormatting sqref="L5:M5 O5">
    <cfRule type="containsText" dxfId="0" priority="100" operator="between" text=" ">
      <formula>NOT(ISERROR(SEARCH(" ",L5)))</formula>
    </cfRule>
  </conditionalFormatting>
  <conditionalFormatting sqref="P5:T5 Q6:R6 T6">
    <cfRule type="containsText" dxfId="0" priority="58" operator="between" text=" ">
      <formula>NOT(ISERROR(SEARCH(" ",P5)))</formula>
    </cfRule>
  </conditionalFormatting>
  <conditionalFormatting sqref="U5:Y5 V6:W6 Y6">
    <cfRule type="containsText" dxfId="0" priority="57" operator="between" text=" ">
      <formula>NOT(ISERROR(SEARCH(" ",U5)))</formula>
    </cfRule>
  </conditionalFormatting>
  <conditionalFormatting sqref="Z5:AD5 AA6:AB6 AD6 AD8 AA8:AB8">
    <cfRule type="containsText" dxfId="0" priority="89" operator="between" text=" ">
      <formula>NOT(ISERROR(SEARCH(" ",Z5)))</formula>
    </cfRule>
  </conditionalFormatting>
  <conditionalFormatting sqref="AE5:AI5 AI6:AI12 AF6:AG12">
    <cfRule type="containsText" dxfId="0" priority="88" operator="between" text=" ">
      <formula>NOT(ISERROR(SEARCH(" ",AE5)))</formula>
    </cfRule>
  </conditionalFormatting>
  <conditionalFormatting sqref="AJ5:AN5 AK6:AL12 AN6:AN12">
    <cfRule type="containsText" dxfId="0" priority="74" operator="between" text=" ">
      <formula>NOT(ISERROR(SEARCH(" ",AJ5)))</formula>
    </cfRule>
  </conditionalFormatting>
  <conditionalFormatting sqref="L6:M6 O6">
    <cfRule type="containsText" dxfId="0" priority="99" operator="between" text=" ">
      <formula>NOT(ISERROR(SEARCH(" ",L6)))</formula>
    </cfRule>
  </conditionalFormatting>
  <conditionalFormatting sqref="P6 S6">
    <cfRule type="containsText" dxfId="0" priority="56" operator="between" text=" ">
      <formula>NOT(ISERROR(SEARCH(" ",P6)))</formula>
    </cfRule>
  </conditionalFormatting>
  <conditionalFormatting sqref="U6 X6">
    <cfRule type="containsText" dxfId="0" priority="55" operator="between" text=" ">
      <formula>NOT(ISERROR(SEARCH(" ",U6)))</formula>
    </cfRule>
  </conditionalFormatting>
  <conditionalFormatting sqref="Z6 AC6">
    <cfRule type="containsText" dxfId="0" priority="87" operator="between" text=" ">
      <formula>NOT(ISERROR(SEARCH(" ",Z6)))</formula>
    </cfRule>
  </conditionalFormatting>
  <conditionalFormatting sqref="AE6 AH6">
    <cfRule type="containsText" dxfId="0" priority="86" operator="between" text=" ">
      <formula>NOT(ISERROR(SEARCH(" ",AE6)))</formula>
    </cfRule>
  </conditionalFormatting>
  <conditionalFormatting sqref="AJ6 AM6">
    <cfRule type="containsText" dxfId="0" priority="73" operator="between" text=" ">
      <formula>NOT(ISERROR(SEARCH(" ",AJ6)))</formula>
    </cfRule>
  </conditionalFormatting>
  <conditionalFormatting sqref="L7:M7 O7">
    <cfRule type="containsText" dxfId="0" priority="98" operator="between" text=" ">
      <formula>NOT(ISERROR(SEARCH(" ",L7)))</formula>
    </cfRule>
  </conditionalFormatting>
  <conditionalFormatting sqref="V10:Y10 U7:Y7 V13:Y13 V16:Y16">
    <cfRule type="containsText" dxfId="0" priority="93" operator="between" text=" ">
      <formula>NOT(ISERROR(SEARCH(" ",U7)))</formula>
    </cfRule>
  </conditionalFormatting>
  <conditionalFormatting sqref="AD7 AA7:AB7">
    <cfRule type="containsText" dxfId="0" priority="69" operator="between" text=" ">
      <formula>NOT(ISERROR(SEARCH(" ",AA7)))</formula>
    </cfRule>
  </conditionalFormatting>
  <conditionalFormatting sqref="AH7 AE9 AE11 AH9 AH11">
    <cfRule type="containsText" dxfId="0" priority="85" operator="between" text=" ">
      <formula>NOT(ISERROR(SEARCH(" ",AE7)))</formula>
    </cfRule>
  </conditionalFormatting>
  <conditionalFormatting sqref="AJ7 AM7 AJ9 AJ11 AM9 AM11">
    <cfRule type="containsText" dxfId="0" priority="72" operator="between" text=" ">
      <formula>NOT(ISERROR(SEARCH(" ",AJ7)))</formula>
    </cfRule>
  </conditionalFormatting>
  <conditionalFormatting sqref="L8:M8 O8">
    <cfRule type="containsText" dxfId="0" priority="96" operator="between" text=" ">
      <formula>NOT(ISERROR(SEARCH(" ",L8)))</formula>
    </cfRule>
  </conditionalFormatting>
  <conditionalFormatting sqref="P8:T8 Q9:R9 T9">
    <cfRule type="containsText" dxfId="0" priority="54" operator="between" text=" ">
      <formula>NOT(ISERROR(SEARCH(" ",P8)))</formula>
    </cfRule>
  </conditionalFormatting>
  <conditionalFormatting sqref="U8:Y8 V9:W9 Y9">
    <cfRule type="containsText" dxfId="0" priority="53" operator="between" text=" ">
      <formula>NOT(ISERROR(SEARCH(" ",U8)))</formula>
    </cfRule>
  </conditionalFormatting>
  <conditionalFormatting sqref="Z8 AC8">
    <cfRule type="containsText" dxfId="0" priority="84" operator="between" text=" ">
      <formula>NOT(ISERROR(SEARCH(" ",Z8)))</formula>
    </cfRule>
  </conditionalFormatting>
  <conditionalFormatting sqref="AE8 AH8 AE10 AE12 AH10 AH12">
    <cfRule type="containsText" dxfId="0" priority="83" operator="between" text=" ">
      <formula>NOT(ISERROR(SEARCH(" ",AE8)))</formula>
    </cfRule>
  </conditionalFormatting>
  <conditionalFormatting sqref="AJ8 AM8 AJ10 AJ12 AM10 AM12">
    <cfRule type="containsText" dxfId="0" priority="71" operator="between" text=" ">
      <formula>NOT(ISERROR(SEARCH(" ",AJ8)))</formula>
    </cfRule>
  </conditionalFormatting>
  <conditionalFormatting sqref="L9:M9 O9">
    <cfRule type="containsText" dxfId="0" priority="95" operator="between" text=" ">
      <formula>NOT(ISERROR(SEARCH(" ",L9)))</formula>
    </cfRule>
  </conditionalFormatting>
  <conditionalFormatting sqref="P9 S9">
    <cfRule type="containsText" dxfId="0" priority="52" operator="between" text=" ">
      <formula>NOT(ISERROR(SEARCH(" ",P9)))</formula>
    </cfRule>
  </conditionalFormatting>
  <conditionalFormatting sqref="U9 X9">
    <cfRule type="containsText" dxfId="0" priority="51" operator="between" text=" ">
      <formula>NOT(ISERROR(SEARCH(" ",U9)))</formula>
    </cfRule>
  </conditionalFormatting>
  <conditionalFormatting sqref="Z9 AC9">
    <cfRule type="containsText" dxfId="0" priority="59" operator="between" text=" ">
      <formula>NOT(ISERROR(SEARCH(" ",Z9)))</formula>
    </cfRule>
  </conditionalFormatting>
  <conditionalFormatting sqref="AD9 AA9:AB9">
    <cfRule type="containsText" dxfId="0" priority="60" operator="between" text=" ">
      <formula>NOT(ISERROR(SEARCH(" ",AA9)))</formula>
    </cfRule>
  </conditionalFormatting>
  <conditionalFormatting sqref="L10:M11 O10:O11">
    <cfRule type="containsText" dxfId="0" priority="106" operator="between" text=" ">
      <formula>NOT(ISERROR(SEARCH(" ",L10)))</formula>
    </cfRule>
  </conditionalFormatting>
  <conditionalFormatting sqref="T10 Q10:R10 Q13:R13 T13 T16 Q16:R16">
    <cfRule type="containsText" dxfId="0" priority="94" operator="between" text=" ">
      <formula>NOT(ISERROR(SEARCH(" ",Q10)))</formula>
    </cfRule>
  </conditionalFormatting>
  <conditionalFormatting sqref="U10 U13 U16">
    <cfRule type="containsText" dxfId="0" priority="75" operator="between" text=" ">
      <formula>NOT(ISERROR(SEARCH(" ",U10)))</formula>
    </cfRule>
  </conditionalFormatting>
  <conditionalFormatting sqref="AD10 AA10:AB10">
    <cfRule type="containsText" dxfId="0" priority="66" operator="between" text=" ">
      <formula>NOT(ISERROR(SEARCH(" ",AA10)))</formula>
    </cfRule>
  </conditionalFormatting>
  <conditionalFormatting sqref="P11:T11 Q12:R12 T12">
    <cfRule type="containsText" dxfId="0" priority="50" operator="between" text=" ">
      <formula>NOT(ISERROR(SEARCH(" ",P11)))</formula>
    </cfRule>
  </conditionalFormatting>
  <conditionalFormatting sqref="U11:Y11 V12:W12 Y12">
    <cfRule type="containsText" dxfId="0" priority="49" operator="between" text=" ">
      <formula>NOT(ISERROR(SEARCH(" ",U11)))</formula>
    </cfRule>
  </conditionalFormatting>
  <conditionalFormatting sqref="Z11:AD12 Z14:AD14">
    <cfRule type="containsText" dxfId="0" priority="82" operator="between" text=" ">
      <formula>NOT(ISERROR(SEARCH(" ",Z11)))</formula>
    </cfRule>
  </conditionalFormatting>
  <conditionalFormatting sqref="AO11:AP11 AO12:AO16">
    <cfRule type="containsText" dxfId="0" priority="321" operator="between" text=" ">
      <formula>NOT(ISERROR(SEARCH(" ",AO11)))</formula>
    </cfRule>
  </conditionalFormatting>
  <conditionalFormatting sqref="L12:M12 O12">
    <cfRule type="containsText" dxfId="0" priority="105" operator="between" text=" ">
      <formula>NOT(ISERROR(SEARCH(" ",L12)))</formula>
    </cfRule>
  </conditionalFormatting>
  <conditionalFormatting sqref="P12 S12">
    <cfRule type="containsText" dxfId="0" priority="48" operator="between" text=" ">
      <formula>NOT(ISERROR(SEARCH(" ",P12)))</formula>
    </cfRule>
  </conditionalFormatting>
  <conditionalFormatting sqref="U12 X12">
    <cfRule type="containsText" dxfId="0" priority="47" operator="between" text=" ">
      <formula>NOT(ISERROR(SEARCH(" ",U12)))</formula>
    </cfRule>
  </conditionalFormatting>
  <conditionalFormatting sqref="L13:M13 O13">
    <cfRule type="containsText" dxfId="0" priority="104" operator="between" text=" ">
      <formula>NOT(ISERROR(SEARCH(" ",L13)))</formula>
    </cfRule>
  </conditionalFormatting>
  <conditionalFormatting sqref="AD13 AA13:AB13">
    <cfRule type="containsText" dxfId="0" priority="12" operator="between" text=" ">
      <formula>NOT(ISERROR(SEARCH(" ",AA13)))</formula>
    </cfRule>
  </conditionalFormatting>
  <conditionalFormatting sqref="AE13 AG13:AI13">
    <cfRule type="containsText" dxfId="0" priority="91" operator="between" text=" ">
      <formula>NOT(ISERROR(SEARCH(" ",AE13)))</formula>
    </cfRule>
  </conditionalFormatting>
  <conditionalFormatting sqref="AJ13:AN14 AJ16:AN16">
    <cfRule type="containsText" dxfId="0" priority="70" operator="between" text=" ">
      <formula>NOT(ISERROR(SEARCH(" ",AJ13)))</formula>
    </cfRule>
  </conditionalFormatting>
  <conditionalFormatting sqref="L14:M14 O14">
    <cfRule type="containsText" dxfId="0" priority="103" operator="between" text=" ">
      <formula>NOT(ISERROR(SEARCH(" ",L14)))</formula>
    </cfRule>
  </conditionalFormatting>
  <conditionalFormatting sqref="P14 S14">
    <cfRule type="containsText" dxfId="0" priority="44" operator="between" text=" ">
      <formula>NOT(ISERROR(SEARCH(" ",P14)))</formula>
    </cfRule>
  </conditionalFormatting>
  <conditionalFormatting sqref="Q14:R14 T14">
    <cfRule type="containsText" dxfId="0" priority="46" operator="between" text=" ">
      <formula>NOT(ISERROR(SEARCH(" ",Q14)))</formula>
    </cfRule>
  </conditionalFormatting>
  <conditionalFormatting sqref="U14 X14">
    <cfRule type="containsText" dxfId="0" priority="43" operator="between" text=" ">
      <formula>NOT(ISERROR(SEARCH(" ",U14)))</formula>
    </cfRule>
  </conditionalFormatting>
  <conditionalFormatting sqref="V14:W14 Y14">
    <cfRule type="containsText" dxfId="0" priority="45" operator="between" text=" ">
      <formula>NOT(ISERROR(SEARCH(" ",V14)))</formula>
    </cfRule>
  </conditionalFormatting>
  <conditionalFormatting sqref="G15 I15">
    <cfRule type="containsText" dxfId="0" priority="22" operator="between" text=" ">
      <formula>NOT(ISERROR(SEARCH(" ",G15)))</formula>
    </cfRule>
  </conditionalFormatting>
  <conditionalFormatting sqref="L15:M15 O15">
    <cfRule type="containsText" dxfId="0" priority="23" operator="between" text=" ">
      <formula>NOT(ISERROR(SEARCH(" ",L15)))</formula>
    </cfRule>
  </conditionalFormatting>
  <conditionalFormatting sqref="P15 S15">
    <cfRule type="containsText" dxfId="0" priority="16" operator="between" text=" ">
      <formula>NOT(ISERROR(SEARCH(" ",P15)))</formula>
    </cfRule>
  </conditionalFormatting>
  <conditionalFormatting sqref="Q15:R15 T15">
    <cfRule type="containsText" dxfId="0" priority="18" operator="between" text=" ">
      <formula>NOT(ISERROR(SEARCH(" ",Q15)))</formula>
    </cfRule>
  </conditionalFormatting>
  <conditionalFormatting sqref="U15 X15">
    <cfRule type="containsText" dxfId="0" priority="15" operator="between" text=" ">
      <formula>NOT(ISERROR(SEARCH(" ",U15)))</formula>
    </cfRule>
  </conditionalFormatting>
  <conditionalFormatting sqref="V15:W15 Y15">
    <cfRule type="containsText" dxfId="0" priority="17" operator="between" text=" ">
      <formula>NOT(ISERROR(SEARCH(" ",V15)))</formula>
    </cfRule>
  </conditionalFormatting>
  <conditionalFormatting sqref="L16:M16 O16">
    <cfRule type="containsText" dxfId="0" priority="102" operator="between" text=" ">
      <formula>NOT(ISERROR(SEARCH(" ",L16)))</formula>
    </cfRule>
  </conditionalFormatting>
  <conditionalFormatting sqref="AD16 AA16:AB16">
    <cfRule type="containsText" dxfId="0" priority="63" operator="between" text=" ">
      <formula>NOT(ISERROR(SEARCH(" ",AA16)))</formula>
    </cfRule>
  </conditionalFormatting>
  <conditionalFormatting sqref="AI16 AF16:AG16">
    <cfRule type="containsText" dxfId="0" priority="9" operator="between" text=" ">
      <formula>NOT(ISERROR(SEARCH(" ",AF16)))</formula>
    </cfRule>
  </conditionalFormatting>
  <conditionalFormatting sqref="G17 I17:J17">
    <cfRule type="containsText" dxfId="0" priority="28" operator="between" text=" ">
      <formula>NOT(ISERROR(SEARCH(" ",G17)))</formula>
    </cfRule>
  </conditionalFormatting>
  <conditionalFormatting sqref="A18 D25:H25 A22:A24 D18:H19">
    <cfRule type="containsText" dxfId="0" priority="331" operator="between" text=" ">
      <formula>NOT(ISERROR(SEARCH(" ",A18)))</formula>
    </cfRule>
  </conditionalFormatting>
  <conditionalFormatting sqref="K26:O27 AO21:AP27">
    <cfRule type="containsText" dxfId="0" priority="322" operator="between" text=" ">
      <formula>NOT(ISERROR(SEARCH(" ",K21)))</formula>
    </cfRule>
  </conditionalFormatting>
  <conditionalFormatting sqref="P26:T27">
    <cfRule type="containsText" dxfId="0" priority="313" operator="between" text=" ">
      <formula>NOT(ISERROR(SEARCH(" ",P26)))</formula>
    </cfRule>
  </conditionalFormatting>
  <conditionalFormatting sqref="U26:Y27">
    <cfRule type="containsText" dxfId="0" priority="311" operator="between" text=" ">
      <formula>NOT(ISERROR(SEARCH(" ",U26)))</formula>
    </cfRule>
  </conditionalFormatting>
  <conditionalFormatting sqref="Z26:AD27">
    <cfRule type="containsText" dxfId="0" priority="287" operator="between" text=" ">
      <formula>NOT(ISERROR(SEARCH(" ",Z26)))</formula>
    </cfRule>
  </conditionalFormatting>
  <conditionalFormatting sqref="AE26:AI27">
    <cfRule type="containsText" dxfId="0" priority="285" operator="between" text=" ">
      <formula>NOT(ISERROR(SEARCH(" ",AE26)))</formula>
    </cfRule>
  </conditionalFormatting>
  <conditionalFormatting sqref="AJ26:AN27">
    <cfRule type="containsText" dxfId="0" priority="225" operator="between" text=" ">
      <formula>NOT(ISERROR(SEARCH(" ",AJ26)))</formula>
    </cfRule>
  </conditionalFormatting>
  <pageMargins left="0.7" right="0.7" top="0.75" bottom="0.75" header="0.3" footer="0.3"/>
  <pageSetup paperSize="9" orientation="portrait" horizontalDpi="300" verticalDpi="300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H37"/>
  <sheetViews>
    <sheetView workbookViewId="0">
      <selection activeCell="H16" sqref="A11:H16"/>
    </sheetView>
  </sheetViews>
  <sheetFormatPr defaultColWidth="8.88888888888889" defaultRowHeight="15.6"/>
  <cols>
    <col min="1" max="1" width="8.88888888888889" style="1"/>
    <col min="2" max="6" width="15.2222222222222" style="1" customWidth="1"/>
    <col min="7" max="8" width="14.1111111111111" style="1" customWidth="1"/>
    <col min="9" max="9" width="14.8888888888889" style="1" customWidth="1"/>
    <col min="10" max="11" width="16.3333333333333" style="1" customWidth="1"/>
    <col min="12" max="12" width="18" style="1" customWidth="1"/>
    <col min="13" max="13" width="8.88888888888889" style="1"/>
    <col min="14" max="14" width="10.8888888888889" style="1" customWidth="1"/>
    <col min="15" max="16" width="8.88888888888889" style="1"/>
    <col min="17" max="17" width="12.7777777777778" style="1" customWidth="1"/>
    <col min="18" max="19" width="11.8888888888889" style="1" customWidth="1"/>
    <col min="20" max="20" width="12.8888888888889" style="1" customWidth="1"/>
    <col min="21" max="21" width="13.8888888888889" style="1" customWidth="1"/>
    <col min="22" max="22" width="11.2222222222222" style="1" customWidth="1"/>
    <col min="23" max="23" width="13.8888888888889" style="1" customWidth="1"/>
    <col min="24" max="24" width="11.4444444444444" style="1" customWidth="1"/>
    <col min="25" max="26" width="8.88888888888889" style="1"/>
    <col min="27" max="27" width="12.2222222222222" style="1" customWidth="1"/>
    <col min="28" max="28" width="11.6666666666667" style="1" customWidth="1"/>
    <col min="29" max="30" width="12.7777777777778" style="1" customWidth="1"/>
    <col min="31" max="16384" width="8.88888888888889" style="1"/>
  </cols>
  <sheetData>
    <row r="1" spans="1:27">
      <c r="A1" s="51" t="s">
        <v>0</v>
      </c>
      <c r="B1" s="51" t="s">
        <v>0</v>
      </c>
      <c r="C1" s="51" t="s">
        <v>1</v>
      </c>
      <c r="D1" s="51" t="s">
        <v>1</v>
      </c>
      <c r="E1" s="51" t="s">
        <v>1</v>
      </c>
      <c r="F1" s="51" t="s">
        <v>1</v>
      </c>
      <c r="G1" s="51" t="s">
        <v>58</v>
      </c>
      <c r="H1" s="68" t="s">
        <v>58</v>
      </c>
      <c r="I1" s="72" t="s">
        <v>58</v>
      </c>
      <c r="J1" s="72" t="s">
        <v>58</v>
      </c>
      <c r="K1" s="72" t="s">
        <v>58</v>
      </c>
      <c r="L1" s="72" t="s">
        <v>58</v>
      </c>
      <c r="O1" s="1" t="s">
        <v>310</v>
      </c>
      <c r="S1" s="1" t="str">
        <f>IF(SUM(G5:G16)&gt;2000000000,"权重错误","权重正确")</f>
        <v>权重正确</v>
      </c>
      <c r="T1" s="9" t="s">
        <v>311</v>
      </c>
      <c r="U1" s="77">
        <f>SUMPRODUCT(R5:R16,U5:U16)</f>
        <v>100000.006919783</v>
      </c>
      <c r="V1" s="1">
        <f>SUMPRODUCT(R5:R16,W5:W16)*10</f>
        <v>900000</v>
      </c>
      <c r="AA1" s="83" t="s">
        <v>144</v>
      </c>
    </row>
    <row r="2" spans="1:27">
      <c r="A2" s="52" t="s">
        <v>9</v>
      </c>
      <c r="B2" s="52" t="s">
        <v>10</v>
      </c>
      <c r="C2" s="52" t="s">
        <v>9</v>
      </c>
      <c r="D2" s="52" t="s">
        <v>10</v>
      </c>
      <c r="E2" s="52" t="s">
        <v>9</v>
      </c>
      <c r="F2" s="52" t="s">
        <v>9</v>
      </c>
      <c r="G2" s="51" t="s">
        <v>9</v>
      </c>
      <c r="H2" s="68" t="s">
        <v>9</v>
      </c>
      <c r="I2" s="72" t="s">
        <v>9</v>
      </c>
      <c r="J2" s="72" t="s">
        <v>9</v>
      </c>
      <c r="K2" s="72" t="s">
        <v>9</v>
      </c>
      <c r="L2" s="72" t="s">
        <v>9</v>
      </c>
      <c r="T2" s="9" t="s">
        <v>312</v>
      </c>
      <c r="U2" s="78">
        <f>U1/10000</f>
        <v>10.0000006919783</v>
      </c>
      <c r="V2" s="78">
        <f>V1/10000</f>
        <v>90</v>
      </c>
      <c r="AA2" s="37" t="s">
        <v>146</v>
      </c>
    </row>
    <row r="3" spans="1:27">
      <c r="A3" s="52" t="s">
        <v>193</v>
      </c>
      <c r="B3" s="52" t="s">
        <v>313</v>
      </c>
      <c r="C3" s="52" t="s">
        <v>314</v>
      </c>
      <c r="D3" s="52" t="s">
        <v>99</v>
      </c>
      <c r="E3" s="52" t="s">
        <v>315</v>
      </c>
      <c r="F3" s="52" t="s">
        <v>316</v>
      </c>
      <c r="G3" s="51" t="s">
        <v>317</v>
      </c>
      <c r="H3" s="68" t="s">
        <v>318</v>
      </c>
      <c r="I3" s="70" t="s">
        <v>319</v>
      </c>
      <c r="J3" s="72" t="s">
        <v>320</v>
      </c>
      <c r="K3" s="72" t="s">
        <v>321</v>
      </c>
      <c r="L3" s="72" t="s">
        <v>69</v>
      </c>
      <c r="T3" s="1" t="s">
        <v>322</v>
      </c>
      <c r="U3" s="78">
        <v>10</v>
      </c>
      <c r="V3" s="1">
        <v>90</v>
      </c>
      <c r="AA3" s="37" t="s">
        <v>155</v>
      </c>
    </row>
    <row r="4" ht="52.8" spans="1:33">
      <c r="A4" s="53" t="s">
        <v>204</v>
      </c>
      <c r="B4" s="53" t="s">
        <v>323</v>
      </c>
      <c r="C4" s="54" t="s">
        <v>324</v>
      </c>
      <c r="D4" s="54" t="s">
        <v>325</v>
      </c>
      <c r="E4" s="54" t="s">
        <v>326</v>
      </c>
      <c r="F4" s="69" t="s">
        <v>327</v>
      </c>
      <c r="G4" s="70" t="s">
        <v>328</v>
      </c>
      <c r="H4" s="71" t="s">
        <v>329</v>
      </c>
      <c r="I4" s="70" t="s">
        <v>330</v>
      </c>
      <c r="J4" s="70" t="s">
        <v>331</v>
      </c>
      <c r="K4" s="70" t="s">
        <v>332</v>
      </c>
      <c r="L4" s="73" t="s">
        <v>333</v>
      </c>
      <c r="N4" s="74" t="s">
        <v>86</v>
      </c>
      <c r="O4" s="75" t="s">
        <v>25</v>
      </c>
      <c r="P4" s="75" t="s">
        <v>26</v>
      </c>
      <c r="Q4" s="79" t="s">
        <v>27</v>
      </c>
      <c r="R4" s="79" t="s">
        <v>87</v>
      </c>
      <c r="S4" s="74" t="s">
        <v>334</v>
      </c>
      <c r="T4" s="80" t="s">
        <v>335</v>
      </c>
      <c r="U4" s="74" t="s">
        <v>336</v>
      </c>
      <c r="V4" s="81" t="s">
        <v>337</v>
      </c>
      <c r="W4" s="74" t="s">
        <v>336</v>
      </c>
      <c r="X4" s="1" t="s">
        <v>338</v>
      </c>
      <c r="Y4" s="1" t="s">
        <v>339</v>
      </c>
      <c r="AA4" s="84" t="str">
        <f>'新手明日礼|TomorrowGift'!AJ4</f>
        <v>1个该物品对应的价值</v>
      </c>
      <c r="AB4" s="40" t="str">
        <f>'新手明日礼|TomorrowGift'!AK4</f>
        <v>人民币价值</v>
      </c>
      <c r="AC4" s="41" t="str">
        <f>'新手明日礼|TomorrowGift'!AL4</f>
        <v>钻石价值</v>
      </c>
      <c r="AD4" s="41" t="s">
        <v>87</v>
      </c>
      <c r="AE4" s="40" t="str">
        <f>'新手明日礼|TomorrowGift'!AN4</f>
        <v>物品类型</v>
      </c>
      <c r="AF4" s="50" t="str">
        <f>'新手明日礼|TomorrowGift'!AO4</f>
        <v>id</v>
      </c>
      <c r="AG4" s="94" t="str">
        <f>'新手明日礼|TomorrowGift'!AP4</f>
        <v>兑换价值</v>
      </c>
    </row>
    <row r="5" spans="1:33">
      <c r="A5" s="1">
        <v>1</v>
      </c>
      <c r="B5" s="1" t="str">
        <f>O5&amp;"|"&amp;P5&amp;"|"&amp;Q5</f>
        <v>1|2|100000000</v>
      </c>
      <c r="C5" s="1">
        <v>1</v>
      </c>
      <c r="D5" s="1" t="s">
        <v>340</v>
      </c>
      <c r="E5" s="1">
        <v>0</v>
      </c>
      <c r="F5" s="1">
        <v>3</v>
      </c>
      <c r="G5" s="1">
        <f>INT(T5*10000)</f>
        <v>50</v>
      </c>
      <c r="H5" s="1">
        <f>INT(V5*10000)</f>
        <v>45</v>
      </c>
      <c r="I5" s="1">
        <v>-1</v>
      </c>
      <c r="J5" s="1">
        <v>2</v>
      </c>
      <c r="K5" s="1">
        <v>0</v>
      </c>
      <c r="L5" s="1">
        <v>1</v>
      </c>
      <c r="N5" s="1" t="s">
        <v>32</v>
      </c>
      <c r="O5" s="1">
        <f t="shared" ref="O5:O16" si="0">VLOOKUP(N5,AA:AF,5,0)</f>
        <v>1</v>
      </c>
      <c r="P5" s="1">
        <f t="shared" ref="P5:P16" si="1">VLOOKUP(N5,AA:AF,6,0)</f>
        <v>2</v>
      </c>
      <c r="Q5" s="7">
        <v>100000000</v>
      </c>
      <c r="R5" s="1">
        <f t="shared" ref="R5:R16" si="2">VLOOKUP(N5,AA:AF,4,0)*Q5</f>
        <v>100000000</v>
      </c>
      <c r="S5" s="1" t="str">
        <f>R5/10000&amp;"万"</f>
        <v>10000万</v>
      </c>
      <c r="T5" s="1">
        <v>0.005</v>
      </c>
      <c r="U5" s="82">
        <f>T5/SUM($T$5:$T$16)</f>
        <v>1.72994577657958e-5</v>
      </c>
      <c r="V5" s="1">
        <v>0.0045</v>
      </c>
      <c r="W5" s="82">
        <f>V5/SUM($V$5:$V$16)</f>
        <v>1.57774053530983e-5</v>
      </c>
      <c r="X5" s="1">
        <v>0.005</v>
      </c>
      <c r="Y5" s="1">
        <v>0.005</v>
      </c>
      <c r="AA5" s="42" t="str">
        <f>'新手明日礼|TomorrowGift'!AJ5</f>
        <v>人民币</v>
      </c>
      <c r="AB5" s="44">
        <f>'新手明日礼|TomorrowGift'!AK5</f>
        <v>1</v>
      </c>
      <c r="AC5" s="44">
        <f>'新手明日礼|TomorrowGift'!AL5</f>
        <v>10</v>
      </c>
      <c r="AD5" s="44">
        <f>'新手明日礼|TomorrowGift'!AM5</f>
        <v>100000</v>
      </c>
      <c r="AE5" s="44">
        <f>'新手明日礼|TomorrowGift'!AN5</f>
        <v>1</v>
      </c>
      <c r="AF5" s="85">
        <f>'新手明日礼|TomorrowGift'!AO5</f>
        <v>0</v>
      </c>
      <c r="AG5" s="95">
        <f>'新手明日礼|TomorrowGift'!AP5</f>
        <v>1</v>
      </c>
    </row>
    <row r="6" ht="16.2" spans="1:33">
      <c r="A6" s="1">
        <v>2</v>
      </c>
      <c r="B6" s="1" t="str">
        <f t="shared" ref="B6:B16" si="3">O6&amp;"|"&amp;P6&amp;"|"&amp;Q6</f>
        <v>2|1006|1</v>
      </c>
      <c r="C6" s="1">
        <v>1</v>
      </c>
      <c r="E6" s="1">
        <v>0</v>
      </c>
      <c r="F6" s="1">
        <v>8</v>
      </c>
      <c r="G6" s="1">
        <f t="shared" ref="G6:G16" si="4">INT(T6*10000)</f>
        <v>5000</v>
      </c>
      <c r="H6" s="1">
        <f t="shared" ref="H6:H16" si="5">INT(V6*10000)</f>
        <v>3000</v>
      </c>
      <c r="I6" s="1">
        <v>-1</v>
      </c>
      <c r="J6" s="1">
        <v>-1</v>
      </c>
      <c r="K6" s="1">
        <v>0</v>
      </c>
      <c r="L6" s="1">
        <v>1</v>
      </c>
      <c r="N6" s="17" t="s">
        <v>37</v>
      </c>
      <c r="O6" s="1">
        <f t="shared" si="0"/>
        <v>2</v>
      </c>
      <c r="P6" s="1">
        <f t="shared" si="1"/>
        <v>1006</v>
      </c>
      <c r="Q6" s="7">
        <v>1</v>
      </c>
      <c r="R6" s="1">
        <f t="shared" si="2"/>
        <v>2000000</v>
      </c>
      <c r="S6" s="1" t="str">
        <f t="shared" ref="S6:S16" si="6">R6/10000&amp;"万"</f>
        <v>200万</v>
      </c>
      <c r="T6" s="1">
        <v>0.5</v>
      </c>
      <c r="U6" s="82">
        <f t="shared" ref="U6:U16" si="7">T6/SUM($T$5:$T$16)</f>
        <v>0.00172994577657958</v>
      </c>
      <c r="V6" s="1">
        <v>0.3</v>
      </c>
      <c r="W6" s="82">
        <f t="shared" ref="W6:W16" si="8">V6/SUM($V$5:$V$16)</f>
        <v>0.00105182702353989</v>
      </c>
      <c r="X6" s="1">
        <v>0.9</v>
      </c>
      <c r="Y6" s="1">
        <v>0.5</v>
      </c>
      <c r="AA6" s="42" t="str">
        <f>'新手明日礼|TomorrowGift'!AJ6</f>
        <v>钻石</v>
      </c>
      <c r="AB6" s="44">
        <f>'新手明日礼|TomorrowGift'!AK6</f>
        <v>0.05</v>
      </c>
      <c r="AC6" s="44">
        <f>'新手明日礼|TomorrowGift'!AL6</f>
        <v>1</v>
      </c>
      <c r="AD6" s="44">
        <f>'新手明日礼|TomorrowGift'!AM6</f>
        <v>10000</v>
      </c>
      <c r="AE6" s="44">
        <f>'新手明日礼|TomorrowGift'!AN6</f>
        <v>1</v>
      </c>
      <c r="AF6" s="85">
        <f>'新手明日礼|TomorrowGift'!AO6</f>
        <v>1</v>
      </c>
      <c r="AG6" s="95">
        <f>'新手明日礼|TomorrowGift'!AP6</f>
        <v>2.5</v>
      </c>
    </row>
    <row r="7" ht="16.2" spans="1:33">
      <c r="A7" s="1">
        <v>3</v>
      </c>
      <c r="B7" s="1" t="str">
        <f t="shared" si="3"/>
        <v>2|1005|1</v>
      </c>
      <c r="C7" s="1">
        <v>1</v>
      </c>
      <c r="E7" s="1">
        <v>0</v>
      </c>
      <c r="F7" s="1">
        <v>6</v>
      </c>
      <c r="G7" s="1">
        <f t="shared" si="4"/>
        <v>10000</v>
      </c>
      <c r="H7" s="1">
        <f t="shared" si="5"/>
        <v>7500</v>
      </c>
      <c r="I7" s="1">
        <v>-1</v>
      </c>
      <c r="J7" s="1">
        <v>-1</v>
      </c>
      <c r="K7" s="1">
        <v>0</v>
      </c>
      <c r="L7" s="1">
        <v>1</v>
      </c>
      <c r="N7" s="17" t="s">
        <v>34</v>
      </c>
      <c r="O7" s="1">
        <f t="shared" si="0"/>
        <v>2</v>
      </c>
      <c r="P7" s="1">
        <f t="shared" si="1"/>
        <v>1005</v>
      </c>
      <c r="Q7" s="7">
        <v>1</v>
      </c>
      <c r="R7" s="1">
        <f t="shared" si="2"/>
        <v>1000000</v>
      </c>
      <c r="S7" s="1" t="str">
        <f t="shared" si="6"/>
        <v>100万</v>
      </c>
      <c r="T7" s="1">
        <v>1</v>
      </c>
      <c r="U7" s="82">
        <f t="shared" si="7"/>
        <v>0.00345989155315916</v>
      </c>
      <c r="V7" s="1">
        <v>0.75</v>
      </c>
      <c r="W7" s="82">
        <f t="shared" si="8"/>
        <v>0.00262956755884972</v>
      </c>
      <c r="X7" s="1">
        <v>1.545</v>
      </c>
      <c r="Y7" s="1">
        <v>1</v>
      </c>
      <c r="AA7" s="42" t="str">
        <f>'新手明日礼|TomorrowGift'!AJ7</f>
        <v>金币</v>
      </c>
      <c r="AB7" s="86">
        <f>'新手明日礼|TomorrowGift'!AK7</f>
        <v>5e-6</v>
      </c>
      <c r="AC7" s="44">
        <f>'新手明日礼|TomorrowGift'!AL7</f>
        <v>0.0001</v>
      </c>
      <c r="AD7" s="44">
        <f>'新手明日礼|TomorrowGift'!AM7</f>
        <v>1</v>
      </c>
      <c r="AE7" s="44">
        <f>'新手明日礼|TomorrowGift'!AN7</f>
        <v>1</v>
      </c>
      <c r="AF7" s="85">
        <f>'新手明日礼|TomorrowGift'!AO7</f>
        <v>2</v>
      </c>
      <c r="AG7" s="95">
        <f>'新手明日礼|TomorrowGift'!AP7</f>
        <v>1</v>
      </c>
    </row>
    <row r="8" spans="1:33">
      <c r="A8" s="1">
        <v>4</v>
      </c>
      <c r="B8" s="1" t="str">
        <f t="shared" si="3"/>
        <v>2|1015|1</v>
      </c>
      <c r="C8" s="1">
        <v>0</v>
      </c>
      <c r="E8" s="1">
        <v>1</v>
      </c>
      <c r="F8" s="1">
        <v>4</v>
      </c>
      <c r="G8" s="1">
        <f t="shared" si="4"/>
        <v>851000</v>
      </c>
      <c r="H8" s="1">
        <f t="shared" si="5"/>
        <v>1000000</v>
      </c>
      <c r="I8" s="1">
        <v>-1</v>
      </c>
      <c r="J8" s="1">
        <v>-1</v>
      </c>
      <c r="K8" s="1">
        <v>0</v>
      </c>
      <c r="L8" s="1">
        <v>0</v>
      </c>
      <c r="N8" s="9" t="s">
        <v>178</v>
      </c>
      <c r="O8" s="1">
        <f t="shared" si="0"/>
        <v>2</v>
      </c>
      <c r="P8" s="1">
        <f t="shared" si="1"/>
        <v>1015</v>
      </c>
      <c r="Q8" s="7">
        <v>1</v>
      </c>
      <c r="R8" s="1">
        <f t="shared" si="2"/>
        <v>50000</v>
      </c>
      <c r="S8" s="1" t="str">
        <f t="shared" si="6"/>
        <v>5万</v>
      </c>
      <c r="T8" s="1">
        <v>85.1</v>
      </c>
      <c r="U8" s="82">
        <f t="shared" si="7"/>
        <v>0.294436771173844</v>
      </c>
      <c r="V8" s="1">
        <v>100</v>
      </c>
      <c r="W8" s="82">
        <f t="shared" si="8"/>
        <v>0.35060900784663</v>
      </c>
      <c r="X8" s="1">
        <v>80</v>
      </c>
      <c r="Y8" s="1">
        <v>80</v>
      </c>
      <c r="AA8" s="42" t="str">
        <f>'新手明日礼|TomorrowGift'!AJ8</f>
        <v>锁定</v>
      </c>
      <c r="AB8" s="44">
        <f>'新手明日礼|TomorrowGift'!AK8</f>
        <v>0.1</v>
      </c>
      <c r="AC8" s="44">
        <f>'新手明日礼|TomorrowGift'!AL8</f>
        <v>2</v>
      </c>
      <c r="AD8" s="44">
        <f>'新手明日礼|TomorrowGift'!AM8</f>
        <v>20000</v>
      </c>
      <c r="AE8" s="44">
        <f>'新手明日礼|TomorrowGift'!AN8</f>
        <v>2</v>
      </c>
      <c r="AF8" s="85">
        <f>'新手明日礼|TomorrowGift'!AO8</f>
        <v>1001</v>
      </c>
      <c r="AG8" s="95">
        <f>'新手明日礼|TomorrowGift'!AP8</f>
        <v>2.5</v>
      </c>
    </row>
    <row r="9" spans="1:33">
      <c r="A9" s="1">
        <v>5</v>
      </c>
      <c r="B9" s="1" t="str">
        <f t="shared" si="3"/>
        <v>2|1016|1</v>
      </c>
      <c r="C9" s="1">
        <v>0</v>
      </c>
      <c r="E9" s="1">
        <v>1</v>
      </c>
      <c r="F9" s="1">
        <v>2</v>
      </c>
      <c r="G9" s="1">
        <f t="shared" si="4"/>
        <v>300000</v>
      </c>
      <c r="H9" s="1">
        <f t="shared" si="5"/>
        <v>200000</v>
      </c>
      <c r="I9" s="1">
        <v>-1</v>
      </c>
      <c r="J9" s="1">
        <v>-1</v>
      </c>
      <c r="K9" s="1">
        <v>0</v>
      </c>
      <c r="L9" s="1">
        <v>0</v>
      </c>
      <c r="N9" s="9" t="s">
        <v>179</v>
      </c>
      <c r="O9" s="1">
        <f t="shared" si="0"/>
        <v>2</v>
      </c>
      <c r="P9" s="1">
        <f t="shared" si="1"/>
        <v>1016</v>
      </c>
      <c r="Q9" s="7">
        <v>1</v>
      </c>
      <c r="R9" s="1">
        <f t="shared" si="2"/>
        <v>100000</v>
      </c>
      <c r="S9" s="1" t="str">
        <f t="shared" si="6"/>
        <v>10万</v>
      </c>
      <c r="T9" s="1">
        <v>30</v>
      </c>
      <c r="U9" s="82">
        <f t="shared" si="7"/>
        <v>0.103796746594775</v>
      </c>
      <c r="V9" s="1">
        <v>20</v>
      </c>
      <c r="W9" s="82">
        <f t="shared" si="8"/>
        <v>0.0701218015693259</v>
      </c>
      <c r="X9" s="1">
        <v>80</v>
      </c>
      <c r="Y9" s="1">
        <v>80.001</v>
      </c>
      <c r="AA9" s="42" t="str">
        <f>'新手明日礼|TomorrowGift'!AJ9</f>
        <v>冰冻</v>
      </c>
      <c r="AB9" s="44">
        <f>'新手明日礼|TomorrowGift'!AK9</f>
        <v>0.25</v>
      </c>
      <c r="AC9" s="44">
        <f>'新手明日礼|TomorrowGift'!AL9</f>
        <v>5</v>
      </c>
      <c r="AD9" s="44">
        <f>'新手明日礼|TomorrowGift'!AM9</f>
        <v>50000</v>
      </c>
      <c r="AE9" s="44">
        <f>'新手明日礼|TomorrowGift'!AN9</f>
        <v>2</v>
      </c>
      <c r="AF9" s="85">
        <f>'新手明日礼|TomorrowGift'!AO9</f>
        <v>1002</v>
      </c>
      <c r="AG9" s="95">
        <f>'新手明日礼|TomorrowGift'!AP9</f>
        <v>1</v>
      </c>
    </row>
    <row r="10" spans="1:33">
      <c r="A10" s="1">
        <v>6</v>
      </c>
      <c r="B10" s="1" t="str">
        <f t="shared" si="3"/>
        <v>2|1017|1</v>
      </c>
      <c r="C10" s="1">
        <v>0</v>
      </c>
      <c r="E10" s="1">
        <v>1</v>
      </c>
      <c r="F10" s="1">
        <v>10</v>
      </c>
      <c r="G10" s="1">
        <f t="shared" si="4"/>
        <v>50000</v>
      </c>
      <c r="H10" s="1">
        <f t="shared" si="5"/>
        <v>30000</v>
      </c>
      <c r="I10" s="1">
        <v>-1</v>
      </c>
      <c r="J10" s="1">
        <v>-1</v>
      </c>
      <c r="K10" s="1">
        <v>0</v>
      </c>
      <c r="L10" s="1">
        <v>0</v>
      </c>
      <c r="N10" s="9" t="s">
        <v>180</v>
      </c>
      <c r="O10" s="1">
        <f t="shared" si="0"/>
        <v>2</v>
      </c>
      <c r="P10" s="1">
        <f t="shared" si="1"/>
        <v>1017</v>
      </c>
      <c r="Q10" s="7">
        <v>1</v>
      </c>
      <c r="R10" s="1">
        <f t="shared" si="2"/>
        <v>250000</v>
      </c>
      <c r="S10" s="1" t="str">
        <f t="shared" si="6"/>
        <v>25万</v>
      </c>
      <c r="T10" s="1">
        <v>5</v>
      </c>
      <c r="U10" s="82">
        <f t="shared" si="7"/>
        <v>0.0172994577657958</v>
      </c>
      <c r="V10" s="1">
        <v>3</v>
      </c>
      <c r="W10" s="82">
        <f t="shared" si="8"/>
        <v>0.0105182702353989</v>
      </c>
      <c r="X10" s="1">
        <v>40</v>
      </c>
      <c r="Y10" s="1">
        <v>30</v>
      </c>
      <c r="AA10" s="42" t="str">
        <f>'新手明日礼|TomorrowGift'!AJ10</f>
        <v>狂暴</v>
      </c>
      <c r="AB10" s="44">
        <f>'新手明日礼|TomorrowGift'!AK10</f>
        <v>0.5</v>
      </c>
      <c r="AC10" s="44">
        <f>'新手明日礼|TomorrowGift'!AL10</f>
        <v>10</v>
      </c>
      <c r="AD10" s="44">
        <f>'新手明日礼|TomorrowGift'!AM10</f>
        <v>100000</v>
      </c>
      <c r="AE10" s="44">
        <f>'新手明日礼|TomorrowGift'!AN10</f>
        <v>2</v>
      </c>
      <c r="AF10" s="85">
        <f>'新手明日礼|TomorrowGift'!AO10</f>
        <v>1003</v>
      </c>
      <c r="AG10" s="95">
        <f>'新手明日礼|TomorrowGift'!AP10</f>
        <v>2.5</v>
      </c>
    </row>
    <row r="11" spans="1:33">
      <c r="A11" s="1">
        <v>7</v>
      </c>
      <c r="B11" s="1" t="str">
        <f t="shared" si="3"/>
        <v>1|2|30000</v>
      </c>
      <c r="C11" s="1">
        <v>0</v>
      </c>
      <c r="E11" s="1">
        <v>1</v>
      </c>
      <c r="F11" s="1">
        <v>5</v>
      </c>
      <c r="G11" s="1">
        <f t="shared" si="4"/>
        <v>899214</v>
      </c>
      <c r="H11" s="1">
        <f t="shared" si="5"/>
        <v>1000000</v>
      </c>
      <c r="I11" s="1">
        <v>-1</v>
      </c>
      <c r="J11" s="1">
        <v>-1</v>
      </c>
      <c r="K11" s="1">
        <v>0</v>
      </c>
      <c r="L11" s="1">
        <v>0</v>
      </c>
      <c r="N11" s="1" t="s">
        <v>32</v>
      </c>
      <c r="O11" s="1">
        <f t="shared" si="0"/>
        <v>1</v>
      </c>
      <c r="P11" s="1">
        <f t="shared" si="1"/>
        <v>2</v>
      </c>
      <c r="Q11" s="7">
        <v>30000</v>
      </c>
      <c r="R11" s="1">
        <f t="shared" si="2"/>
        <v>30000</v>
      </c>
      <c r="S11" s="1" t="str">
        <f t="shared" si="6"/>
        <v>3万</v>
      </c>
      <c r="T11" s="1">
        <v>89.9214</v>
      </c>
      <c r="U11" s="82">
        <f t="shared" si="7"/>
        <v>0.311118292308246</v>
      </c>
      <c r="V11" s="1">
        <v>100</v>
      </c>
      <c r="W11" s="82">
        <f t="shared" si="8"/>
        <v>0.35060900784663</v>
      </c>
      <c r="X11" s="1">
        <v>80</v>
      </c>
      <c r="Y11" s="1">
        <v>84</v>
      </c>
      <c r="AA11" s="42" t="str">
        <f>'新手明日礼|TomorrowGift'!AJ11</f>
        <v>召唤</v>
      </c>
      <c r="AB11" s="44">
        <f>'新手明日礼|TomorrowGift'!AK11</f>
        <v>0.1</v>
      </c>
      <c r="AC11" s="44">
        <f>'新手明日礼|TomorrowGift'!AL11</f>
        <v>2</v>
      </c>
      <c r="AD11" s="44">
        <f>'新手明日礼|TomorrowGift'!AM11</f>
        <v>20000</v>
      </c>
      <c r="AE11" s="44">
        <f>'新手明日礼|TomorrowGift'!AN11</f>
        <v>2</v>
      </c>
      <c r="AF11" s="85">
        <f>'新手明日礼|TomorrowGift'!AO11</f>
        <v>1004</v>
      </c>
      <c r="AG11" s="95">
        <f>'新手明日礼|TomorrowGift'!AP11</f>
        <v>1</v>
      </c>
    </row>
    <row r="12" spans="1:33">
      <c r="A12" s="1">
        <v>8</v>
      </c>
      <c r="B12" s="1" t="str">
        <f t="shared" si="3"/>
        <v>1|2|120000</v>
      </c>
      <c r="C12" s="1">
        <v>0</v>
      </c>
      <c r="E12" s="1">
        <v>1</v>
      </c>
      <c r="F12" s="1">
        <v>7</v>
      </c>
      <c r="G12" s="1">
        <f t="shared" si="4"/>
        <v>500000</v>
      </c>
      <c r="H12" s="1">
        <f t="shared" si="5"/>
        <v>351635</v>
      </c>
      <c r="I12" s="1">
        <v>-1</v>
      </c>
      <c r="J12" s="1">
        <v>-1</v>
      </c>
      <c r="K12" s="1">
        <v>0</v>
      </c>
      <c r="L12" s="1">
        <v>0</v>
      </c>
      <c r="N12" s="1" t="s">
        <v>32</v>
      </c>
      <c r="O12" s="1">
        <f t="shared" si="0"/>
        <v>1</v>
      </c>
      <c r="P12" s="1">
        <f t="shared" si="1"/>
        <v>2</v>
      </c>
      <c r="Q12" s="7">
        <v>120000</v>
      </c>
      <c r="R12" s="1">
        <f t="shared" si="2"/>
        <v>120000</v>
      </c>
      <c r="S12" s="1" t="str">
        <f t="shared" si="6"/>
        <v>12万</v>
      </c>
      <c r="T12" s="1">
        <v>50</v>
      </c>
      <c r="U12" s="82">
        <f t="shared" si="7"/>
        <v>0.172994577657958</v>
      </c>
      <c r="V12" s="1">
        <v>35.1635</v>
      </c>
      <c r="W12" s="82">
        <f t="shared" si="8"/>
        <v>0.12328639847415</v>
      </c>
      <c r="X12" s="1">
        <v>80</v>
      </c>
      <c r="Y12" s="1">
        <v>100.3635</v>
      </c>
      <c r="AA12" s="42" t="str">
        <f>'新手明日礼|TomorrowGift'!AJ12</f>
        <v>福卡</v>
      </c>
      <c r="AB12" s="44">
        <f>'新手明日礼|TomorrowGift'!AK12</f>
        <v>0.001</v>
      </c>
      <c r="AC12" s="44">
        <f>'新手明日礼|TomorrowGift'!AL12</f>
        <v>0.5</v>
      </c>
      <c r="AD12" s="44">
        <f>'新手明日礼|TomorrowGift'!AM12</f>
        <v>5000</v>
      </c>
      <c r="AE12" s="44">
        <f>'新手明日礼|TomorrowGift'!AN12</f>
        <v>2</v>
      </c>
      <c r="AF12" s="85">
        <f>'新手明日礼|TomorrowGift'!AO12</f>
        <v>1204</v>
      </c>
      <c r="AG12" s="95">
        <f>'新手明日礼|TomorrowGift'!AP12</f>
        <v>1</v>
      </c>
    </row>
    <row r="13" spans="1:33">
      <c r="A13" s="1">
        <v>9</v>
      </c>
      <c r="B13" s="1" t="str">
        <f t="shared" si="3"/>
        <v>2|1003|2</v>
      </c>
      <c r="C13" s="1">
        <v>0</v>
      </c>
      <c r="E13" s="1">
        <v>1</v>
      </c>
      <c r="F13" s="1">
        <v>9</v>
      </c>
      <c r="G13" s="1">
        <f t="shared" si="4"/>
        <v>115000</v>
      </c>
      <c r="H13" s="1">
        <f t="shared" si="5"/>
        <v>100000</v>
      </c>
      <c r="I13" s="1">
        <v>-1</v>
      </c>
      <c r="J13" s="1">
        <v>-1</v>
      </c>
      <c r="K13" s="1">
        <v>0</v>
      </c>
      <c r="L13" s="1">
        <v>0</v>
      </c>
      <c r="N13" s="1" t="s">
        <v>42</v>
      </c>
      <c r="O13" s="1">
        <f t="shared" si="0"/>
        <v>2</v>
      </c>
      <c r="P13" s="1">
        <f t="shared" si="1"/>
        <v>1003</v>
      </c>
      <c r="Q13" s="7">
        <v>2</v>
      </c>
      <c r="R13" s="1">
        <f t="shared" si="2"/>
        <v>200000</v>
      </c>
      <c r="S13" s="1" t="str">
        <f t="shared" si="6"/>
        <v>20万</v>
      </c>
      <c r="T13" s="1">
        <v>11.5</v>
      </c>
      <c r="U13" s="82">
        <f t="shared" si="7"/>
        <v>0.0397887528613303</v>
      </c>
      <c r="V13" s="1">
        <v>10</v>
      </c>
      <c r="W13" s="82">
        <f t="shared" si="8"/>
        <v>0.035060900784663</v>
      </c>
      <c r="X13" s="1">
        <v>15</v>
      </c>
      <c r="Y13" s="1">
        <v>15</v>
      </c>
      <c r="AA13" s="42" t="str">
        <f>'新手明日礼|TomorrowGift'!AJ13</f>
        <v>超级武器1</v>
      </c>
      <c r="AB13" s="44">
        <f>'新手明日礼|TomorrowGift'!AK13</f>
        <v>5</v>
      </c>
      <c r="AC13" s="44">
        <f>'新手明日礼|TomorrowGift'!AL13</f>
        <v>100</v>
      </c>
      <c r="AD13" s="44">
        <f>'新手明日礼|TomorrowGift'!AM13</f>
        <v>1000000</v>
      </c>
      <c r="AE13" s="44">
        <f>'新手明日礼|TomorrowGift'!AN13</f>
        <v>2</v>
      </c>
      <c r="AF13" s="85">
        <f>'新手明日礼|TomorrowGift'!AO13</f>
        <v>1005</v>
      </c>
      <c r="AG13" s="95">
        <f>'新手明日礼|TomorrowGift'!AP13</f>
        <v>1</v>
      </c>
    </row>
    <row r="14" spans="1:33">
      <c r="A14" s="1">
        <v>10</v>
      </c>
      <c r="B14" s="1" t="str">
        <f t="shared" si="3"/>
        <v>2|2001|1</v>
      </c>
      <c r="C14" s="1">
        <v>0</v>
      </c>
      <c r="E14" s="1">
        <v>1</v>
      </c>
      <c r="F14" s="1">
        <v>1</v>
      </c>
      <c r="G14" s="1">
        <f t="shared" si="4"/>
        <v>100000</v>
      </c>
      <c r="H14" s="1">
        <f t="shared" si="5"/>
        <v>100000</v>
      </c>
      <c r="I14" s="1">
        <v>-1</v>
      </c>
      <c r="J14" s="1">
        <v>1</v>
      </c>
      <c r="K14" s="1">
        <v>0</v>
      </c>
      <c r="L14" s="1">
        <v>0</v>
      </c>
      <c r="N14" s="1" t="s">
        <v>177</v>
      </c>
      <c r="O14" s="1">
        <f t="shared" si="0"/>
        <v>2</v>
      </c>
      <c r="P14" s="1">
        <f t="shared" si="1"/>
        <v>2001</v>
      </c>
      <c r="Q14" s="7">
        <v>1</v>
      </c>
      <c r="R14" s="1">
        <f t="shared" si="2"/>
        <v>300000</v>
      </c>
      <c r="S14" s="1" t="str">
        <f t="shared" si="6"/>
        <v>30万</v>
      </c>
      <c r="T14" s="1">
        <v>10</v>
      </c>
      <c r="U14" s="82">
        <f t="shared" si="7"/>
        <v>0.0345989155315916</v>
      </c>
      <c r="V14" s="1">
        <v>10</v>
      </c>
      <c r="W14" s="82">
        <f t="shared" si="8"/>
        <v>0.035060900784663</v>
      </c>
      <c r="X14" s="1">
        <v>10</v>
      </c>
      <c r="Y14" s="1">
        <v>10</v>
      </c>
      <c r="AA14" s="42" t="str">
        <f>'新手明日礼|TomorrowGift'!AJ14</f>
        <v>超级武器2</v>
      </c>
      <c r="AB14" s="44">
        <f>'新手明日礼|TomorrowGift'!AK14</f>
        <v>10</v>
      </c>
      <c r="AC14" s="44">
        <f>'新手明日礼|TomorrowGift'!AL14</f>
        <v>200</v>
      </c>
      <c r="AD14" s="44">
        <f>'新手明日礼|TomorrowGift'!AM14</f>
        <v>2000000</v>
      </c>
      <c r="AE14" s="44">
        <f>'新手明日礼|TomorrowGift'!AN14</f>
        <v>2</v>
      </c>
      <c r="AF14" s="85">
        <f>'新手明日礼|TomorrowGift'!AO14</f>
        <v>1006</v>
      </c>
      <c r="AG14" s="95">
        <f>'新手明日礼|TomorrowGift'!AP14</f>
        <v>1</v>
      </c>
    </row>
    <row r="15" spans="1:33">
      <c r="A15" s="1">
        <v>11</v>
      </c>
      <c r="B15" s="1" t="str">
        <f t="shared" si="3"/>
        <v>2|2001|2</v>
      </c>
      <c r="C15" s="1">
        <v>0</v>
      </c>
      <c r="E15" s="1">
        <v>1</v>
      </c>
      <c r="F15" s="1">
        <v>1</v>
      </c>
      <c r="G15" s="1">
        <f t="shared" si="4"/>
        <v>50000</v>
      </c>
      <c r="H15" s="1">
        <f t="shared" si="5"/>
        <v>50000</v>
      </c>
      <c r="I15" s="1">
        <v>-1</v>
      </c>
      <c r="J15" s="1">
        <v>1</v>
      </c>
      <c r="K15" s="1">
        <v>0</v>
      </c>
      <c r="L15" s="1">
        <v>0</v>
      </c>
      <c r="N15" s="1" t="s">
        <v>177</v>
      </c>
      <c r="O15" s="1">
        <f t="shared" si="0"/>
        <v>2</v>
      </c>
      <c r="P15" s="1">
        <f t="shared" si="1"/>
        <v>2001</v>
      </c>
      <c r="Q15" s="7">
        <v>2</v>
      </c>
      <c r="R15" s="1">
        <f t="shared" si="2"/>
        <v>600000</v>
      </c>
      <c r="S15" s="1" t="str">
        <f t="shared" si="6"/>
        <v>60万</v>
      </c>
      <c r="T15" s="1">
        <v>5</v>
      </c>
      <c r="U15" s="82">
        <f t="shared" si="7"/>
        <v>0.0172994577657958</v>
      </c>
      <c r="V15" s="1">
        <v>5</v>
      </c>
      <c r="W15" s="82">
        <f t="shared" si="8"/>
        <v>0.0175304503923315</v>
      </c>
      <c r="X15" s="1">
        <v>5</v>
      </c>
      <c r="Y15" s="1">
        <v>5</v>
      </c>
      <c r="AA15" s="42" t="str">
        <f>'新手明日礼|TomorrowGift'!AJ15</f>
        <v>超级武器3</v>
      </c>
      <c r="AB15" s="44">
        <f>'新手明日礼|TomorrowGift'!AK15</f>
        <v>25</v>
      </c>
      <c r="AC15" s="44">
        <f>'新手明日礼|TomorrowGift'!AL15</f>
        <v>500</v>
      </c>
      <c r="AD15" s="44">
        <f>'新手明日礼|TomorrowGift'!AM15</f>
        <v>5000000</v>
      </c>
      <c r="AE15" s="44">
        <f>'新手明日礼|TomorrowGift'!AN15</f>
        <v>2</v>
      </c>
      <c r="AF15" s="85">
        <f>'新手明日礼|TomorrowGift'!AO15</f>
        <v>1007</v>
      </c>
      <c r="AG15" s="95">
        <f>'新手明日礼|TomorrowGift'!AP15</f>
        <v>1</v>
      </c>
    </row>
    <row r="16" spans="1:33">
      <c r="A16" s="1">
        <v>12</v>
      </c>
      <c r="B16" s="1" t="str">
        <f t="shared" si="3"/>
        <v>2|2001|3</v>
      </c>
      <c r="C16" s="1">
        <v>0</v>
      </c>
      <c r="E16" s="1">
        <v>1</v>
      </c>
      <c r="F16" s="1">
        <v>1</v>
      </c>
      <c r="G16" s="1">
        <f t="shared" si="4"/>
        <v>10000</v>
      </c>
      <c r="H16" s="1">
        <f t="shared" si="5"/>
        <v>10000</v>
      </c>
      <c r="I16" s="1">
        <v>-1</v>
      </c>
      <c r="J16" s="1">
        <v>1</v>
      </c>
      <c r="K16" s="1">
        <v>0</v>
      </c>
      <c r="L16" s="1">
        <v>0</v>
      </c>
      <c r="N16" s="1" t="s">
        <v>177</v>
      </c>
      <c r="O16" s="1">
        <f t="shared" si="0"/>
        <v>2</v>
      </c>
      <c r="P16" s="1">
        <f t="shared" si="1"/>
        <v>2001</v>
      </c>
      <c r="Q16" s="7">
        <v>3</v>
      </c>
      <c r="R16" s="1">
        <f t="shared" si="2"/>
        <v>900000</v>
      </c>
      <c r="S16" s="1" t="str">
        <f t="shared" si="6"/>
        <v>90万</v>
      </c>
      <c r="T16" s="1">
        <v>1</v>
      </c>
      <c r="U16" s="82">
        <f t="shared" si="7"/>
        <v>0.00345989155315916</v>
      </c>
      <c r="V16" s="1">
        <v>1</v>
      </c>
      <c r="W16" s="82">
        <f t="shared" si="8"/>
        <v>0.0035060900784663</v>
      </c>
      <c r="X16" s="1">
        <v>1</v>
      </c>
      <c r="Y16" s="1">
        <v>1</v>
      </c>
      <c r="AA16" s="42" t="str">
        <f>'新手明日礼|TomorrowGift'!AJ16</f>
        <v>超级武器4</v>
      </c>
      <c r="AB16" s="44">
        <f>'新手明日礼|TomorrowGift'!AK16</f>
        <v>50</v>
      </c>
      <c r="AC16" s="44">
        <f>'新手明日礼|TomorrowGift'!AL16</f>
        <v>1000</v>
      </c>
      <c r="AD16" s="44">
        <f>'新手明日礼|TomorrowGift'!AM16</f>
        <v>10000000</v>
      </c>
      <c r="AE16" s="44">
        <f>'新手明日礼|TomorrowGift'!AN16</f>
        <v>2</v>
      </c>
      <c r="AF16" s="85">
        <f>'新手明日礼|TomorrowGift'!AO16</f>
        <v>1008</v>
      </c>
      <c r="AG16" s="95">
        <f>'新手明日礼|TomorrowGift'!AP16</f>
        <v>1</v>
      </c>
    </row>
    <row r="17" spans="27:33">
      <c r="AA17" s="42" t="str">
        <f>'新手明日礼|TomorrowGift'!AJ17</f>
        <v>5元话费卡</v>
      </c>
      <c r="AB17" s="44">
        <f>'新手明日礼|TomorrowGift'!AK17</f>
        <v>5</v>
      </c>
      <c r="AC17" s="44">
        <f>'新手明日礼|TomorrowGift'!AL17</f>
        <v>100</v>
      </c>
      <c r="AD17" s="44">
        <f>'新手明日礼|TomorrowGift'!AM17</f>
        <v>1000000</v>
      </c>
      <c r="AE17" s="44">
        <f>'新手明日礼|TomorrowGift'!AN17</f>
        <v>2</v>
      </c>
      <c r="AF17" s="85">
        <f>'新手明日礼|TomorrowGift'!AO17</f>
        <v>1206</v>
      </c>
      <c r="AG17" s="95">
        <f>'新手明日礼|TomorrowGift'!AP17</f>
        <v>1</v>
      </c>
    </row>
    <row r="18" spans="27:33">
      <c r="AA18" s="42" t="str">
        <f>'新手明日礼|TomorrowGift'!AJ18</f>
        <v>2元话费卡</v>
      </c>
      <c r="AB18" s="44">
        <f>'新手明日礼|TomorrowGift'!AK18</f>
        <v>2</v>
      </c>
      <c r="AC18" s="44">
        <f>'新手明日礼|TomorrowGift'!AL18</f>
        <v>40</v>
      </c>
      <c r="AD18" s="44">
        <f>'新手明日礼|TomorrowGift'!AM18</f>
        <v>400000</v>
      </c>
      <c r="AE18" s="44">
        <f>'新手明日礼|TomorrowGift'!AN18</f>
        <v>2</v>
      </c>
      <c r="AF18" s="85">
        <f>'新手明日礼|TomorrowGift'!AO18</f>
        <v>1205</v>
      </c>
      <c r="AG18" s="95">
        <f>'新手明日礼|TomorrowGift'!AP18</f>
        <v>1</v>
      </c>
    </row>
    <row r="19" spans="20:33">
      <c r="T19" s="1">
        <f>R6*U6</f>
        <v>3459.89155315916</v>
      </c>
      <c r="W19" s="1">
        <f>R6*W6</f>
        <v>2103.65404707978</v>
      </c>
      <c r="AA19" s="48" t="str">
        <f>'新手明日礼|TomorrowGift'!AJ19</f>
        <v>高压锅</v>
      </c>
      <c r="AB19" s="87">
        <f>'新手明日礼|TomorrowGift'!AK19</f>
        <v>200</v>
      </c>
      <c r="AC19" s="44">
        <f>'新手明日礼|TomorrowGift'!AL19</f>
        <v>4000</v>
      </c>
      <c r="AD19" s="44">
        <f>'新手明日礼|TomorrowGift'!AM19</f>
        <v>40000000</v>
      </c>
      <c r="AE19" s="87">
        <f>'新手明日礼|TomorrowGift'!AN19</f>
        <v>2</v>
      </c>
      <c r="AF19" s="88">
        <f>'新手明日礼|TomorrowGift'!AO19</f>
        <v>1208</v>
      </c>
      <c r="AG19" s="95">
        <f>'新手明日礼|TomorrowGift'!AP19</f>
        <v>1</v>
      </c>
    </row>
    <row r="20" spans="14:33">
      <c r="N20" s="76" t="s">
        <v>341</v>
      </c>
      <c r="T20" s="1">
        <f t="shared" ref="T20:T29" si="9">R7*U7</f>
        <v>3459.89155315916</v>
      </c>
      <c r="W20" s="1">
        <f t="shared" ref="W20:W29" si="10">R7*W7</f>
        <v>2629.56755884972</v>
      </c>
      <c r="AA20" s="2" t="str">
        <f>'新手明日礼|TomorrowGift'!AJ20</f>
        <v>30元话费卡</v>
      </c>
      <c r="AB20" s="89">
        <f>'新手明日礼|TomorrowGift'!AK20</f>
        <v>30</v>
      </c>
      <c r="AC20" s="44">
        <f>'新手明日礼|TomorrowGift'!AL20</f>
        <v>600</v>
      </c>
      <c r="AD20" s="44">
        <f>'新手明日礼|TomorrowGift'!AM20</f>
        <v>6000000</v>
      </c>
      <c r="AE20" s="89">
        <f>'新手明日礼|TomorrowGift'!AN20</f>
        <v>2</v>
      </c>
      <c r="AF20" s="89">
        <f>'新手明日礼|TomorrowGift'!AO20</f>
        <v>1209</v>
      </c>
      <c r="AG20" s="95">
        <f>'新手明日礼|TomorrowGift'!AP20</f>
        <v>1</v>
      </c>
    </row>
    <row r="21" spans="20:33">
      <c r="T21" s="1">
        <f t="shared" si="9"/>
        <v>14721.8385586922</v>
      </c>
      <c r="W21" s="1">
        <f t="shared" si="10"/>
        <v>17530.4503923315</v>
      </c>
      <c r="AA21" s="2" t="str">
        <f>'新手明日礼|TomorrowGift'!AJ21</f>
        <v>50元话费卡</v>
      </c>
      <c r="AB21" s="89">
        <f>'新手明日礼|TomorrowGift'!AK21</f>
        <v>50</v>
      </c>
      <c r="AC21" s="44">
        <f>'新手明日礼|TomorrowGift'!AL21</f>
        <v>1000</v>
      </c>
      <c r="AD21" s="44">
        <f>'新手明日礼|TomorrowGift'!AM21</f>
        <v>10000000</v>
      </c>
      <c r="AE21" s="89">
        <f>'新手明日礼|TomorrowGift'!AN21</f>
        <v>2</v>
      </c>
      <c r="AF21" s="89">
        <f>'新手明日礼|TomorrowGift'!AO21</f>
        <v>1210</v>
      </c>
      <c r="AG21" s="95">
        <f>'新手明日礼|TomorrowGift'!AP21</f>
        <v>1</v>
      </c>
    </row>
    <row r="22" spans="20:33">
      <c r="T22" s="1">
        <f t="shared" si="9"/>
        <v>10379.6746594775</v>
      </c>
      <c r="W22" s="1">
        <f t="shared" si="10"/>
        <v>7012.18015693259</v>
      </c>
      <c r="AA22" s="2" t="str">
        <f>'新手明日礼|TomorrowGift'!AJ22</f>
        <v>活跃度</v>
      </c>
      <c r="AB22" s="89">
        <f>'新手明日礼|TomorrowGift'!AK22</f>
        <v>1</v>
      </c>
      <c r="AC22" s="44">
        <f>'新手明日礼|TomorrowGift'!AL22</f>
        <v>20</v>
      </c>
      <c r="AD22" s="44">
        <f>'新手明日礼|TomorrowGift'!AM22</f>
        <v>200000</v>
      </c>
      <c r="AE22" s="89">
        <f>'新手明日礼|TomorrowGift'!AN22</f>
        <v>1</v>
      </c>
      <c r="AF22" s="89">
        <f>'新手明日礼|TomorrowGift'!AO22</f>
        <v>6</v>
      </c>
      <c r="AG22" s="95">
        <f>'新手明日礼|TomorrowGift'!AP22</f>
        <v>1</v>
      </c>
    </row>
    <row r="23" spans="20:33">
      <c r="T23" s="1">
        <f t="shared" si="9"/>
        <v>4324.86444144895</v>
      </c>
      <c r="W23" s="1">
        <f t="shared" si="10"/>
        <v>2629.56755884972</v>
      </c>
      <c r="AA23" s="2" t="str">
        <f>'新手明日礼|TomorrowGift'!AJ23</f>
        <v>红包【恭】</v>
      </c>
      <c r="AB23" s="89">
        <f>'新手明日礼|TomorrowGift'!AK23</f>
        <v>1</v>
      </c>
      <c r="AC23" s="44">
        <f>'新手明日礼|TomorrowGift'!AL23</f>
        <v>20</v>
      </c>
      <c r="AD23" s="44">
        <f>'新手明日礼|TomorrowGift'!AM23</f>
        <v>200000</v>
      </c>
      <c r="AE23" s="89">
        <f>'新手明日礼|TomorrowGift'!AN23</f>
        <v>2</v>
      </c>
      <c r="AF23" s="89">
        <f>'新手明日礼|TomorrowGift'!AO23</f>
        <v>1301</v>
      </c>
      <c r="AG23" s="95">
        <f>'新手明日礼|TomorrowGift'!AP23</f>
        <v>1</v>
      </c>
    </row>
    <row r="24" spans="20:33">
      <c r="T24" s="1">
        <f t="shared" si="9"/>
        <v>9333.54876924738</v>
      </c>
      <c r="W24" s="1">
        <f t="shared" si="10"/>
        <v>10518.2702353989</v>
      </c>
      <c r="AA24" s="2" t="str">
        <f>'新手明日礼|TomorrowGift'!AJ24</f>
        <v>红包【喜】</v>
      </c>
      <c r="AB24" s="89">
        <f>'新手明日礼|TomorrowGift'!AK24</f>
        <v>1</v>
      </c>
      <c r="AC24" s="44">
        <f>'新手明日礼|TomorrowGift'!AL24</f>
        <v>20</v>
      </c>
      <c r="AD24" s="44">
        <f>'新手明日礼|TomorrowGift'!AM24</f>
        <v>200000</v>
      </c>
      <c r="AE24" s="89">
        <f>'新手明日礼|TomorrowGift'!AN24</f>
        <v>2</v>
      </c>
      <c r="AF24" s="89">
        <f>'新手明日礼|TomorrowGift'!AO24</f>
        <v>1302</v>
      </c>
      <c r="AG24" s="95">
        <f>'新手明日礼|TomorrowGift'!AP24</f>
        <v>1</v>
      </c>
    </row>
    <row r="25" spans="20:33">
      <c r="T25" s="1">
        <f t="shared" si="9"/>
        <v>20759.349318955</v>
      </c>
      <c r="W25" s="1">
        <f t="shared" si="10"/>
        <v>14794.3678168979</v>
      </c>
      <c r="AA25" s="2" t="str">
        <f>'新手明日礼|TomorrowGift'!AJ25</f>
        <v>红包【发】</v>
      </c>
      <c r="AB25" s="89">
        <f>'新手明日礼|TomorrowGift'!AK25</f>
        <v>1</v>
      </c>
      <c r="AC25" s="44">
        <f>'新手明日礼|TomorrowGift'!AL25</f>
        <v>20</v>
      </c>
      <c r="AD25" s="44">
        <f>'新手明日礼|TomorrowGift'!AM25</f>
        <v>200000</v>
      </c>
      <c r="AE25" s="89">
        <f>'新手明日礼|TomorrowGift'!AN25</f>
        <v>2</v>
      </c>
      <c r="AF25" s="89">
        <f>'新手明日礼|TomorrowGift'!AO25</f>
        <v>1303</v>
      </c>
      <c r="AG25" s="95">
        <f>'新手明日礼|TomorrowGift'!AP25</f>
        <v>1</v>
      </c>
    </row>
    <row r="26" spans="20:33">
      <c r="T26" s="1">
        <f t="shared" si="9"/>
        <v>7957.75057226606</v>
      </c>
      <c r="W26" s="1">
        <f t="shared" si="10"/>
        <v>7012.18015693259</v>
      </c>
      <c r="AA26" s="2" t="str">
        <f>'新手明日礼|TomorrowGift'!AJ26</f>
        <v>红包【财】</v>
      </c>
      <c r="AB26" s="89">
        <f>'新手明日礼|TomorrowGift'!AK26</f>
        <v>1</v>
      </c>
      <c r="AC26" s="44">
        <f>'新手明日礼|TomorrowGift'!AL26</f>
        <v>20</v>
      </c>
      <c r="AD26" s="44">
        <f>'新手明日礼|TomorrowGift'!AM26</f>
        <v>200000</v>
      </c>
      <c r="AE26" s="89">
        <f>'新手明日礼|TomorrowGift'!AN26</f>
        <v>2</v>
      </c>
      <c r="AF26" s="89">
        <f>'新手明日礼|TomorrowGift'!AO26</f>
        <v>1304</v>
      </c>
      <c r="AG26" s="95">
        <f>'新手明日礼|TomorrowGift'!AP26</f>
        <v>1</v>
      </c>
    </row>
    <row r="27" spans="20:33">
      <c r="T27" s="1">
        <f t="shared" si="9"/>
        <v>10379.6746594775</v>
      </c>
      <c r="W27" s="1">
        <f t="shared" si="10"/>
        <v>10518.2702353989</v>
      </c>
      <c r="AA27" s="2" t="str">
        <f>'新手明日礼|TomorrowGift'!AJ27</f>
        <v>双轮</v>
      </c>
      <c r="AB27" s="89">
        <f>'新手明日礼|TomorrowGift'!AK27</f>
        <v>40</v>
      </c>
      <c r="AC27" s="44">
        <f>'新手明日礼|TomorrowGift'!AL27</f>
        <v>800</v>
      </c>
      <c r="AD27" s="44">
        <f>'新手明日礼|TomorrowGift'!AM27</f>
        <v>8000000</v>
      </c>
      <c r="AE27" s="89">
        <f>'新手明日礼|TomorrowGift'!AN27</f>
        <v>2</v>
      </c>
      <c r="AF27" s="89">
        <f>'新手明日礼|TomorrowGift'!AO27</f>
        <v>1500</v>
      </c>
      <c r="AG27" s="95">
        <f>'新手明日礼|TomorrowGift'!AP27</f>
        <v>1</v>
      </c>
    </row>
    <row r="28" spans="20:33">
      <c r="T28" s="1">
        <f t="shared" si="9"/>
        <v>10379.6746594775</v>
      </c>
      <c r="W28" s="1">
        <f t="shared" si="10"/>
        <v>10518.2702353989</v>
      </c>
      <c r="AA28" s="2" t="str">
        <f>'新手明日礼|TomorrowGift'!AJ28</f>
        <v>橄榄油</v>
      </c>
      <c r="AB28" s="89">
        <f>'新手明日礼|TomorrowGift'!AK28</f>
        <v>80</v>
      </c>
      <c r="AC28" s="44">
        <f>'新手明日礼|TomorrowGift'!AL28</f>
        <v>1600</v>
      </c>
      <c r="AD28" s="44">
        <f>'新手明日礼|TomorrowGift'!AM28</f>
        <v>16000000</v>
      </c>
      <c r="AE28" s="89">
        <f>'新手明日礼|TomorrowGift'!AN28</f>
        <v>2</v>
      </c>
      <c r="AF28" s="89">
        <f>'新手明日礼|TomorrowGift'!AO28</f>
        <v>1503</v>
      </c>
      <c r="AG28" s="89">
        <f>'新手明日礼|TomorrowGift'!AP28</f>
        <v>1</v>
      </c>
    </row>
    <row r="29" spans="20:33">
      <c r="T29" s="1">
        <f t="shared" si="9"/>
        <v>3113.90239784324</v>
      </c>
      <c r="W29" s="1">
        <f t="shared" si="10"/>
        <v>3155.48107061967</v>
      </c>
      <c r="AA29" s="2" t="str">
        <f>'新手明日礼|TomorrowGift'!AJ29</f>
        <v>米面礼盒</v>
      </c>
      <c r="AB29" s="89">
        <f>'新手明日礼|TomorrowGift'!AK29</f>
        <v>110</v>
      </c>
      <c r="AC29" s="44">
        <f>'新手明日礼|TomorrowGift'!AL29</f>
        <v>2200</v>
      </c>
      <c r="AD29" s="44">
        <f>'新手明日礼|TomorrowGift'!AM29</f>
        <v>22000000</v>
      </c>
      <c r="AE29" s="89">
        <f>'新手明日礼|TomorrowGift'!AN29</f>
        <v>2</v>
      </c>
      <c r="AF29" s="89">
        <f>'新手明日礼|TomorrowGift'!AO29</f>
        <v>1504</v>
      </c>
      <c r="AG29" s="89">
        <f>'新手明日礼|TomorrowGift'!AP29</f>
        <v>1</v>
      </c>
    </row>
    <row r="30" spans="20:33">
      <c r="T30" s="1">
        <f>SUM(T19:T29)</f>
        <v>98270.0611432035</v>
      </c>
      <c r="W30" s="1">
        <f>SUM(W19:W29)</f>
        <v>88422.2594646902</v>
      </c>
      <c r="AA30" s="43" t="str">
        <f>'新手明日礼|TomorrowGift'!AJ30</f>
        <v>5元话费卡</v>
      </c>
      <c r="AB30" s="44">
        <f>'新手明日礼|TomorrowGift'!AK30</f>
        <v>5</v>
      </c>
      <c r="AC30" s="44">
        <f>'新手明日礼|TomorrowGift'!AL30</f>
        <v>100</v>
      </c>
      <c r="AD30" s="44">
        <f>'新手明日礼|TomorrowGift'!AM30</f>
        <v>1000000</v>
      </c>
      <c r="AE30" s="44">
        <f>'新手明日礼|TomorrowGift'!AN30</f>
        <v>2</v>
      </c>
      <c r="AF30" s="44">
        <f>'新手明日礼|TomorrowGift'!AO30</f>
        <v>1206</v>
      </c>
      <c r="AG30" s="89">
        <f>'新手明日礼|TomorrowGift'!AP30</f>
        <v>1</v>
      </c>
    </row>
    <row r="31" spans="27:33">
      <c r="AA31" s="43" t="str">
        <f>'新手明日礼|TomorrowGift'!AJ31</f>
        <v>1元话费卡</v>
      </c>
      <c r="AB31" s="44">
        <f>'新手明日礼|TomorrowGift'!AK31</f>
        <v>1</v>
      </c>
      <c r="AC31" s="44">
        <f>'新手明日礼|TomorrowGift'!AL31</f>
        <v>20</v>
      </c>
      <c r="AD31" s="44">
        <f>'新手明日礼|TomorrowGift'!AM31</f>
        <v>200000</v>
      </c>
      <c r="AE31" s="44">
        <f>'新手明日礼|TomorrowGift'!AN31</f>
        <v>2</v>
      </c>
      <c r="AF31" s="44">
        <f>'新手明日礼|TomorrowGift'!AO31</f>
        <v>1211</v>
      </c>
      <c r="AG31" s="89">
        <f>'新手明日礼|TomorrowGift'!AP31</f>
        <v>1</v>
      </c>
    </row>
    <row r="32" spans="27:33">
      <c r="AA32" s="90" t="str">
        <f>'新手明日礼|TomorrowGift'!AJ32</f>
        <v>闪电</v>
      </c>
      <c r="AB32" s="91">
        <f>'新手明日礼|TomorrowGift'!AK32</f>
        <v>0.5</v>
      </c>
      <c r="AC32" s="44">
        <f>'新手明日礼|TomorrowGift'!AL32</f>
        <v>10</v>
      </c>
      <c r="AD32" s="44">
        <f>'新手明日礼|TomorrowGift'!AM32</f>
        <v>100000</v>
      </c>
      <c r="AE32" s="91">
        <f>'新手明日礼|TomorrowGift'!AN32</f>
        <v>2</v>
      </c>
      <c r="AF32" s="92">
        <f>'新手明日礼|TomorrowGift'!AO32</f>
        <v>1603</v>
      </c>
      <c r="AG32" s="96">
        <f>'新手明日礼|TomorrowGift'!AP32</f>
        <v>1</v>
      </c>
    </row>
    <row r="33" spans="27:33">
      <c r="AA33" s="42" t="str">
        <f>'新手明日礼|TomorrowGift'!AJ33</f>
        <v>会员加量卡</v>
      </c>
      <c r="AB33" s="44">
        <f>'新手明日礼|TomorrowGift'!AK33</f>
        <v>1.5</v>
      </c>
      <c r="AC33" s="44">
        <f>'新手明日礼|TomorrowGift'!AL33</f>
        <v>30</v>
      </c>
      <c r="AD33" s="44">
        <f>'新手明日礼|TomorrowGift'!AM33</f>
        <v>300000</v>
      </c>
      <c r="AE33" s="44">
        <f>'新手明日礼|TomorrowGift'!AN33</f>
        <v>2</v>
      </c>
      <c r="AF33" s="85">
        <f>'新手明日礼|TomorrowGift'!AO33</f>
        <v>2001</v>
      </c>
      <c r="AG33" s="95">
        <f>'新手明日礼|TomorrowGift'!AP33</f>
        <v>0.5</v>
      </c>
    </row>
    <row r="34" spans="27:33">
      <c r="AA34" s="93" t="str">
        <f>'新手明日礼|TomorrowGift'!AJ34</f>
        <v>Ⅰ级核弹碎片</v>
      </c>
      <c r="AB34" s="44">
        <f>'新手明日礼|TomorrowGift'!AK34</f>
        <v>0.25</v>
      </c>
      <c r="AC34" s="44">
        <f>'新手明日礼|TomorrowGift'!AL34</f>
        <v>5</v>
      </c>
      <c r="AD34" s="44">
        <f>'新手明日礼|TomorrowGift'!AM34</f>
        <v>50000</v>
      </c>
      <c r="AE34" s="44">
        <f>'新手明日礼|TomorrowGift'!AN34</f>
        <v>2</v>
      </c>
      <c r="AF34" s="85">
        <f>'新手明日礼|TomorrowGift'!AO34</f>
        <v>1015</v>
      </c>
      <c r="AG34" s="95">
        <f>'新手明日礼|TomorrowGift'!AP34</f>
        <v>1</v>
      </c>
    </row>
    <row r="35" spans="27:33">
      <c r="AA35" s="93" t="str">
        <f>'新手明日礼|TomorrowGift'!AJ35</f>
        <v>Ⅱ级核弹碎片</v>
      </c>
      <c r="AB35" s="86">
        <f>'新手明日礼|TomorrowGift'!AK35</f>
        <v>0.5</v>
      </c>
      <c r="AC35" s="44">
        <f>'新手明日礼|TomorrowGift'!AL35</f>
        <v>10</v>
      </c>
      <c r="AD35" s="44">
        <f>'新手明日礼|TomorrowGift'!AM35</f>
        <v>100000</v>
      </c>
      <c r="AE35" s="44">
        <f>'新手明日礼|TomorrowGift'!AN35</f>
        <v>2</v>
      </c>
      <c r="AF35" s="85">
        <f>'新手明日礼|TomorrowGift'!AO35</f>
        <v>1016</v>
      </c>
      <c r="AG35" s="95">
        <f>'新手明日礼|TomorrowGift'!AP35</f>
        <v>1</v>
      </c>
    </row>
    <row r="36" spans="27:33">
      <c r="AA36" s="93" t="str">
        <f>'新手明日礼|TomorrowGift'!AJ36</f>
        <v>Ⅲ级核弹碎片</v>
      </c>
      <c r="AB36" s="44">
        <f>'新手明日礼|TomorrowGift'!AK36</f>
        <v>1.25</v>
      </c>
      <c r="AC36" s="44">
        <f>'新手明日礼|TomorrowGift'!AL36</f>
        <v>25</v>
      </c>
      <c r="AD36" s="44">
        <f>'新手明日礼|TomorrowGift'!AM36</f>
        <v>250000</v>
      </c>
      <c r="AE36" s="44">
        <f>'新手明日礼|TomorrowGift'!AN36</f>
        <v>2</v>
      </c>
      <c r="AF36" s="85">
        <f>'新手明日礼|TomorrowGift'!AO36</f>
        <v>1017</v>
      </c>
      <c r="AG36" s="95">
        <f>'新手明日礼|TomorrowGift'!AP36</f>
        <v>1</v>
      </c>
    </row>
    <row r="37" spans="27:34">
      <c r="AA37" s="93" t="str">
        <f>'新手明日礼|TomorrowGift'!AJ37</f>
        <v>Ⅳ级核弹碎片</v>
      </c>
      <c r="AB37" s="44">
        <f>'新手明日礼|TomorrowGift'!AK37</f>
        <v>2.5</v>
      </c>
      <c r="AC37" s="44">
        <f>'新手明日礼|TomorrowGift'!AL37</f>
        <v>50</v>
      </c>
      <c r="AD37" s="44">
        <f>'新手明日礼|TomorrowGift'!AM37</f>
        <v>500000</v>
      </c>
      <c r="AE37" s="44">
        <f>'新手明日礼|TomorrowGift'!AN37</f>
        <v>2</v>
      </c>
      <c r="AF37" s="85">
        <f>'新手明日礼|TomorrowGift'!AO37</f>
        <v>1018</v>
      </c>
      <c r="AG37" s="95">
        <f>'新手明日礼|TomorrowGift'!AP37</f>
        <v>1</v>
      </c>
      <c r="AH37" s="2"/>
    </row>
  </sheetData>
  <conditionalFormatting sqref="A1">
    <cfRule type="containsText" dxfId="0" priority="35" operator="between" text=" ">
      <formula>NOT(ISERROR(SEARCH(" ",A1)))</formula>
    </cfRule>
  </conditionalFormatting>
  <conditionalFormatting sqref="D1">
    <cfRule type="containsText" dxfId="0" priority="15" operator="between" text=" ">
      <formula>NOT(ISERROR(SEARCH(" ",D1)))</formula>
    </cfRule>
  </conditionalFormatting>
  <conditionalFormatting sqref="E1">
    <cfRule type="containsText" dxfId="0" priority="13" operator="between" text=" ">
      <formula>NOT(ISERROR(SEARCH(" ",E1)))</formula>
    </cfRule>
  </conditionalFormatting>
  <conditionalFormatting sqref="S1">
    <cfRule type="containsText" dxfId="3" priority="7" operator="between" text="错误">
      <formula>NOT(ISERROR(SEARCH("错误",S1)))</formula>
    </cfRule>
    <cfRule type="containsText" dxfId="4" priority="8" operator="between" text="正确">
      <formula>NOT(ISERROR(SEARCH("正确",S1)))</formula>
    </cfRule>
    <cfRule type="cellIs" dxfId="1" priority="9" operator="equal">
      <formula>"正确"</formula>
    </cfRule>
    <cfRule type="cellIs" dxfId="5" priority="10" operator="equal">
      <formula>"错误"</formula>
    </cfRule>
  </conditionalFormatting>
  <conditionalFormatting sqref="AA1">
    <cfRule type="containsText" dxfId="0" priority="2" operator="between" text=" ">
      <formula>NOT(ISERROR(SEARCH(" ",AA1)))</formula>
    </cfRule>
  </conditionalFormatting>
  <conditionalFormatting sqref="A2">
    <cfRule type="containsText" dxfId="0" priority="32" operator="between" text=" ">
      <formula>NOT(ISERROR(SEARCH(" ",A2)))</formula>
    </cfRule>
  </conditionalFormatting>
  <conditionalFormatting sqref="D2">
    <cfRule type="containsText" dxfId="0" priority="11" operator="between" text=" ">
      <formula>NOT(ISERROR(SEARCH(" ",D2)))</formula>
    </cfRule>
  </conditionalFormatting>
  <conditionalFormatting sqref="E2">
    <cfRule type="containsText" dxfId="0" priority="12" operator="between" text=" ">
      <formula>NOT(ISERROR(SEARCH(" ",E2)))</formula>
    </cfRule>
  </conditionalFormatting>
  <conditionalFormatting sqref="A3">
    <cfRule type="containsText" dxfId="0" priority="34" operator="between" text=" ">
      <formula>NOT(ISERROR(SEARCH(" ",A3)))</formula>
    </cfRule>
  </conditionalFormatting>
  <conditionalFormatting sqref="B3:F3">
    <cfRule type="containsText" dxfId="0" priority="38" operator="between" text=" ">
      <formula>NOT(ISERROR(SEARCH(" ",B3)))</formula>
    </cfRule>
  </conditionalFormatting>
  <conditionalFormatting sqref="A4">
    <cfRule type="containsText" dxfId="0" priority="33" operator="between" text=" ">
      <formula>NOT(ISERROR(SEARCH(" ",A4)))</formula>
    </cfRule>
  </conditionalFormatting>
  <conditionalFormatting sqref="B4:F4">
    <cfRule type="containsText" dxfId="0" priority="37" operator="between" text=" ">
      <formula>NOT(ISERROR(SEARCH(" ",B4)))</formula>
    </cfRule>
  </conditionalFormatting>
  <conditionalFormatting sqref="AF12">
    <cfRule type="containsText" dxfId="0" priority="27" operator="between" text=" ">
      <formula>NOT(ISERROR(SEARCH(" ",AF12)))</formula>
    </cfRule>
  </conditionalFormatting>
  <conditionalFormatting sqref="AA17:AB17">
    <cfRule type="containsText" dxfId="0" priority="24" operator="between" text=" ">
      <formula>NOT(ISERROR(SEARCH(" ",AA17)))</formula>
    </cfRule>
  </conditionalFormatting>
  <conditionalFormatting sqref="AA18:AB18">
    <cfRule type="containsText" dxfId="0" priority="23" operator="between" text=" ">
      <formula>NOT(ISERROR(SEARCH(" ",AA18)))</formula>
    </cfRule>
  </conditionalFormatting>
  <conditionalFormatting sqref="AF19">
    <cfRule type="containsText" dxfId="0" priority="22" operator="between" text=" ">
      <formula>NOT(ISERROR(SEARCH(" ",AF19)))</formula>
    </cfRule>
  </conditionalFormatting>
  <conditionalFormatting sqref="AA31">
    <cfRule type="containsText" dxfId="0" priority="19" operator="between" text=" ">
      <formula>NOT(ISERROR(SEARCH(" ",AA31)))</formula>
    </cfRule>
  </conditionalFormatting>
  <conditionalFormatting sqref="AH37">
    <cfRule type="containsText" dxfId="0" priority="5" operator="between" text=" ">
      <formula>NOT(ISERROR(SEARCH(" ",AH37)))</formula>
    </cfRule>
  </conditionalFormatting>
  <conditionalFormatting sqref="L1:L4">
    <cfRule type="containsText" dxfId="0" priority="16" operator="between" text=" ">
      <formula>NOT(ISERROR(SEARCH(" ",L1)))</formula>
    </cfRule>
  </conditionalFormatting>
  <conditionalFormatting sqref="AF13:AF16">
    <cfRule type="containsText" dxfId="0" priority="26" operator="between" text=" ">
      <formula>NOT(ISERROR(SEARCH(" ",AF13)))</formula>
    </cfRule>
  </conditionalFormatting>
  <conditionalFormatting sqref="AF30:AF31">
    <cfRule type="containsText" dxfId="0" priority="20" operator="between" text=" ">
      <formula>NOT(ISERROR(SEARCH(" ",AF30)))</formula>
    </cfRule>
  </conditionalFormatting>
  <conditionalFormatting sqref="B1:C1 F1">
    <cfRule type="containsText" dxfId="0" priority="39" operator="between" text=" ">
      <formula>NOT(ISERROR(SEARCH(" ",B1)))</formula>
    </cfRule>
  </conditionalFormatting>
  <conditionalFormatting sqref="G1:H4">
    <cfRule type="containsText" dxfId="0" priority="18" operator="between" text=" ">
      <formula>NOT(ISERROR(SEARCH(" ",G1)))</formula>
    </cfRule>
  </conditionalFormatting>
  <conditionalFormatting sqref="I1:K4">
    <cfRule type="containsText" dxfId="0" priority="17" operator="between" text=" ">
      <formula>NOT(ISERROR(SEARCH(" ",I1)))</formula>
    </cfRule>
  </conditionalFormatting>
  <conditionalFormatting sqref="B2:C2 F2">
    <cfRule type="containsText" dxfId="0" priority="36" operator="between" text=" ">
      <formula>NOT(ISERROR(SEARCH(" ",B2)))</formula>
    </cfRule>
  </conditionalFormatting>
  <conditionalFormatting sqref="AG18:AG29 AC6:AD36 AE32:AF35 AE20:AF29 AE19 AE12 AE6:AF7 AA6:AB16 AA4:AF5 AA32:AB36 AA19:AB29 AA37:AD37">
    <cfRule type="containsText" dxfId="0" priority="31" operator="between" text=" ">
      <formula>NOT(ISERROR(SEARCH(" ",AA4)))</formula>
    </cfRule>
  </conditionalFormatting>
  <conditionalFormatting sqref="AE8:AE11 AE13:AE16 AE17:AF18 AE36:AE37">
    <cfRule type="containsText" dxfId="0" priority="30" operator="between" text=" ">
      <formula>NOT(ISERROR(SEARCH(" ",AE8)))</formula>
    </cfRule>
  </conditionalFormatting>
  <conditionalFormatting sqref="AF8:AF11 AF36:AF37">
    <cfRule type="containsText" dxfId="0" priority="29" operator="between" text=" ">
      <formula>NOT(ISERROR(SEARCH(" ",AF8)))</formula>
    </cfRule>
  </conditionalFormatting>
  <conditionalFormatting sqref="AA30:AB30 AE30:AE31 AB31">
    <cfRule type="containsText" dxfId="0" priority="21" operator="between" text=" ">
      <formula>NOT(ISERROR(SEARCH(" ",AA30)))</formula>
    </cfRule>
  </conditionalFormatting>
  <pageMargins left="0.7" right="0.7" top="0.75" bottom="0.75" header="0.3" footer="0.3"/>
  <pageSetup paperSize="9" orientation="portrait"/>
  <headerFooter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0"/>
  <sheetViews>
    <sheetView workbookViewId="0">
      <selection activeCell="L5" sqref="L5"/>
    </sheetView>
  </sheetViews>
  <sheetFormatPr defaultColWidth="8.88888888888889" defaultRowHeight="15.6"/>
  <cols>
    <col min="1" max="1" width="8.88888888888889" style="60"/>
    <col min="2" max="2" width="19.3333333333333" style="60" customWidth="1"/>
    <col min="3" max="4" width="14.7777777777778" style="60" customWidth="1"/>
    <col min="5" max="16384" width="8.88888888888889" style="60"/>
  </cols>
  <sheetData>
    <row r="1" ht="15" spans="1:4">
      <c r="A1" s="51" t="s">
        <v>0</v>
      </c>
      <c r="B1" s="51" t="s">
        <v>0</v>
      </c>
      <c r="C1" s="51" t="s">
        <v>0</v>
      </c>
      <c r="D1" s="51" t="s">
        <v>0</v>
      </c>
    </row>
    <row r="2" ht="15" spans="1:4">
      <c r="A2" s="52" t="s">
        <v>9</v>
      </c>
      <c r="B2" s="52" t="s">
        <v>10</v>
      </c>
      <c r="C2" s="52" t="s">
        <v>10</v>
      </c>
      <c r="D2" s="52" t="s">
        <v>9</v>
      </c>
    </row>
    <row r="3" ht="15" spans="1:4">
      <c r="A3" s="52" t="s">
        <v>193</v>
      </c>
      <c r="B3" s="52" t="s">
        <v>342</v>
      </c>
      <c r="C3" s="52" t="s">
        <v>343</v>
      </c>
      <c r="D3" s="52" t="s">
        <v>344</v>
      </c>
    </row>
    <row r="4" spans="1:13">
      <c r="A4" s="53" t="s">
        <v>204</v>
      </c>
      <c r="B4" s="66" t="s">
        <v>345</v>
      </c>
      <c r="C4" s="66" t="s">
        <v>346</v>
      </c>
      <c r="D4" s="66" t="s">
        <v>347</v>
      </c>
      <c r="K4" s="60" t="s">
        <v>348</v>
      </c>
      <c r="L4" s="60" t="s">
        <v>349</v>
      </c>
      <c r="M4" s="60" t="s">
        <v>350</v>
      </c>
    </row>
    <row r="5" spans="1:15">
      <c r="A5" s="1">
        <v>1</v>
      </c>
      <c r="B5" s="60" t="str">
        <f>"2|"&amp;K5&amp;"|"&amp;L5</f>
        <v>2|1604|10</v>
      </c>
      <c r="C5" s="60" t="str">
        <f>"2|"&amp;M5&amp;"|1"</f>
        <v>2|2100|1</v>
      </c>
      <c r="D5" s="1">
        <v>1</v>
      </c>
      <c r="H5" s="60" t="s">
        <v>351</v>
      </c>
      <c r="I5" s="2"/>
      <c r="K5" s="60">
        <v>1604</v>
      </c>
      <c r="L5" s="67">
        <v>10</v>
      </c>
      <c r="M5" s="2">
        <v>2100</v>
      </c>
      <c r="N5" s="60">
        <v>1</v>
      </c>
      <c r="O5" s="60">
        <f>N5*20</f>
        <v>20</v>
      </c>
    </row>
    <row r="6" spans="1:15">
      <c r="A6" s="1">
        <v>2</v>
      </c>
      <c r="B6" s="60" t="str">
        <f t="shared" ref="B6:B7" si="0">"2|"&amp;K6&amp;"|"&amp;L6</f>
        <v>2|1604|60</v>
      </c>
      <c r="C6" s="60" t="str">
        <f t="shared" ref="C6:C7" si="1">"2|"&amp;M6&amp;"|1"</f>
        <v>2|2101|1</v>
      </c>
      <c r="D6" s="1">
        <v>1</v>
      </c>
      <c r="H6" s="60" t="s">
        <v>352</v>
      </c>
      <c r="K6" s="60">
        <v>1604</v>
      </c>
      <c r="L6" s="60">
        <v>60</v>
      </c>
      <c r="M6" s="2">
        <v>2101</v>
      </c>
      <c r="N6" s="60">
        <v>3</v>
      </c>
      <c r="O6" s="60">
        <f t="shared" ref="O6:O7" si="2">N6*20</f>
        <v>60</v>
      </c>
    </row>
    <row r="7" spans="1:15">
      <c r="A7" s="1">
        <v>3</v>
      </c>
      <c r="B7" s="60" t="str">
        <f t="shared" si="0"/>
        <v>2|1604|100</v>
      </c>
      <c r="C7" s="60" t="str">
        <f t="shared" si="1"/>
        <v>2|2102|1</v>
      </c>
      <c r="D7" s="1">
        <v>1</v>
      </c>
      <c r="H7" s="60" t="s">
        <v>353</v>
      </c>
      <c r="K7" s="60">
        <v>1604</v>
      </c>
      <c r="L7" s="60">
        <v>100</v>
      </c>
      <c r="M7" s="2">
        <v>2102</v>
      </c>
      <c r="N7" s="60">
        <v>5</v>
      </c>
      <c r="O7" s="60">
        <f t="shared" si="2"/>
        <v>100</v>
      </c>
    </row>
    <row r="8" spans="1:13">
      <c r="A8" s="1"/>
      <c r="D8" s="1"/>
      <c r="M8" s="2"/>
    </row>
    <row r="9" spans="12:12">
      <c r="L9" s="60">
        <f>SUM(L5:L8)</f>
        <v>170</v>
      </c>
    </row>
    <row r="10" ht="16.2" spans="12:12">
      <c r="L10" s="67" t="s">
        <v>354</v>
      </c>
    </row>
  </sheetData>
  <conditionalFormatting sqref="A1">
    <cfRule type="containsText" dxfId="0" priority="16" operator="between" text=" ">
      <formula>NOT(ISERROR(SEARCH(" ",A1)))</formula>
    </cfRule>
  </conditionalFormatting>
  <conditionalFormatting sqref="B1">
    <cfRule type="containsText" dxfId="0" priority="20" operator="between" text=" ">
      <formula>NOT(ISERROR(SEARCH(" ",B1)))</formula>
    </cfRule>
  </conditionalFormatting>
  <conditionalFormatting sqref="C1">
    <cfRule type="containsText" dxfId="0" priority="8" operator="between" text=" ">
      <formula>NOT(ISERROR(SEARCH(" ",C1)))</formula>
    </cfRule>
  </conditionalFormatting>
  <conditionalFormatting sqref="D1">
    <cfRule type="containsText" dxfId="0" priority="4" operator="between" text=" ">
      <formula>NOT(ISERROR(SEARCH(" ",D1)))</formula>
    </cfRule>
  </conditionalFormatting>
  <conditionalFormatting sqref="A2">
    <cfRule type="containsText" dxfId="0" priority="13" operator="between" text=" ">
      <formula>NOT(ISERROR(SEARCH(" ",A2)))</formula>
    </cfRule>
  </conditionalFormatting>
  <conditionalFormatting sqref="B2">
    <cfRule type="containsText" dxfId="0" priority="17" operator="between" text=" ">
      <formula>NOT(ISERROR(SEARCH(" ",B2)))</formula>
    </cfRule>
  </conditionalFormatting>
  <conditionalFormatting sqref="C2">
    <cfRule type="containsText" dxfId="0" priority="5" operator="between" text=" ">
      <formula>NOT(ISERROR(SEARCH(" ",C2)))</formula>
    </cfRule>
  </conditionalFormatting>
  <conditionalFormatting sqref="D2">
    <cfRule type="containsText" dxfId="0" priority="1" operator="between" text=" ">
      <formula>NOT(ISERROR(SEARCH(" ",D2)))</formula>
    </cfRule>
  </conditionalFormatting>
  <conditionalFormatting sqref="A3">
    <cfRule type="containsText" dxfId="0" priority="15" operator="between" text=" ">
      <formula>NOT(ISERROR(SEARCH(" ",A3)))</formula>
    </cfRule>
  </conditionalFormatting>
  <conditionalFormatting sqref="B3">
    <cfRule type="containsText" dxfId="0" priority="19" operator="between" text=" ">
      <formula>NOT(ISERROR(SEARCH(" ",B3)))</formula>
    </cfRule>
  </conditionalFormatting>
  <conditionalFormatting sqref="C3">
    <cfRule type="containsText" dxfId="0" priority="7" operator="between" text=" ">
      <formula>NOT(ISERROR(SEARCH(" ",C3)))</formula>
    </cfRule>
  </conditionalFormatting>
  <conditionalFormatting sqref="D3">
    <cfRule type="containsText" dxfId="0" priority="3" operator="between" text=" ">
      <formula>NOT(ISERROR(SEARCH(" ",D3)))</formula>
    </cfRule>
  </conditionalFormatting>
  <conditionalFormatting sqref="A4">
    <cfRule type="containsText" dxfId="0" priority="14" operator="between" text=" ">
      <formula>NOT(ISERROR(SEARCH(" ",A4)))</formula>
    </cfRule>
  </conditionalFormatting>
  <conditionalFormatting sqref="B4">
    <cfRule type="containsText" dxfId="0" priority="18" operator="between" text=" ">
      <formula>NOT(ISERROR(SEARCH(" ",B4)))</formula>
    </cfRule>
  </conditionalFormatting>
  <conditionalFormatting sqref="C4">
    <cfRule type="containsText" dxfId="0" priority="6" operator="between" text=" ">
      <formula>NOT(ISERROR(SEARCH(" ",C4)))</formula>
    </cfRule>
  </conditionalFormatting>
  <conditionalFormatting sqref="D4">
    <cfRule type="containsText" dxfId="0" priority="2" operator="between" text=" ">
      <formula>NOT(ISERROR(SEARCH(" ",D4)))</formula>
    </cfRule>
  </conditionalFormatting>
  <conditionalFormatting sqref="I5">
    <cfRule type="duplicateValues" dxfId="2" priority="9"/>
    <cfRule type="containsText" dxfId="0" priority="10" operator="between" text=" ">
      <formula>NOT(ISERROR(SEARCH(" ",I5)))</formula>
    </cfRule>
  </conditionalFormatting>
  <conditionalFormatting sqref="M5:M8">
    <cfRule type="duplicateValues" dxfId="2" priority="11"/>
    <cfRule type="containsText" dxfId="0" priority="12" operator="between" text=" ">
      <formula>NOT(ISERROR(SEARCH(" ",M5)))</formula>
    </cfRule>
  </conditionalFormatting>
  <pageMargins left="0.7" right="0.7" top="0.75" bottom="0.75" header="0.3" footer="0.3"/>
  <pageSetup paperSize="9" orientation="portrait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B32"/>
  <sheetViews>
    <sheetView topLeftCell="A4" workbookViewId="0">
      <selection activeCell="D11" sqref="D11"/>
    </sheetView>
  </sheetViews>
  <sheetFormatPr defaultColWidth="8.88888888888889" defaultRowHeight="15.6"/>
  <cols>
    <col min="1" max="1" width="21.4444444444444" style="60" customWidth="1"/>
    <col min="2" max="2" width="22.7777777777778" style="60" customWidth="1"/>
    <col min="3" max="4" width="11.7777777777778" style="60" customWidth="1"/>
    <col min="5" max="5" width="11.1111111111111" style="60" customWidth="1"/>
    <col min="6" max="6" width="15.2222222222222" style="60" customWidth="1"/>
    <col min="7" max="7" width="11.4444444444444" style="60" customWidth="1"/>
    <col min="8" max="8" width="8.88888888888889" style="60"/>
    <col min="9" max="9" width="11.4444444444444" style="60" customWidth="1"/>
    <col min="10" max="10" width="14.1111111111111" style="60" customWidth="1"/>
    <col min="11" max="14" width="8.88888888888889" style="60"/>
    <col min="15" max="16" width="11.4444444444444" style="60" customWidth="1"/>
    <col min="17" max="20" width="8.88888888888889" style="60"/>
    <col min="21" max="23" width="20.1111111111111" style="60" customWidth="1"/>
    <col min="24" max="28" width="27.1111111111111" style="60" customWidth="1"/>
    <col min="29" max="16384" width="8.88888888888889" style="60"/>
  </cols>
  <sheetData>
    <row r="1" ht="15" spans="1:5">
      <c r="A1" s="51" t="s">
        <v>0</v>
      </c>
      <c r="B1" s="51" t="s">
        <v>0</v>
      </c>
      <c r="C1" s="51" t="s">
        <v>1</v>
      </c>
      <c r="D1" s="51" t="s">
        <v>1</v>
      </c>
      <c r="E1" s="51" t="s">
        <v>58</v>
      </c>
    </row>
    <row r="2" ht="15" spans="1:5">
      <c r="A2" s="52" t="s">
        <v>9</v>
      </c>
      <c r="B2" s="52" t="s">
        <v>9</v>
      </c>
      <c r="C2" s="52" t="s">
        <v>10</v>
      </c>
      <c r="D2" s="52" t="s">
        <v>10</v>
      </c>
      <c r="E2" s="52" t="s">
        <v>9</v>
      </c>
    </row>
    <row r="3" ht="15" spans="1:5">
      <c r="A3" s="52" t="s">
        <v>31</v>
      </c>
      <c r="B3" s="52" t="s">
        <v>222</v>
      </c>
      <c r="C3" s="52" t="s">
        <v>99</v>
      </c>
      <c r="D3" s="52" t="s">
        <v>355</v>
      </c>
      <c r="E3" s="52" t="s">
        <v>356</v>
      </c>
    </row>
    <row r="4" ht="133.8" spans="1:14">
      <c r="A4" s="54" t="s">
        <v>357</v>
      </c>
      <c r="B4" s="54" t="s">
        <v>358</v>
      </c>
      <c r="C4" s="53" t="s">
        <v>99</v>
      </c>
      <c r="D4" s="53" t="s">
        <v>359</v>
      </c>
      <c r="E4" s="54" t="s">
        <v>360</v>
      </c>
      <c r="F4" s="60" t="s">
        <v>361</v>
      </c>
      <c r="N4" s="60" t="s">
        <v>362</v>
      </c>
    </row>
    <row r="5" spans="1:14">
      <c r="A5" s="1">
        <v>1</v>
      </c>
      <c r="B5" s="1">
        <v>1</v>
      </c>
      <c r="C5" s="1" t="s">
        <v>363</v>
      </c>
      <c r="D5" s="1" t="s">
        <v>364</v>
      </c>
      <c r="E5" s="1">
        <v>0</v>
      </c>
      <c r="F5" s="1">
        <v>88888</v>
      </c>
      <c r="G5" s="1">
        <v>10888888</v>
      </c>
      <c r="H5" s="60">
        <f>G5/SUM(G:G)</f>
        <v>0.0624362901317697</v>
      </c>
      <c r="I5" s="60">
        <f>F5*H5</f>
        <v>5549.83695723275</v>
      </c>
      <c r="N5" s="60" t="s">
        <v>365</v>
      </c>
    </row>
    <row r="6" spans="1:14">
      <c r="A6" s="1">
        <v>2</v>
      </c>
      <c r="B6" s="1">
        <v>1</v>
      </c>
      <c r="C6" s="60" t="str">
        <f>C5</f>
        <v>ic_fkhd_01</v>
      </c>
      <c r="D6" s="60" t="str">
        <f>D5</f>
        <v>ui_fl_kb_02</v>
      </c>
      <c r="E6" s="1">
        <v>0</v>
      </c>
      <c r="F6" s="1">
        <v>88888</v>
      </c>
      <c r="G6" s="1">
        <v>10888888</v>
      </c>
      <c r="H6" s="60">
        <f t="shared" ref="H6:H22" si="0">G6/SUM(G:G)</f>
        <v>0.0624362901317697</v>
      </c>
      <c r="I6" s="60">
        <f t="shared" ref="I6:I22" si="1">F6*H6</f>
        <v>5549.83695723275</v>
      </c>
      <c r="N6" s="60" t="s">
        <v>366</v>
      </c>
    </row>
    <row r="7" spans="1:14">
      <c r="A7" s="1">
        <v>3</v>
      </c>
      <c r="B7" s="1">
        <v>1</v>
      </c>
      <c r="C7" s="60" t="str">
        <f t="shared" ref="C7:C8" si="2">C6</f>
        <v>ic_fkhd_01</v>
      </c>
      <c r="D7" s="60" t="str">
        <f t="shared" ref="D7:D8" si="3">D6</f>
        <v>ui_fl_kb_02</v>
      </c>
      <c r="E7" s="1">
        <v>0</v>
      </c>
      <c r="F7" s="1">
        <v>88888</v>
      </c>
      <c r="G7" s="1">
        <v>10888888</v>
      </c>
      <c r="H7" s="60">
        <f t="shared" si="0"/>
        <v>0.0624362901317697</v>
      </c>
      <c r="I7" s="60">
        <f t="shared" si="1"/>
        <v>5549.83695723275</v>
      </c>
      <c r="N7" s="60" t="s">
        <v>367</v>
      </c>
    </row>
    <row r="8" spans="1:14">
      <c r="A8" s="1">
        <v>4</v>
      </c>
      <c r="B8" s="1">
        <v>1</v>
      </c>
      <c r="C8" s="60" t="str">
        <f t="shared" si="2"/>
        <v>ic_fkhd_01</v>
      </c>
      <c r="D8" s="60" t="str">
        <f t="shared" si="3"/>
        <v>ui_fl_kb_02</v>
      </c>
      <c r="E8" s="1">
        <v>0</v>
      </c>
      <c r="F8" s="1">
        <v>88888</v>
      </c>
      <c r="G8" s="1">
        <v>10888888</v>
      </c>
      <c r="H8" s="60">
        <f t="shared" si="0"/>
        <v>0.0624362901317697</v>
      </c>
      <c r="I8" s="60">
        <f t="shared" si="1"/>
        <v>5549.83695723275</v>
      </c>
      <c r="N8" s="60" t="s">
        <v>368</v>
      </c>
    </row>
    <row r="9" spans="1:14">
      <c r="A9" s="1">
        <v>5</v>
      </c>
      <c r="B9" s="1">
        <f>B5+1</f>
        <v>2</v>
      </c>
      <c r="C9" s="1" t="s">
        <v>369</v>
      </c>
      <c r="D9" s="1" t="s">
        <v>364</v>
      </c>
      <c r="E9" s="1">
        <v>0</v>
      </c>
      <c r="F9" s="1">
        <v>88888</v>
      </c>
      <c r="G9" s="1">
        <v>10888888</v>
      </c>
      <c r="H9" s="60">
        <f t="shared" si="0"/>
        <v>0.0624362901317697</v>
      </c>
      <c r="I9" s="60">
        <f t="shared" si="1"/>
        <v>5549.83695723275</v>
      </c>
      <c r="N9" s="60" t="s">
        <v>370</v>
      </c>
    </row>
    <row r="10" spans="1:14">
      <c r="A10" s="1">
        <v>6</v>
      </c>
      <c r="B10" s="1">
        <f t="shared" ref="B10:B20" si="4">B6+1</f>
        <v>2</v>
      </c>
      <c r="C10" s="60" t="str">
        <f>C9</f>
        <v>ic_fkhd_02</v>
      </c>
      <c r="D10" s="60" t="str">
        <f>D9</f>
        <v>ui_fl_kb_02</v>
      </c>
      <c r="E10" s="1">
        <v>0</v>
      </c>
      <c r="F10" s="1">
        <v>88888</v>
      </c>
      <c r="G10" s="1">
        <v>10888888</v>
      </c>
      <c r="H10" s="60">
        <f t="shared" si="0"/>
        <v>0.0624362901317697</v>
      </c>
      <c r="I10" s="60">
        <f t="shared" si="1"/>
        <v>5549.83695723275</v>
      </c>
      <c r="N10" s="60" t="s">
        <v>371</v>
      </c>
    </row>
    <row r="11" spans="1:9">
      <c r="A11" s="1">
        <v>7</v>
      </c>
      <c r="B11" s="1">
        <f t="shared" si="4"/>
        <v>2</v>
      </c>
      <c r="C11" s="60" t="str">
        <f t="shared" ref="C11:C12" si="5">C10</f>
        <v>ic_fkhd_02</v>
      </c>
      <c r="D11" s="60" t="str">
        <f t="shared" ref="D11:D12" si="6">D10</f>
        <v>ui_fl_kb_02</v>
      </c>
      <c r="E11" s="1">
        <v>0</v>
      </c>
      <c r="F11" s="1">
        <v>88888</v>
      </c>
      <c r="G11" s="1">
        <v>10888888</v>
      </c>
      <c r="H11" s="60">
        <f t="shared" si="0"/>
        <v>0.0624362901317697</v>
      </c>
      <c r="I11" s="60">
        <f t="shared" si="1"/>
        <v>5549.83695723275</v>
      </c>
    </row>
    <row r="12" spans="1:9">
      <c r="A12" s="1">
        <v>8</v>
      </c>
      <c r="B12" s="1">
        <f t="shared" si="4"/>
        <v>2</v>
      </c>
      <c r="C12" s="60" t="str">
        <f t="shared" si="5"/>
        <v>ic_fkhd_02</v>
      </c>
      <c r="D12" s="60" t="str">
        <f t="shared" si="6"/>
        <v>ui_fl_kb_02</v>
      </c>
      <c r="E12" s="1">
        <v>0</v>
      </c>
      <c r="F12" s="1">
        <v>88888</v>
      </c>
      <c r="G12" s="1">
        <v>10888888</v>
      </c>
      <c r="H12" s="60">
        <f t="shared" si="0"/>
        <v>0.0624362901317697</v>
      </c>
      <c r="I12" s="60">
        <f t="shared" si="1"/>
        <v>5549.83695723275</v>
      </c>
    </row>
    <row r="13" spans="1:9">
      <c r="A13" s="1">
        <v>9</v>
      </c>
      <c r="B13" s="1">
        <f t="shared" si="4"/>
        <v>3</v>
      </c>
      <c r="C13" s="1" t="s">
        <v>372</v>
      </c>
      <c r="D13" s="1" t="s">
        <v>364</v>
      </c>
      <c r="E13" s="1">
        <v>0</v>
      </c>
      <c r="F13" s="1">
        <v>88888</v>
      </c>
      <c r="G13" s="1">
        <v>10888888</v>
      </c>
      <c r="H13" s="60">
        <f t="shared" si="0"/>
        <v>0.0624362901317697</v>
      </c>
      <c r="I13" s="60">
        <f t="shared" si="1"/>
        <v>5549.83695723275</v>
      </c>
    </row>
    <row r="14" spans="1:9">
      <c r="A14" s="1">
        <v>10</v>
      </c>
      <c r="B14" s="1">
        <f t="shared" si="4"/>
        <v>3</v>
      </c>
      <c r="C14" s="60" t="str">
        <f>C13</f>
        <v>ic_fkhd_03</v>
      </c>
      <c r="D14" s="60" t="str">
        <f>D13</f>
        <v>ui_fl_kb_02</v>
      </c>
      <c r="E14" s="1">
        <v>0</v>
      </c>
      <c r="F14" s="1">
        <v>88888</v>
      </c>
      <c r="G14" s="1">
        <v>10888888</v>
      </c>
      <c r="H14" s="60">
        <f t="shared" si="0"/>
        <v>0.0624362901317697</v>
      </c>
      <c r="I14" s="60">
        <f t="shared" si="1"/>
        <v>5549.83695723275</v>
      </c>
    </row>
    <row r="15" spans="1:9">
      <c r="A15" s="1">
        <v>11</v>
      </c>
      <c r="B15" s="1">
        <f t="shared" si="4"/>
        <v>3</v>
      </c>
      <c r="C15" s="60" t="str">
        <f t="shared" ref="C15:C16" si="7">C14</f>
        <v>ic_fkhd_03</v>
      </c>
      <c r="D15" s="60" t="str">
        <f t="shared" ref="D15:D16" si="8">D14</f>
        <v>ui_fl_kb_02</v>
      </c>
      <c r="E15" s="1">
        <v>0</v>
      </c>
      <c r="F15" s="1">
        <v>88888</v>
      </c>
      <c r="G15" s="1">
        <v>10888888</v>
      </c>
      <c r="H15" s="60">
        <f t="shared" si="0"/>
        <v>0.0624362901317697</v>
      </c>
      <c r="I15" s="60">
        <f t="shared" si="1"/>
        <v>5549.83695723275</v>
      </c>
    </row>
    <row r="16" spans="1:9">
      <c r="A16" s="1">
        <v>12</v>
      </c>
      <c r="B16" s="1">
        <f t="shared" si="4"/>
        <v>3</v>
      </c>
      <c r="C16" s="60" t="str">
        <f t="shared" si="7"/>
        <v>ic_fkhd_03</v>
      </c>
      <c r="D16" s="60" t="str">
        <f t="shared" si="8"/>
        <v>ui_fl_kb_02</v>
      </c>
      <c r="E16" s="1">
        <v>0</v>
      </c>
      <c r="F16" s="1">
        <v>88888</v>
      </c>
      <c r="G16" s="1">
        <v>10888888</v>
      </c>
      <c r="H16" s="60">
        <f t="shared" si="0"/>
        <v>0.0624362901317697</v>
      </c>
      <c r="I16" s="60">
        <f t="shared" si="1"/>
        <v>5549.83695723275</v>
      </c>
    </row>
    <row r="17" spans="1:9">
      <c r="A17" s="1">
        <v>13</v>
      </c>
      <c r="B17" s="1">
        <f t="shared" si="4"/>
        <v>4</v>
      </c>
      <c r="C17" s="1" t="s">
        <v>373</v>
      </c>
      <c r="D17" s="1" t="s">
        <v>364</v>
      </c>
      <c r="E17" s="1">
        <v>0</v>
      </c>
      <c r="F17" s="1">
        <v>88888</v>
      </c>
      <c r="G17" s="1">
        <v>10888888</v>
      </c>
      <c r="H17" s="60">
        <f t="shared" si="0"/>
        <v>0.0624362901317697</v>
      </c>
      <c r="I17" s="60">
        <f t="shared" si="1"/>
        <v>5549.83695723275</v>
      </c>
    </row>
    <row r="18" spans="1:9">
      <c r="A18" s="1">
        <v>14</v>
      </c>
      <c r="B18" s="1">
        <f t="shared" si="4"/>
        <v>4</v>
      </c>
      <c r="C18" s="60" t="str">
        <f>C17</f>
        <v>ic_fkhd_04</v>
      </c>
      <c r="D18" s="60" t="str">
        <f>D17</f>
        <v>ui_fl_kb_02</v>
      </c>
      <c r="E18" s="1">
        <v>0</v>
      </c>
      <c r="F18" s="1">
        <v>88888</v>
      </c>
      <c r="G18" s="1">
        <v>10888888</v>
      </c>
      <c r="H18" s="60">
        <f t="shared" si="0"/>
        <v>0.0624362901317697</v>
      </c>
      <c r="I18" s="60">
        <f t="shared" si="1"/>
        <v>5549.83695723275</v>
      </c>
    </row>
    <row r="19" spans="1:28">
      <c r="A19" s="1">
        <v>15</v>
      </c>
      <c r="B19" s="1">
        <f t="shared" si="4"/>
        <v>4</v>
      </c>
      <c r="C19" s="60" t="str">
        <f t="shared" ref="C19:C20" si="9">C18</f>
        <v>ic_fkhd_04</v>
      </c>
      <c r="D19" s="60" t="str">
        <f t="shared" ref="D19:D20" si="10">D18</f>
        <v>ui_fl_kb_02</v>
      </c>
      <c r="E19" s="1">
        <v>0</v>
      </c>
      <c r="F19" s="1">
        <v>88888</v>
      </c>
      <c r="G19" s="1">
        <v>10888888</v>
      </c>
      <c r="H19" s="60">
        <f t="shared" si="0"/>
        <v>0.0624362901317697</v>
      </c>
      <c r="I19" s="60">
        <f t="shared" si="1"/>
        <v>5549.83695723275</v>
      </c>
      <c r="N19" s="60" t="s">
        <v>374</v>
      </c>
      <c r="O19" s="60" t="s">
        <v>213</v>
      </c>
      <c r="P19" s="61" t="s">
        <v>375</v>
      </c>
      <c r="R19" s="60" t="s">
        <v>376</v>
      </c>
      <c r="S19" s="62" t="s">
        <v>377</v>
      </c>
      <c r="T19" s="62" t="s">
        <v>378</v>
      </c>
      <c r="U19" s="60" t="s">
        <v>379</v>
      </c>
      <c r="V19" s="60" t="s">
        <v>380</v>
      </c>
      <c r="W19" s="60" t="s">
        <v>381</v>
      </c>
      <c r="X19" s="60" t="s">
        <v>382</v>
      </c>
      <c r="Y19" s="60" t="s">
        <v>383</v>
      </c>
      <c r="Z19" s="60" t="s">
        <v>384</v>
      </c>
      <c r="AA19" s="60" t="s">
        <v>385</v>
      </c>
      <c r="AB19" s="60" t="s">
        <v>386</v>
      </c>
    </row>
    <row r="20" spans="1:27">
      <c r="A20" s="1">
        <v>16</v>
      </c>
      <c r="B20" s="1">
        <f t="shared" si="4"/>
        <v>4</v>
      </c>
      <c r="C20" s="60" t="str">
        <f t="shared" si="9"/>
        <v>ic_fkhd_04</v>
      </c>
      <c r="D20" s="60" t="str">
        <f t="shared" si="10"/>
        <v>ui_fl_kb_02</v>
      </c>
      <c r="E20" s="1">
        <v>0</v>
      </c>
      <c r="F20" s="1">
        <v>88888</v>
      </c>
      <c r="G20" s="1">
        <v>10888888</v>
      </c>
      <c r="H20" s="60">
        <f t="shared" si="0"/>
        <v>0.0624362901317697</v>
      </c>
      <c r="I20" s="60">
        <f t="shared" si="1"/>
        <v>5549.83695723275</v>
      </c>
      <c r="N20" s="60" t="s">
        <v>365</v>
      </c>
      <c r="O20" s="1">
        <v>88888</v>
      </c>
      <c r="P20" s="1"/>
      <c r="R20" s="1">
        <v>1</v>
      </c>
      <c r="S20" s="63">
        <v>0.1</v>
      </c>
      <c r="T20" s="63">
        <f>1-S20</f>
        <v>0.9</v>
      </c>
      <c r="U20" s="64" t="s">
        <v>387</v>
      </c>
      <c r="V20" s="64"/>
      <c r="W20" s="62"/>
      <c r="X20" s="62"/>
      <c r="Y20" s="62"/>
      <c r="Z20" s="62"/>
      <c r="AA20" s="62"/>
    </row>
    <row r="21" spans="1:27">
      <c r="A21" s="1">
        <v>17</v>
      </c>
      <c r="B21" s="1">
        <v>5</v>
      </c>
      <c r="C21" s="1" t="s">
        <v>388</v>
      </c>
      <c r="D21" s="1" t="s">
        <v>389</v>
      </c>
      <c r="E21" s="1">
        <v>1</v>
      </c>
      <c r="F21" s="1">
        <v>10888888</v>
      </c>
      <c r="G21" s="1">
        <v>88888</v>
      </c>
      <c r="H21" s="60">
        <f t="shared" si="0"/>
        <v>0.000509678945842105</v>
      </c>
      <c r="I21" s="60">
        <f t="shared" si="1"/>
        <v>5549.83695723275</v>
      </c>
      <c r="N21" s="60" t="s">
        <v>366</v>
      </c>
      <c r="O21" s="1">
        <v>88888</v>
      </c>
      <c r="P21" s="1"/>
      <c r="R21" s="1">
        <v>2</v>
      </c>
      <c r="S21" s="63">
        <v>0.1</v>
      </c>
      <c r="T21" s="63">
        <f t="shared" ref="T21:T32" si="11">1-S21</f>
        <v>0.9</v>
      </c>
      <c r="U21" s="64" t="s">
        <v>390</v>
      </c>
      <c r="V21" s="64" t="s">
        <v>391</v>
      </c>
      <c r="X21" s="62"/>
      <c r="Y21" s="62"/>
      <c r="Z21" s="62"/>
      <c r="AA21" s="62"/>
    </row>
    <row r="22" spans="1:27">
      <c r="A22" s="1">
        <v>18</v>
      </c>
      <c r="B22" s="1">
        <v>6</v>
      </c>
      <c r="C22" s="1" t="s">
        <v>388</v>
      </c>
      <c r="D22" s="1" t="s">
        <v>392</v>
      </c>
      <c r="E22" s="1">
        <v>1</v>
      </c>
      <c r="F22" s="1">
        <v>10888888</v>
      </c>
      <c r="G22" s="1">
        <v>88888</v>
      </c>
      <c r="H22" s="60">
        <f t="shared" si="0"/>
        <v>0.000509678945842105</v>
      </c>
      <c r="I22" s="60">
        <f t="shared" si="1"/>
        <v>5549.83695723275</v>
      </c>
      <c r="N22" s="60" t="s">
        <v>367</v>
      </c>
      <c r="O22" s="1">
        <v>88888</v>
      </c>
      <c r="P22" s="1"/>
      <c r="R22" s="1">
        <v>3</v>
      </c>
      <c r="S22" s="63">
        <v>0.1</v>
      </c>
      <c r="T22" s="63">
        <f t="shared" si="11"/>
        <v>0.9</v>
      </c>
      <c r="U22" s="64" t="s">
        <v>393</v>
      </c>
      <c r="V22" s="64" t="s">
        <v>394</v>
      </c>
      <c r="W22" s="64" t="s">
        <v>395</v>
      </c>
      <c r="X22" s="62"/>
      <c r="AA22" s="62"/>
    </row>
    <row r="23" spans="9:26">
      <c r="I23" s="60">
        <f>SUM(I5:I22)</f>
        <v>99897.0652301895</v>
      </c>
      <c r="N23" s="60" t="s">
        <v>368</v>
      </c>
      <c r="O23" s="1">
        <v>88888</v>
      </c>
      <c r="P23" s="1"/>
      <c r="R23" s="1">
        <v>4</v>
      </c>
      <c r="S23" s="63">
        <v>0.1</v>
      </c>
      <c r="T23" s="63">
        <f t="shared" si="11"/>
        <v>0.9</v>
      </c>
      <c r="U23" s="64" t="s">
        <v>396</v>
      </c>
      <c r="V23" s="64" t="s">
        <v>397</v>
      </c>
      <c r="W23" s="64" t="s">
        <v>398</v>
      </c>
      <c r="X23" s="64" t="s">
        <v>399</v>
      </c>
      <c r="Y23" s="64" t="s">
        <v>400</v>
      </c>
      <c r="Z23" s="62"/>
    </row>
    <row r="24" spans="14:27">
      <c r="N24" s="60" t="s">
        <v>401</v>
      </c>
      <c r="O24" s="1">
        <v>10888888</v>
      </c>
      <c r="P24" s="1"/>
      <c r="R24" s="1">
        <v>5</v>
      </c>
      <c r="S24" s="63">
        <v>0.1</v>
      </c>
      <c r="T24" s="63">
        <f t="shared" si="11"/>
        <v>0.9</v>
      </c>
      <c r="U24" s="64" t="s">
        <v>402</v>
      </c>
      <c r="V24" s="64" t="s">
        <v>403</v>
      </c>
      <c r="W24" s="64" t="s">
        <v>404</v>
      </c>
      <c r="X24" s="64" t="s">
        <v>405</v>
      </c>
      <c r="Y24" s="64"/>
      <c r="Z24" s="62"/>
      <c r="AA24" s="62"/>
    </row>
    <row r="25" spans="18:27">
      <c r="R25" s="1">
        <v>6</v>
      </c>
      <c r="S25" s="63">
        <v>0.1</v>
      </c>
      <c r="T25" s="63">
        <f t="shared" si="11"/>
        <v>0.9</v>
      </c>
      <c r="U25" s="64" t="s">
        <v>406</v>
      </c>
      <c r="V25" s="64" t="s">
        <v>407</v>
      </c>
      <c r="W25" s="64" t="s">
        <v>408</v>
      </c>
      <c r="X25" s="64" t="s">
        <v>409</v>
      </c>
      <c r="Y25" s="64" t="s">
        <v>410</v>
      </c>
      <c r="Z25" s="62" t="s">
        <v>411</v>
      </c>
      <c r="AA25" s="62"/>
    </row>
    <row r="26" spans="18:27">
      <c r="R26" s="1">
        <v>7</v>
      </c>
      <c r="S26" s="63">
        <v>0.1</v>
      </c>
      <c r="T26" s="63">
        <f t="shared" si="11"/>
        <v>0.9</v>
      </c>
      <c r="U26" s="64" t="s">
        <v>412</v>
      </c>
      <c r="V26" s="64" t="s">
        <v>413</v>
      </c>
      <c r="W26" s="64" t="s">
        <v>414</v>
      </c>
      <c r="X26" s="64" t="s">
        <v>415</v>
      </c>
      <c r="Y26" s="64" t="s">
        <v>416</v>
      </c>
      <c r="Z26" s="62"/>
      <c r="AA26" s="62"/>
    </row>
    <row r="27" spans="18:27">
      <c r="R27" s="1">
        <v>8</v>
      </c>
      <c r="S27" s="63">
        <v>0.1</v>
      </c>
      <c r="T27" s="63">
        <f t="shared" si="11"/>
        <v>0.9</v>
      </c>
      <c r="U27" s="64" t="s">
        <v>417</v>
      </c>
      <c r="V27" s="64" t="s">
        <v>418</v>
      </c>
      <c r="W27" s="64" t="s">
        <v>419</v>
      </c>
      <c r="X27" s="64" t="s">
        <v>420</v>
      </c>
      <c r="Y27" s="64" t="s">
        <v>421</v>
      </c>
      <c r="Z27" s="64" t="s">
        <v>422</v>
      </c>
      <c r="AA27" s="62"/>
    </row>
    <row r="28" spans="14:27">
      <c r="N28" s="60" t="s">
        <v>423</v>
      </c>
      <c r="R28" s="1">
        <v>9</v>
      </c>
      <c r="S28" s="63">
        <v>0.1</v>
      </c>
      <c r="T28" s="63">
        <f t="shared" si="11"/>
        <v>0.9</v>
      </c>
      <c r="U28" s="64" t="s">
        <v>424</v>
      </c>
      <c r="V28" s="64" t="s">
        <v>425</v>
      </c>
      <c r="W28" s="64" t="s">
        <v>426</v>
      </c>
      <c r="X28" s="64" t="s">
        <v>427</v>
      </c>
      <c r="Y28" s="64" t="s">
        <v>428</v>
      </c>
      <c r="Z28" s="64" t="s">
        <v>429</v>
      </c>
      <c r="AA28" s="64"/>
    </row>
    <row r="29" spans="18:28">
      <c r="R29" s="1">
        <v>10</v>
      </c>
      <c r="S29" s="63">
        <v>0.1</v>
      </c>
      <c r="T29" s="63">
        <f t="shared" si="11"/>
        <v>0.9</v>
      </c>
      <c r="U29" s="64" t="s">
        <v>430</v>
      </c>
      <c r="V29" s="64" t="s">
        <v>431</v>
      </c>
      <c r="W29" s="64" t="s">
        <v>432</v>
      </c>
      <c r="X29" s="64" t="s">
        <v>433</v>
      </c>
      <c r="Y29" s="64" t="s">
        <v>434</v>
      </c>
      <c r="Z29" s="65" t="s">
        <v>427</v>
      </c>
      <c r="AA29" s="65" t="s">
        <v>428</v>
      </c>
      <c r="AB29" s="65" t="s">
        <v>429</v>
      </c>
    </row>
    <row r="30" spans="18:27">
      <c r="R30" s="1">
        <v>11</v>
      </c>
      <c r="S30" s="63">
        <v>0.1</v>
      </c>
      <c r="T30" s="63">
        <f t="shared" si="11"/>
        <v>0.9</v>
      </c>
      <c r="U30" s="62"/>
      <c r="V30" s="62"/>
      <c r="W30" s="62"/>
      <c r="X30" s="62"/>
      <c r="Y30" s="62"/>
      <c r="Z30" s="62"/>
      <c r="AA30" s="62"/>
    </row>
    <row r="31" spans="18:27">
      <c r="R31" s="1">
        <v>12</v>
      </c>
      <c r="S31" s="63">
        <v>0.1</v>
      </c>
      <c r="T31" s="63">
        <f t="shared" si="11"/>
        <v>0.9</v>
      </c>
      <c r="U31" s="62"/>
      <c r="V31" s="62"/>
      <c r="W31" s="62"/>
      <c r="X31" s="62"/>
      <c r="Y31" s="62"/>
      <c r="Z31" s="62"/>
      <c r="AA31" s="62"/>
    </row>
    <row r="32" spans="18:27">
      <c r="R32" s="1">
        <v>13</v>
      </c>
      <c r="S32" s="63">
        <v>0.1</v>
      </c>
      <c r="T32" s="63">
        <f t="shared" si="11"/>
        <v>0.9</v>
      </c>
      <c r="U32" s="62"/>
      <c r="V32" s="62"/>
      <c r="W32" s="62"/>
      <c r="X32" s="62"/>
      <c r="Y32" s="62"/>
      <c r="Z32" s="62"/>
      <c r="AA32" s="62"/>
    </row>
  </sheetData>
  <conditionalFormatting sqref="A1:B1">
    <cfRule type="containsText" dxfId="0" priority="6" operator="between" text=" ">
      <formula>NOT(ISERROR(SEARCH(" ",A1)))</formula>
    </cfRule>
  </conditionalFormatting>
  <conditionalFormatting sqref="A2:B2">
    <cfRule type="containsText" dxfId="0" priority="3" operator="between" text=" ">
      <formula>NOT(ISERROR(SEARCH(" ",A2)))</formula>
    </cfRule>
  </conditionalFormatting>
  <conditionalFormatting sqref="A3:B3">
    <cfRule type="containsText" dxfId="0" priority="5" operator="between" text=" ">
      <formula>NOT(ISERROR(SEARCH(" ",A3)))</formula>
    </cfRule>
  </conditionalFormatting>
  <conditionalFormatting sqref="A4:B4">
    <cfRule type="containsText" dxfId="0" priority="4" operator="between" text=" ">
      <formula>NOT(ISERROR(SEARCH(" ",A4)))</formula>
    </cfRule>
  </conditionalFormatting>
  <conditionalFormatting sqref="E1:E4">
    <cfRule type="containsText" dxfId="0" priority="1" operator="between" text=" ">
      <formula>NOT(ISERROR(SEARCH(" ",E1)))</formula>
    </cfRule>
  </conditionalFormatting>
  <conditionalFormatting sqref="C1:D4">
    <cfRule type="containsText" dxfId="0" priority="2" operator="between" text=" ">
      <formula>NOT(ISERROR(SEARCH(" ",C1)))</formula>
    </cfRule>
  </conditionalFormatting>
  <pageMargins left="0.7" right="0.7" top="0.75" bottom="0.75" header="0.3" footer="0.3"/>
  <pageSetup paperSize="9" orientation="portrait"/>
  <headerFooter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D35"/>
  <sheetViews>
    <sheetView workbookViewId="0">
      <selection activeCell="B11" sqref="B11"/>
    </sheetView>
  </sheetViews>
  <sheetFormatPr defaultColWidth="8.88888888888889" defaultRowHeight="15.6"/>
  <cols>
    <col min="1" max="1" width="8.88888888888889" style="1"/>
    <col min="2" max="2" width="11.4444444444444" style="1" customWidth="1"/>
    <col min="3" max="12" width="8.88888888888889" style="1"/>
    <col min="13" max="13" width="12.7777777777778" style="1" customWidth="1"/>
    <col min="14" max="14" width="15.4444444444444" style="1" customWidth="1"/>
    <col min="15" max="15" width="11.4444444444444" style="1" customWidth="1"/>
    <col min="16" max="16" width="8.88888888888889" style="1"/>
    <col min="17" max="17" width="15.2222222222222" style="1" customWidth="1"/>
    <col min="18" max="20" width="8.88888888888889" style="1"/>
    <col min="21" max="21" width="11.4444444444444" style="1" customWidth="1"/>
    <col min="22" max="22" width="8.88888888888889" style="1"/>
    <col min="23" max="23" width="14.2222222222222" style="1" customWidth="1"/>
    <col min="24" max="25" width="8.88888888888889" style="1"/>
    <col min="26" max="27" width="10.1111111111111" style="1" customWidth="1"/>
    <col min="28" max="28" width="11.4444444444444" style="1" customWidth="1"/>
    <col min="29" max="29" width="8.88888888888889" style="1"/>
    <col min="30" max="30" width="10.1111111111111" style="1" customWidth="1"/>
    <col min="31" max="16384" width="8.88888888888889" style="1"/>
  </cols>
  <sheetData>
    <row r="1" ht="15" spans="1:2">
      <c r="A1" s="51" t="s">
        <v>58</v>
      </c>
      <c r="B1" s="51" t="s">
        <v>58</v>
      </c>
    </row>
    <row r="2" ht="15" spans="1:2">
      <c r="A2" s="52" t="s">
        <v>9</v>
      </c>
      <c r="B2" s="52" t="s">
        <v>9</v>
      </c>
    </row>
    <row r="3" spans="1:17">
      <c r="A3" s="52" t="s">
        <v>31</v>
      </c>
      <c r="B3" s="52" t="s">
        <v>435</v>
      </c>
      <c r="N3" s="1" t="s">
        <v>436</v>
      </c>
      <c r="Q3" s="1" t="s">
        <v>437</v>
      </c>
    </row>
    <row r="4" spans="1:18">
      <c r="A4" s="54" t="s">
        <v>376</v>
      </c>
      <c r="B4" s="53" t="s">
        <v>438</v>
      </c>
      <c r="I4" s="1" t="s">
        <v>439</v>
      </c>
      <c r="J4" s="1" t="s">
        <v>440</v>
      </c>
      <c r="L4" s="9" t="s">
        <v>441</v>
      </c>
      <c r="N4" s="57" t="s">
        <v>442</v>
      </c>
      <c r="O4" s="57" t="s">
        <v>443</v>
      </c>
      <c r="Q4" s="9" t="s">
        <v>442</v>
      </c>
      <c r="R4" s="57" t="s">
        <v>443</v>
      </c>
    </row>
    <row r="5" spans="1:19">
      <c r="A5" s="1">
        <v>1</v>
      </c>
      <c r="B5" s="1">
        <f>M5</f>
        <v>120000</v>
      </c>
      <c r="I5" s="1">
        <v>6</v>
      </c>
      <c r="J5" s="1">
        <v>1</v>
      </c>
      <c r="K5" s="1">
        <f>I5</f>
        <v>6</v>
      </c>
      <c r="L5" s="58">
        <v>0.2</v>
      </c>
      <c r="M5" s="1">
        <f>K5*100000*L5</f>
        <v>120000</v>
      </c>
      <c r="N5">
        <v>123340</v>
      </c>
      <c r="O5" s="21">
        <v>319</v>
      </c>
      <c r="P5" s="59">
        <f>O5/200000</f>
        <v>0.001595</v>
      </c>
      <c r="Q5" s="21">
        <v>119668</v>
      </c>
      <c r="R5" s="21">
        <v>285</v>
      </c>
      <c r="S5" s="59">
        <f>R5/200000</f>
        <v>0.001425</v>
      </c>
    </row>
    <row r="6" spans="1:19">
      <c r="A6" s="1">
        <v>2</v>
      </c>
      <c r="B6" s="1">
        <f t="shared" ref="B6:B17" si="0">M6</f>
        <v>880000</v>
      </c>
      <c r="I6" s="1">
        <v>50</v>
      </c>
      <c r="J6" s="1">
        <v>1</v>
      </c>
      <c r="K6" s="1">
        <f>I6-I5</f>
        <v>44</v>
      </c>
      <c r="L6" s="58">
        <v>0.2</v>
      </c>
      <c r="M6" s="1">
        <f t="shared" ref="M6:M17" si="1">K6*100000*L6</f>
        <v>880000</v>
      </c>
      <c r="N6" s="21">
        <v>884296.6209</v>
      </c>
      <c r="O6" s="21">
        <v>2862</v>
      </c>
      <c r="P6" s="59">
        <f t="shared" ref="P6:P17" si="2">O6/200000</f>
        <v>0.01431</v>
      </c>
      <c r="Q6" s="21">
        <v>5822086.917</v>
      </c>
      <c r="R6" s="21">
        <v>50807</v>
      </c>
      <c r="S6" s="59">
        <f t="shared" ref="S6:S17" si="3">R6/200000</f>
        <v>0.254035</v>
      </c>
    </row>
    <row r="7" spans="1:19">
      <c r="A7" s="1">
        <v>3</v>
      </c>
      <c r="B7" s="1">
        <f t="shared" si="0"/>
        <v>1000000</v>
      </c>
      <c r="I7" s="1">
        <v>100</v>
      </c>
      <c r="J7" s="1">
        <v>1</v>
      </c>
      <c r="K7" s="1">
        <f t="shared" ref="K7:K17" si="4">I7-I6</f>
        <v>50</v>
      </c>
      <c r="L7" s="58">
        <v>0.2</v>
      </c>
      <c r="M7" s="1">
        <f t="shared" si="1"/>
        <v>1000000</v>
      </c>
      <c r="N7" s="21">
        <v>1009964.5482</v>
      </c>
      <c r="O7" s="21">
        <v>4368</v>
      </c>
      <c r="P7" s="59">
        <f t="shared" si="2"/>
        <v>0.02184</v>
      </c>
      <c r="Q7" s="21">
        <v>5846589.831</v>
      </c>
      <c r="R7" s="21">
        <v>49487</v>
      </c>
      <c r="S7" s="59">
        <f t="shared" si="3"/>
        <v>0.247435</v>
      </c>
    </row>
    <row r="8" spans="1:19">
      <c r="A8" s="1">
        <v>4</v>
      </c>
      <c r="B8" s="1">
        <f t="shared" si="0"/>
        <v>4000000</v>
      </c>
      <c r="I8" s="1">
        <v>300</v>
      </c>
      <c r="J8" s="1">
        <v>1</v>
      </c>
      <c r="K8" s="1">
        <f t="shared" si="4"/>
        <v>200</v>
      </c>
      <c r="L8" s="58">
        <v>0.2</v>
      </c>
      <c r="M8" s="1">
        <f t="shared" si="1"/>
        <v>4000000</v>
      </c>
      <c r="N8" s="21">
        <v>3980996.7869</v>
      </c>
      <c r="O8" s="21">
        <v>19580</v>
      </c>
      <c r="P8" s="59">
        <f t="shared" si="2"/>
        <v>0.0979</v>
      </c>
      <c r="Q8" s="21">
        <v>3947447.859</v>
      </c>
      <c r="R8" s="21">
        <v>3895</v>
      </c>
      <c r="S8" s="59">
        <f t="shared" si="3"/>
        <v>0.019475</v>
      </c>
    </row>
    <row r="9" spans="1:19">
      <c r="A9" s="1">
        <v>5</v>
      </c>
      <c r="B9" s="1">
        <f t="shared" si="0"/>
        <v>4200000</v>
      </c>
      <c r="I9" s="7">
        <v>450</v>
      </c>
      <c r="J9" s="1">
        <v>1</v>
      </c>
      <c r="K9" s="1">
        <f t="shared" si="4"/>
        <v>150</v>
      </c>
      <c r="L9" s="58">
        <v>0.28</v>
      </c>
      <c r="M9" s="1">
        <f t="shared" si="1"/>
        <v>4200000</v>
      </c>
      <c r="N9" s="21">
        <v>4185595.885</v>
      </c>
      <c r="O9" s="21">
        <v>14465</v>
      </c>
      <c r="P9" s="59">
        <f t="shared" si="2"/>
        <v>0.072325</v>
      </c>
      <c r="Q9" s="21">
        <v>4076967.767</v>
      </c>
      <c r="R9" s="21">
        <v>2996</v>
      </c>
      <c r="S9" s="59">
        <f t="shared" si="3"/>
        <v>0.01498</v>
      </c>
    </row>
    <row r="10" spans="1:19">
      <c r="A10" s="1">
        <v>6</v>
      </c>
      <c r="B10" s="1">
        <f t="shared" si="0"/>
        <v>4200000</v>
      </c>
      <c r="I10" s="1">
        <v>600</v>
      </c>
      <c r="J10" s="1">
        <v>1</v>
      </c>
      <c r="K10" s="1">
        <f t="shared" si="4"/>
        <v>150</v>
      </c>
      <c r="L10" s="58">
        <v>0.28</v>
      </c>
      <c r="M10" s="1">
        <f t="shared" si="1"/>
        <v>4200000</v>
      </c>
      <c r="N10" s="21">
        <v>4218301.7062</v>
      </c>
      <c r="O10" s="21">
        <v>10846</v>
      </c>
      <c r="P10" s="59">
        <f t="shared" si="2"/>
        <v>0.05423</v>
      </c>
      <c r="Q10" s="21">
        <v>4096693.662</v>
      </c>
      <c r="R10" s="21">
        <v>2079</v>
      </c>
      <c r="S10" s="59">
        <f t="shared" si="3"/>
        <v>0.010395</v>
      </c>
    </row>
    <row r="11" spans="1:19">
      <c r="A11" s="1">
        <v>7</v>
      </c>
      <c r="B11" s="1">
        <f t="shared" si="0"/>
        <v>5600000</v>
      </c>
      <c r="I11" s="7">
        <v>800</v>
      </c>
      <c r="J11" s="1">
        <v>1</v>
      </c>
      <c r="K11" s="1">
        <f t="shared" si="4"/>
        <v>200</v>
      </c>
      <c r="L11" s="58">
        <v>0.28</v>
      </c>
      <c r="M11" s="1">
        <f t="shared" si="1"/>
        <v>5600000</v>
      </c>
      <c r="N11" s="21">
        <v>5591214.3935</v>
      </c>
      <c r="O11" s="21">
        <v>10967</v>
      </c>
      <c r="P11" s="59">
        <f t="shared" si="2"/>
        <v>0.054835</v>
      </c>
      <c r="Q11" s="21">
        <v>5547460.1922</v>
      </c>
      <c r="R11" s="21">
        <v>2410</v>
      </c>
      <c r="S11" s="59">
        <f t="shared" si="3"/>
        <v>0.01205</v>
      </c>
    </row>
    <row r="12" spans="1:19">
      <c r="A12" s="1">
        <v>8</v>
      </c>
      <c r="B12" s="1">
        <f t="shared" si="0"/>
        <v>5600000</v>
      </c>
      <c r="I12" s="1">
        <v>1000</v>
      </c>
      <c r="J12" s="1">
        <v>1</v>
      </c>
      <c r="K12" s="1">
        <f t="shared" si="4"/>
        <v>200</v>
      </c>
      <c r="L12" s="58">
        <v>0.28</v>
      </c>
      <c r="M12" s="1">
        <f t="shared" si="1"/>
        <v>5600000</v>
      </c>
      <c r="N12" s="21">
        <v>5623829.3621</v>
      </c>
      <c r="O12" s="21">
        <v>8455</v>
      </c>
      <c r="P12" s="59">
        <f t="shared" si="2"/>
        <v>0.042275</v>
      </c>
      <c r="Q12" s="21">
        <v>5561374.5449</v>
      </c>
      <c r="R12" s="21">
        <v>2191</v>
      </c>
      <c r="S12" s="59">
        <f t="shared" si="3"/>
        <v>0.010955</v>
      </c>
    </row>
    <row r="13" spans="1:19">
      <c r="A13" s="1">
        <v>9</v>
      </c>
      <c r="B13" s="1">
        <f t="shared" si="0"/>
        <v>7000000</v>
      </c>
      <c r="I13" s="7">
        <v>1250</v>
      </c>
      <c r="J13" s="1">
        <v>1</v>
      </c>
      <c r="K13" s="1">
        <f t="shared" si="4"/>
        <v>250</v>
      </c>
      <c r="L13" s="58">
        <v>0.28</v>
      </c>
      <c r="M13" s="1">
        <f t="shared" si="1"/>
        <v>7000000</v>
      </c>
      <c r="N13" s="21">
        <v>6967303.4543</v>
      </c>
      <c r="O13" s="21">
        <v>7904</v>
      </c>
      <c r="P13" s="59">
        <f t="shared" si="2"/>
        <v>0.03952</v>
      </c>
      <c r="Q13" s="21">
        <v>6867372.3111</v>
      </c>
      <c r="R13" s="21">
        <v>2174</v>
      </c>
      <c r="S13" s="59">
        <f t="shared" si="3"/>
        <v>0.01087</v>
      </c>
    </row>
    <row r="14" spans="1:30">
      <c r="A14" s="1">
        <v>10</v>
      </c>
      <c r="B14" s="1">
        <f t="shared" si="0"/>
        <v>7000000</v>
      </c>
      <c r="I14" s="1">
        <v>1500</v>
      </c>
      <c r="J14" s="1">
        <v>1</v>
      </c>
      <c r="K14" s="1">
        <f t="shared" si="4"/>
        <v>250</v>
      </c>
      <c r="L14" s="58">
        <v>0.28</v>
      </c>
      <c r="M14" s="1">
        <f t="shared" si="1"/>
        <v>7000000</v>
      </c>
      <c r="N14" s="21">
        <v>7240087.2133</v>
      </c>
      <c r="O14" s="21">
        <v>5527</v>
      </c>
      <c r="P14" s="59">
        <f t="shared" si="2"/>
        <v>0.027635</v>
      </c>
      <c r="Q14" s="21">
        <v>7005174.3262</v>
      </c>
      <c r="R14" s="21">
        <v>1881</v>
      </c>
      <c r="S14" s="59">
        <f t="shared" si="3"/>
        <v>0.009405</v>
      </c>
      <c r="Z14" s="1">
        <v>1196968</v>
      </c>
      <c r="AB14" s="1">
        <v>10888888</v>
      </c>
      <c r="AC14" s="1">
        <v>88888</v>
      </c>
      <c r="AD14" s="1">
        <f>AVERAGE(AB14:AC14)</f>
        <v>5488888</v>
      </c>
    </row>
    <row r="15" spans="1:26">
      <c r="A15" s="1">
        <v>11</v>
      </c>
      <c r="B15" s="1">
        <f t="shared" si="0"/>
        <v>7500000</v>
      </c>
      <c r="I15" s="7">
        <v>1650</v>
      </c>
      <c r="J15" s="1">
        <v>1</v>
      </c>
      <c r="K15" s="1">
        <f t="shared" si="4"/>
        <v>150</v>
      </c>
      <c r="L15" s="58">
        <v>0.5</v>
      </c>
      <c r="M15" s="1">
        <f t="shared" si="1"/>
        <v>7500000</v>
      </c>
      <c r="N15" s="21">
        <v>7904506.9591</v>
      </c>
      <c r="O15" s="21">
        <v>3628</v>
      </c>
      <c r="P15" s="59">
        <f t="shared" si="2"/>
        <v>0.01814</v>
      </c>
      <c r="Q15" s="21">
        <v>7661252.0259</v>
      </c>
      <c r="R15" s="21">
        <v>1672</v>
      </c>
      <c r="S15" s="59">
        <f t="shared" si="3"/>
        <v>0.00836</v>
      </c>
      <c r="Z15" s="1">
        <v>240988</v>
      </c>
    </row>
    <row r="16" spans="1:19">
      <c r="A16" s="1">
        <v>12</v>
      </c>
      <c r="B16" s="1">
        <f t="shared" si="0"/>
        <v>7500000</v>
      </c>
      <c r="I16" s="7">
        <v>1800</v>
      </c>
      <c r="J16" s="1">
        <v>1</v>
      </c>
      <c r="K16" s="1">
        <f t="shared" si="4"/>
        <v>150</v>
      </c>
      <c r="L16" s="58">
        <v>0.5</v>
      </c>
      <c r="M16" s="1">
        <f t="shared" si="1"/>
        <v>7500000</v>
      </c>
      <c r="N16" s="21">
        <v>8184388.0843</v>
      </c>
      <c r="O16" s="21">
        <v>2146</v>
      </c>
      <c r="P16" s="59">
        <f t="shared" si="2"/>
        <v>0.01073</v>
      </c>
      <c r="Q16" s="21">
        <v>7863920.6374</v>
      </c>
      <c r="R16" s="21">
        <v>1260</v>
      </c>
      <c r="S16" s="59">
        <f t="shared" si="3"/>
        <v>0.0063</v>
      </c>
    </row>
    <row r="17" spans="1:19">
      <c r="A17" s="1">
        <v>13</v>
      </c>
      <c r="B17" s="1">
        <f t="shared" si="0"/>
        <v>10000000</v>
      </c>
      <c r="I17" s="1">
        <v>2000</v>
      </c>
      <c r="J17" s="1">
        <v>1</v>
      </c>
      <c r="K17" s="1">
        <f t="shared" si="4"/>
        <v>200</v>
      </c>
      <c r="L17" s="58">
        <v>0.5</v>
      </c>
      <c r="M17" s="1">
        <f t="shared" si="1"/>
        <v>10000000</v>
      </c>
      <c r="N17" s="21">
        <v>10009698.0474</v>
      </c>
      <c r="O17" s="21">
        <v>18676</v>
      </c>
      <c r="P17" s="59">
        <f t="shared" si="2"/>
        <v>0.09338</v>
      </c>
      <c r="Q17" s="21">
        <v>9773346.2706</v>
      </c>
      <c r="R17" s="21">
        <v>1560</v>
      </c>
      <c r="S17" s="59">
        <f t="shared" si="3"/>
        <v>0.0078</v>
      </c>
    </row>
    <row r="18" spans="13:17">
      <c r="M18" s="7">
        <f>SUM(M5:M17)</f>
        <v>64600000</v>
      </c>
      <c r="N18" s="1">
        <f>SUM(N5:N17)</f>
        <v>65923523.0612</v>
      </c>
      <c r="Q18" s="1">
        <f>SUM(Q5:Q17)</f>
        <v>74189354.3443</v>
      </c>
    </row>
    <row r="20" spans="18:18">
      <c r="R20"/>
    </row>
    <row r="21" spans="21:23">
      <c r="U21" s="1" t="s">
        <v>444</v>
      </c>
      <c r="W21" s="1" t="s">
        <v>445</v>
      </c>
    </row>
    <row r="22" spans="18:23">
      <c r="R22"/>
      <c r="U22" s="21">
        <v>88888</v>
      </c>
      <c r="W22" s="21">
        <v>10888888</v>
      </c>
    </row>
    <row r="23" spans="6:23">
      <c r="F23"/>
      <c r="U23" s="21">
        <v>88888</v>
      </c>
      <c r="W23" s="21">
        <v>67094096.1048</v>
      </c>
    </row>
    <row r="24" spans="15:23">
      <c r="O24"/>
      <c r="U24" s="21">
        <v>88888</v>
      </c>
      <c r="W24" s="21">
        <v>88888</v>
      </c>
    </row>
    <row r="25" spans="21:23">
      <c r="U25" s="21">
        <v>88888</v>
      </c>
      <c r="W25" s="21">
        <v>977776</v>
      </c>
    </row>
    <row r="26" spans="8:23">
      <c r="H26"/>
      <c r="U26" s="21">
        <v>977776</v>
      </c>
      <c r="W26" s="21">
        <v>8977776</v>
      </c>
    </row>
    <row r="27" spans="21:23">
      <c r="U27" s="21">
        <v>977776</v>
      </c>
      <c r="W27" s="21">
        <v>18977776</v>
      </c>
    </row>
    <row r="28" spans="21:23">
      <c r="U28" s="21">
        <v>977776</v>
      </c>
      <c r="W28" s="21">
        <v>88888</v>
      </c>
    </row>
    <row r="29" spans="21:23">
      <c r="U29" s="21">
        <v>977776</v>
      </c>
      <c r="W29" s="21">
        <v>977776</v>
      </c>
    </row>
    <row r="30" spans="21:23">
      <c r="U30" s="21">
        <v>8977776</v>
      </c>
      <c r="W30" s="21">
        <v>8977776</v>
      </c>
    </row>
    <row r="31" spans="21:23">
      <c r="U31" s="21">
        <v>8977776</v>
      </c>
      <c r="W31" s="21">
        <v>18977776</v>
      </c>
    </row>
    <row r="32" spans="21:23">
      <c r="U32" s="21">
        <v>8977776</v>
      </c>
      <c r="W32" s="21">
        <v>88888</v>
      </c>
    </row>
    <row r="33" spans="21:23">
      <c r="U33" s="21">
        <v>8977776</v>
      </c>
      <c r="W33" s="21">
        <v>977776</v>
      </c>
    </row>
    <row r="34" spans="21:23">
      <c r="U34" s="21">
        <v>10888888</v>
      </c>
      <c r="W34" s="21">
        <v>8977776</v>
      </c>
    </row>
    <row r="35" spans="21:23">
      <c r="U35" s="1">
        <f>SUM(U22:U34)</f>
        <v>51066648</v>
      </c>
      <c r="W35" s="1">
        <f>SUM(W22:W34)</f>
        <v>146071856.1048</v>
      </c>
    </row>
  </sheetData>
  <conditionalFormatting sqref="A1">
    <cfRule type="containsText" dxfId="0" priority="6" operator="between" text=" ">
      <formula>NOT(ISERROR(SEARCH(" ",A1)))</formula>
    </cfRule>
  </conditionalFormatting>
  <conditionalFormatting sqref="B1">
    <cfRule type="containsText" dxfId="0" priority="1" operator="between" text=" ">
      <formula>NOT(ISERROR(SEARCH(" ",B1)))</formula>
    </cfRule>
  </conditionalFormatting>
  <conditionalFormatting sqref="A2">
    <cfRule type="containsText" dxfId="0" priority="3" operator="between" text=" ">
      <formula>NOT(ISERROR(SEARCH(" ",A2)))</formula>
    </cfRule>
  </conditionalFormatting>
  <conditionalFormatting sqref="A3">
    <cfRule type="containsText" dxfId="0" priority="5" operator="between" text=" ">
      <formula>NOT(ISERROR(SEARCH(" ",A3)))</formula>
    </cfRule>
  </conditionalFormatting>
  <conditionalFormatting sqref="A4">
    <cfRule type="containsText" dxfId="0" priority="4" operator="between" text=" ">
      <formula>NOT(ISERROR(SEARCH(" ",A4)))</formula>
    </cfRule>
  </conditionalFormatting>
  <conditionalFormatting sqref="B2:B4">
    <cfRule type="containsText" dxfId="0" priority="2" operator="between" text=" ">
      <formula>NOT(ISERROR(SEARCH(" ",B2)))</formula>
    </cfRule>
  </conditionalFormatting>
  <pageMargins left="0.7" right="0.7" top="0.75" bottom="0.75" header="0.3" footer="0.3"/>
  <pageSetup paperSize="9" orientation="portrait"/>
  <headerFooter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3"/>
  <sheetViews>
    <sheetView topLeftCell="D1" workbookViewId="0">
      <selection activeCell="D11" sqref="D11"/>
    </sheetView>
  </sheetViews>
  <sheetFormatPr defaultColWidth="8.88888888888889" defaultRowHeight="15.6"/>
  <cols>
    <col min="1" max="1" width="8.88888888888889" style="1"/>
    <col min="2" max="2" width="11.3333333333333" style="1" customWidth="1"/>
    <col min="3" max="3" width="36.7777777777778" style="1" customWidth="1"/>
    <col min="4" max="4" width="149.111111111111" style="1" customWidth="1"/>
    <col min="5" max="5" width="17" style="1" customWidth="1"/>
    <col min="6" max="6" width="21.4444444444444" style="1" customWidth="1"/>
    <col min="7" max="7" width="27.3333333333333" style="1" customWidth="1"/>
    <col min="8" max="9" width="8.88888888888889" style="1"/>
    <col min="10" max="10" width="24.6666666666667" style="1" customWidth="1"/>
    <col min="11" max="16384" width="8.88888888888889" style="1"/>
  </cols>
  <sheetData>
    <row r="1" ht="15" spans="1:6">
      <c r="A1" s="51" t="s">
        <v>0</v>
      </c>
      <c r="B1" s="51" t="s">
        <v>1</v>
      </c>
      <c r="C1" s="51" t="s">
        <v>0</v>
      </c>
      <c r="D1" s="51" t="s">
        <v>0</v>
      </c>
      <c r="E1" s="51" t="s">
        <v>58</v>
      </c>
      <c r="F1" s="51" t="s">
        <v>0</v>
      </c>
    </row>
    <row r="2" ht="15" spans="1:6">
      <c r="A2" s="52" t="s">
        <v>9</v>
      </c>
      <c r="B2" s="52" t="s">
        <v>10</v>
      </c>
      <c r="C2" s="52" t="s">
        <v>10</v>
      </c>
      <c r="D2" s="52" t="s">
        <v>10</v>
      </c>
      <c r="E2" s="52" t="s">
        <v>9</v>
      </c>
      <c r="F2" s="52" t="s">
        <v>9</v>
      </c>
    </row>
    <row r="3" ht="15" spans="1:6">
      <c r="A3" s="52" t="s">
        <v>31</v>
      </c>
      <c r="B3" s="52" t="s">
        <v>446</v>
      </c>
      <c r="C3" s="52" t="s">
        <v>447</v>
      </c>
      <c r="D3" s="52" t="s">
        <v>13</v>
      </c>
      <c r="E3" s="52" t="s">
        <v>222</v>
      </c>
      <c r="F3" s="52" t="s">
        <v>448</v>
      </c>
    </row>
    <row r="4" ht="45" spans="1:6">
      <c r="A4" s="53" t="s">
        <v>449</v>
      </c>
      <c r="B4" s="53" t="s">
        <v>450</v>
      </c>
      <c r="C4" s="53" t="s">
        <v>451</v>
      </c>
      <c r="D4" s="53" t="s">
        <v>293</v>
      </c>
      <c r="E4" s="54" t="s">
        <v>452</v>
      </c>
      <c r="F4" s="54" t="s">
        <v>453</v>
      </c>
    </row>
    <row r="5" spans="1:8">
      <c r="A5" s="1">
        <v>1</v>
      </c>
      <c r="B5" s="1" t="s">
        <v>454</v>
      </c>
      <c r="C5" s="1" t="s">
        <v>455</v>
      </c>
      <c r="D5" s="1" t="s">
        <v>456</v>
      </c>
      <c r="E5" s="1">
        <v>1</v>
      </c>
      <c r="F5" s="1">
        <v>0</v>
      </c>
      <c r="H5" s="1" t="s">
        <v>457</v>
      </c>
    </row>
    <row r="6" spans="1:8">
      <c r="A6" s="1">
        <v>2</v>
      </c>
      <c r="B6" s="1" t="s">
        <v>458</v>
      </c>
      <c r="C6" s="1" t="s">
        <v>459</v>
      </c>
      <c r="D6" s="1" t="s">
        <v>460</v>
      </c>
      <c r="E6" s="1">
        <v>1</v>
      </c>
      <c r="F6" s="1">
        <v>0</v>
      </c>
      <c r="H6" s="1" t="s">
        <v>461</v>
      </c>
    </row>
    <row r="7" spans="1:8">
      <c r="A7" s="1">
        <v>3</v>
      </c>
      <c r="B7" s="1" t="s">
        <v>462</v>
      </c>
      <c r="C7" s="1" t="s">
        <v>463</v>
      </c>
      <c r="D7" s="1" t="s">
        <v>464</v>
      </c>
      <c r="E7" s="1">
        <v>1</v>
      </c>
      <c r="F7" s="1">
        <v>0</v>
      </c>
      <c r="H7" s="1" t="s">
        <v>465</v>
      </c>
    </row>
    <row r="8" spans="1:8">
      <c r="A8" s="1">
        <v>4</v>
      </c>
      <c r="B8" s="1" t="s">
        <v>466</v>
      </c>
      <c r="C8" s="1" t="s">
        <v>467</v>
      </c>
      <c r="D8" s="1" t="s">
        <v>468</v>
      </c>
      <c r="E8" s="1">
        <v>1</v>
      </c>
      <c r="F8" s="1">
        <v>1</v>
      </c>
      <c r="H8" s="1" t="s">
        <v>469</v>
      </c>
    </row>
    <row r="9" spans="1:8">
      <c r="A9" s="1">
        <v>5</v>
      </c>
      <c r="B9" s="1" t="s">
        <v>470</v>
      </c>
      <c r="C9" s="1" t="s">
        <v>471</v>
      </c>
      <c r="D9" s="1" t="s">
        <v>472</v>
      </c>
      <c r="E9" s="1">
        <v>1</v>
      </c>
      <c r="F9" s="1">
        <v>1</v>
      </c>
      <c r="H9" s="1" t="s">
        <v>370</v>
      </c>
    </row>
    <row r="10" spans="1:8">
      <c r="A10" s="1">
        <v>6</v>
      </c>
      <c r="B10" s="1" t="s">
        <v>473</v>
      </c>
      <c r="C10" s="1" t="s">
        <v>474</v>
      </c>
      <c r="D10" s="1" t="s">
        <v>472</v>
      </c>
      <c r="E10" s="1">
        <v>1</v>
      </c>
      <c r="F10" s="1">
        <v>1</v>
      </c>
      <c r="G10" s="1" t="s">
        <v>475</v>
      </c>
      <c r="H10" s="1" t="s">
        <v>371</v>
      </c>
    </row>
    <row r="11" spans="1:10">
      <c r="A11" s="1">
        <v>7</v>
      </c>
      <c r="B11" s="1" t="s">
        <v>476</v>
      </c>
      <c r="C11" s="1" t="s">
        <v>477</v>
      </c>
      <c r="D11" s="55" t="str">
        <f>"["""&amp;K12&amp;""","""&amp;K13&amp;""","""&amp;K14&amp;""","""&amp;K15&amp;""","""&amp;K16&amp;""","""&amp;K17&amp;""","""&amp;K18&amp;""","""&amp;K19&amp;""","""&amp;K20&amp;""","""&amp;K21&amp;""","""&amp;K22&amp;""","""&amp;K23&amp;"""]"</f>
        <v>["1|2|55888888","1|2|56618888","1|2|55608888","1|2|56538888","1|2|55668888","1|2|58888888","1|2|56141888","1|2|55906888","1|2|55993888","1|2|55924888","1|2|55628888","1|2|55008888,56188888"]</v>
      </c>
      <c r="E11" s="1">
        <v>2</v>
      </c>
      <c r="F11" s="1">
        <v>1</v>
      </c>
      <c r="G11" s="1" t="s">
        <v>478</v>
      </c>
      <c r="H11" s="1" t="s">
        <v>479</v>
      </c>
      <c r="J11" s="1" t="s">
        <v>480</v>
      </c>
    </row>
    <row r="12" spans="10:11">
      <c r="J12" s="1">
        <v>55888888</v>
      </c>
      <c r="K12" s="1" t="str">
        <f>"1|2|"&amp;J12</f>
        <v>1|2|55888888</v>
      </c>
    </row>
    <row r="13" spans="10:11">
      <c r="J13" s="1">
        <v>56618888</v>
      </c>
      <c r="K13" s="1" t="str">
        <f t="shared" ref="K13:K23" si="0">"1|2|"&amp;J13</f>
        <v>1|2|56618888</v>
      </c>
    </row>
    <row r="14" spans="10:11">
      <c r="J14" s="1">
        <v>55608888</v>
      </c>
      <c r="K14" s="1" t="str">
        <f t="shared" si="0"/>
        <v>1|2|55608888</v>
      </c>
    </row>
    <row r="15" spans="10:11">
      <c r="J15" s="1">
        <v>56538888</v>
      </c>
      <c r="K15" s="1" t="str">
        <f t="shared" si="0"/>
        <v>1|2|56538888</v>
      </c>
    </row>
    <row r="16" spans="10:11">
      <c r="J16" s="1">
        <v>55668888</v>
      </c>
      <c r="K16" s="1" t="str">
        <f t="shared" si="0"/>
        <v>1|2|55668888</v>
      </c>
    </row>
    <row r="17" spans="10:11">
      <c r="J17" s="1">
        <v>58888888</v>
      </c>
      <c r="K17" s="1" t="str">
        <f t="shared" si="0"/>
        <v>1|2|58888888</v>
      </c>
    </row>
    <row r="18" spans="10:11">
      <c r="J18" s="1">
        <v>56141888</v>
      </c>
      <c r="K18" s="1" t="str">
        <f t="shared" si="0"/>
        <v>1|2|56141888</v>
      </c>
    </row>
    <row r="19" spans="10:11">
      <c r="J19" s="1">
        <v>55906888</v>
      </c>
      <c r="K19" s="1" t="str">
        <f t="shared" si="0"/>
        <v>1|2|55906888</v>
      </c>
    </row>
    <row r="20" spans="10:11">
      <c r="J20" s="1">
        <v>55993888</v>
      </c>
      <c r="K20" s="1" t="str">
        <f t="shared" si="0"/>
        <v>1|2|55993888</v>
      </c>
    </row>
    <row r="21" spans="10:11">
      <c r="J21" s="1">
        <v>55924888</v>
      </c>
      <c r="K21" s="1" t="str">
        <f t="shared" si="0"/>
        <v>1|2|55924888</v>
      </c>
    </row>
    <row r="22" spans="10:11">
      <c r="J22" s="1">
        <v>55628888</v>
      </c>
      <c r="K22" s="1" t="str">
        <f t="shared" si="0"/>
        <v>1|2|55628888</v>
      </c>
    </row>
    <row r="23" spans="10:11">
      <c r="J23" s="56" t="s">
        <v>481</v>
      </c>
      <c r="K23" s="1" t="str">
        <f t="shared" si="0"/>
        <v>1|2|55008888,56188888</v>
      </c>
    </row>
  </sheetData>
  <conditionalFormatting sqref="A2:B2">
    <cfRule type="containsText" dxfId="0" priority="6" operator="between" text=" ">
      <formula>NOT(ISERROR(SEARCH(" ",A2)))</formula>
    </cfRule>
  </conditionalFormatting>
  <conditionalFormatting sqref="A3:B3">
    <cfRule type="containsText" dxfId="0" priority="8" operator="between" text=" ">
      <formula>NOT(ISERROR(SEARCH(" ",A3)))</formula>
    </cfRule>
  </conditionalFormatting>
  <conditionalFormatting sqref="A4:B4">
    <cfRule type="containsText" dxfId="0" priority="7" operator="between" text=" ">
      <formula>NOT(ISERROR(SEARCH(" ",A4)))</formula>
    </cfRule>
  </conditionalFormatting>
  <conditionalFormatting sqref="A1:B1 C1:F4">
    <cfRule type="containsText" dxfId="0" priority="9" operator="between" text=" ">
      <formula>NOT(ISERROR(SEARCH(" ",A1)))</formula>
    </cfRule>
  </conditionalFormatting>
  <pageMargins left="0.7" right="0.7" top="0.75" bottom="0.75" header="0.3" footer="0.3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H40"/>
  <sheetViews>
    <sheetView workbookViewId="0">
      <selection activeCell="B20" sqref="B20"/>
    </sheetView>
  </sheetViews>
  <sheetFormatPr defaultColWidth="9" defaultRowHeight="15.6"/>
  <cols>
    <col min="1" max="1" width="101.222222222222" style="1" customWidth="1"/>
    <col min="2" max="2" width="8.22222222222222" style="1" customWidth="1"/>
    <col min="3" max="4" width="9" style="1"/>
    <col min="5" max="5" width="41" style="1" customWidth="1"/>
    <col min="6" max="6" width="11.7777777777778" style="1" customWidth="1"/>
    <col min="7" max="7" width="11.6666666666667" style="1" customWidth="1"/>
    <col min="8" max="8" width="9.11111111111111" style="1" customWidth="1"/>
    <col min="9" max="9" width="11" style="1" customWidth="1"/>
    <col min="10" max="10" width="11.1111111111111" style="1" customWidth="1"/>
    <col min="11" max="11" width="7.44444444444444" style="1" customWidth="1"/>
    <col min="12" max="12" width="9" style="2" customWidth="1"/>
    <col min="13" max="13" width="7.44444444444444" style="2" customWidth="1"/>
    <col min="14" max="14" width="6.22222222222222" style="2" customWidth="1"/>
    <col min="15" max="15" width="10.4444444444444" style="2" customWidth="1"/>
    <col min="16" max="16" width="11.6666666666667" style="2" customWidth="1"/>
    <col min="17" max="18" width="7.44444444444444" style="2" customWidth="1"/>
    <col min="19" max="19" width="5.88888888888889" style="2" customWidth="1"/>
    <col min="20" max="20" width="9.33333333333333" style="2" customWidth="1"/>
    <col min="21" max="21" width="9" style="2"/>
    <col min="22" max="22" width="9.33333333333333" style="2" customWidth="1"/>
    <col min="23" max="23" width="7.44444444444444" style="2" customWidth="1"/>
    <col min="24" max="24" width="6.22222222222222" style="2" customWidth="1"/>
    <col min="25" max="25" width="9.77777777777778" style="2" customWidth="1"/>
    <col min="26" max="28" width="9" style="2"/>
    <col min="29" max="29" width="11.6666666666667" style="2" customWidth="1"/>
    <col min="30" max="31" width="9" style="2"/>
    <col min="32" max="32" width="11.4444444444444" style="2" customWidth="1"/>
    <col min="33" max="33" width="9" style="2"/>
    <col min="34" max="16384" width="9" style="1"/>
  </cols>
  <sheetData>
    <row r="1" ht="16.2" customHeight="1" spans="1:7">
      <c r="A1" s="3" t="s">
        <v>482</v>
      </c>
      <c r="B1" s="4" t="s">
        <v>0</v>
      </c>
      <c r="C1" s="4" t="s">
        <v>0</v>
      </c>
      <c r="D1" s="4"/>
      <c r="E1" s="4" t="s">
        <v>0</v>
      </c>
      <c r="F1" s="5"/>
      <c r="G1" s="6"/>
    </row>
    <row r="2" ht="16.2" spans="1:24">
      <c r="A2" s="1" t="s">
        <v>483</v>
      </c>
      <c r="B2" s="4" t="s">
        <v>9</v>
      </c>
      <c r="C2" s="4" t="s">
        <v>9</v>
      </c>
      <c r="D2" s="4"/>
      <c r="E2" s="4" t="s">
        <v>10</v>
      </c>
      <c r="G2" s="6"/>
      <c r="L2" s="22" t="s">
        <v>11</v>
      </c>
      <c r="M2" s="23"/>
      <c r="N2" s="23"/>
      <c r="Q2" s="23"/>
      <c r="R2" s="23"/>
      <c r="S2" s="23"/>
      <c r="V2" s="23"/>
      <c r="W2" s="23"/>
      <c r="X2" s="23"/>
    </row>
    <row r="3" spans="1:34">
      <c r="A3" s="7" t="str">
        <f>"["&amp;A5&amp;","&amp;A6&amp;","&amp;A7&amp;","&amp;A8&amp;","&amp;A9&amp;","&amp;A10&amp;","&amp;A11&amp;","&amp;A12&amp;","&amp;A13&amp;"]"</f>
        <v>[[1,10,"",["2|1005|1","2|1003|5","2|1603|1"]],[2,50,"",["2|1005|2","2|1003|10","2|1603|6"]],[3,100,"",["2|1005|3","2|1003|20","2|1603|8"]],[4,200,"",["2|1006|2","2|1003|30","2|1603|18"]],[5,500,"",["2|1006|5","2|1003|50","2|1603|38"]],[6,1000,"",["2|1007|5","2|1003|100","2|1603|58"]],[7,2000,"",["2|1007|10","2|1003|200","2|1603|88"]],[8,3000,"",["2|1008|5","2|1003|300","2|1603|98"]],[9,5000,"",["2|1008|20","2|1003|500","2|1603|168"]]]</v>
      </c>
      <c r="B3" s="4" t="s">
        <v>31</v>
      </c>
      <c r="C3" s="4" t="s">
        <v>484</v>
      </c>
      <c r="D3" s="4"/>
      <c r="E3" s="4" t="s">
        <v>485</v>
      </c>
      <c r="G3" s="6"/>
      <c r="L3" s="24" t="s">
        <v>15</v>
      </c>
      <c r="M3" s="24"/>
      <c r="N3" s="24"/>
      <c r="O3" s="24"/>
      <c r="P3" s="24"/>
      <c r="Q3" s="34" t="s">
        <v>16</v>
      </c>
      <c r="R3" s="34"/>
      <c r="S3" s="34"/>
      <c r="T3" s="34"/>
      <c r="U3" s="34"/>
      <c r="V3" s="35" t="s">
        <v>17</v>
      </c>
      <c r="W3" s="35"/>
      <c r="X3" s="35"/>
      <c r="Y3" s="35"/>
      <c r="Z3" s="35"/>
      <c r="AC3" s="37" t="s">
        <v>486</v>
      </c>
      <c r="AD3"/>
      <c r="AE3"/>
      <c r="AF3"/>
      <c r="AG3"/>
      <c r="AH3"/>
    </row>
    <row r="4" ht="31.2" spans="1:34">
      <c r="A4" s="5"/>
      <c r="B4" s="8" t="s">
        <v>487</v>
      </c>
      <c r="C4" s="8" t="s">
        <v>488</v>
      </c>
      <c r="D4" s="8"/>
      <c r="E4" s="8" t="s">
        <v>489</v>
      </c>
      <c r="F4" s="9" t="s">
        <v>490</v>
      </c>
      <c r="G4" s="9" t="s">
        <v>491</v>
      </c>
      <c r="H4" s="10" t="s">
        <v>492</v>
      </c>
      <c r="I4" s="10" t="s">
        <v>493</v>
      </c>
      <c r="J4" s="10" t="s">
        <v>494</v>
      </c>
      <c r="K4" s="10" t="s">
        <v>495</v>
      </c>
      <c r="L4" s="25" t="s">
        <v>24</v>
      </c>
      <c r="M4" s="25" t="s">
        <v>25</v>
      </c>
      <c r="N4" s="25" t="s">
        <v>26</v>
      </c>
      <c r="O4" s="25" t="s">
        <v>27</v>
      </c>
      <c r="P4" s="25" t="s">
        <v>87</v>
      </c>
      <c r="Q4" s="25" t="s">
        <v>24</v>
      </c>
      <c r="R4" s="25" t="s">
        <v>25</v>
      </c>
      <c r="S4" s="25" t="s">
        <v>26</v>
      </c>
      <c r="T4" s="25" t="s">
        <v>27</v>
      </c>
      <c r="U4" s="25" t="s">
        <v>87</v>
      </c>
      <c r="V4" s="25" t="s">
        <v>24</v>
      </c>
      <c r="W4" s="25" t="s">
        <v>25</v>
      </c>
      <c r="X4" s="25" t="s">
        <v>26</v>
      </c>
      <c r="Y4" s="25" t="s">
        <v>27</v>
      </c>
      <c r="Z4" s="25" t="s">
        <v>87</v>
      </c>
      <c r="AA4" s="38"/>
      <c r="AB4" s="38"/>
      <c r="AC4" s="39" t="str">
        <f>'新手明日礼|TomorrowGift'!AJ4</f>
        <v>1个该物品对应的价值</v>
      </c>
      <c r="AD4" s="40" t="str">
        <f>'新手明日礼|TomorrowGift'!AK4</f>
        <v>人民币价值</v>
      </c>
      <c r="AE4" s="41" t="str">
        <f>'新手明日礼|TomorrowGift'!AL4</f>
        <v>钻石价值</v>
      </c>
      <c r="AF4" s="41" t="str">
        <f>'新手明日礼|TomorrowGift'!AM4</f>
        <v>金币价值</v>
      </c>
      <c r="AG4" s="40" t="str">
        <f>'新手明日礼|TomorrowGift'!AN4</f>
        <v>物品类型</v>
      </c>
      <c r="AH4" s="50" t="str">
        <f>'新手明日礼|TomorrowGift'!AO4</f>
        <v>id</v>
      </c>
    </row>
    <row r="5" spans="1:34">
      <c r="A5" s="1" t="str">
        <f>"["&amp;B5&amp;","&amp;C5&amp;","""",["&amp;E5&amp;"]]"</f>
        <v>[1,10,"",["2|1005|1","2|1003|5","2|1603|1"]]</v>
      </c>
      <c r="B5" s="11">
        <v>1</v>
      </c>
      <c r="C5" s="12">
        <v>10</v>
      </c>
      <c r="D5" s="12" t="s">
        <v>496</v>
      </c>
      <c r="E5" s="13" t="str">
        <f>IF(V5&lt;&gt;"",""""&amp;M5&amp;"|"&amp;N5&amp;"|"&amp;O5&amp;""","""&amp;R5&amp;"|"&amp;S5&amp;"|"&amp;T5&amp;""","""&amp;W5&amp;"|"&amp;X5&amp;"|"&amp;Y5&amp;"""",IF(Q5&lt;&gt;"",M5&amp;"|"&amp;N5&amp;"|"&amp;O5&amp;""","""&amp;R5&amp;"|"&amp;S5&amp;"|"&amp;T5&amp;"""",M5&amp;"|"&amp;N5&amp;"|"&amp;O5&amp;""""))</f>
        <v>"2|1005|1","2|1003|5","2|1603|1"</v>
      </c>
      <c r="F5" s="9">
        <f>C5</f>
        <v>10</v>
      </c>
      <c r="G5" s="9">
        <f>F5*$AF$5</f>
        <v>1000000</v>
      </c>
      <c r="H5" s="9">
        <f t="shared" ref="H5:H13" si="0">P5+U5+Z5</f>
        <v>1613000</v>
      </c>
      <c r="I5" s="26">
        <f>H5/G5</f>
        <v>1.613</v>
      </c>
      <c r="J5" s="27">
        <f>IF(AND(L5&lt;&gt;"锁定",L5&lt;&gt;"冰冻",L5&lt;&gt;"召唤",L5&lt;&gt;"狂暴"),P5,0)+IF(AND(Q5&lt;&gt;"锁定",Q5&lt;&gt;"冰冻",Q5&lt;&gt;"召唤",Q5&lt;&gt;"狂暴"),U5,0)+IF(AND(V5&lt;&gt;"锁定",V5&lt;&gt;"冰冻",V5&lt;&gt;"召唤",V5&lt;&gt;"狂暴"),Z5,0)</f>
        <v>1113000</v>
      </c>
      <c r="K5" s="28">
        <f>J5/G5+1</f>
        <v>2.113</v>
      </c>
      <c r="L5" s="29" t="s">
        <v>34</v>
      </c>
      <c r="M5" s="30">
        <f>VLOOKUP(L5,$AC:$AH,5,0)</f>
        <v>2</v>
      </c>
      <c r="N5" s="30">
        <f>VLOOKUP(L5,$AC:$AH,6,0)</f>
        <v>1005</v>
      </c>
      <c r="O5" s="29">
        <v>1</v>
      </c>
      <c r="P5" s="31">
        <f>VLOOKUP(L5,$AC:$AH,4,0)*O5</f>
        <v>1000000</v>
      </c>
      <c r="Q5" s="29" t="s">
        <v>42</v>
      </c>
      <c r="R5" s="30">
        <f>VLOOKUP(Q5,$AC:$AH,5,0)</f>
        <v>2</v>
      </c>
      <c r="S5" s="30">
        <f>VLOOKUP(Q5,$AC:$AH,6,0)</f>
        <v>1003</v>
      </c>
      <c r="T5" s="29">
        <v>5</v>
      </c>
      <c r="U5" s="31">
        <f>VLOOKUP(Q5,$AC:$AH,4,0)*T5</f>
        <v>500000</v>
      </c>
      <c r="V5" s="29" t="s">
        <v>176</v>
      </c>
      <c r="W5" s="30">
        <f>VLOOKUP(V5,$AC:$AH,5,0)</f>
        <v>2</v>
      </c>
      <c r="X5" s="30">
        <f>VLOOKUP(V5,$AC:$AH,6,0)</f>
        <v>1603</v>
      </c>
      <c r="Y5" s="29">
        <v>1</v>
      </c>
      <c r="Z5" s="31">
        <f>VLOOKUP(V5,$AC:$AH,4,0)*Y5</f>
        <v>113000</v>
      </c>
      <c r="AC5" s="42" t="str">
        <f>'新手明日礼|TomorrowGift'!AJ5</f>
        <v>人民币</v>
      </c>
      <c r="AD5" s="43">
        <f>'新手明日礼|TomorrowGift'!AK5</f>
        <v>1</v>
      </c>
      <c r="AE5" s="43">
        <f>'新手明日礼|TomorrowGift'!AL5</f>
        <v>10</v>
      </c>
      <c r="AF5" s="44">
        <f>'新手明日礼|TomorrowGift'!AM5</f>
        <v>100000</v>
      </c>
      <c r="AG5" s="43">
        <f>'新手明日礼|TomorrowGift'!AN5</f>
        <v>1</v>
      </c>
      <c r="AH5" s="13">
        <f>'新手明日礼|TomorrowGift'!AO5</f>
        <v>0</v>
      </c>
    </row>
    <row r="6" spans="1:34">
      <c r="A6" s="1" t="str">
        <f t="shared" ref="A6:A13" si="1">"["&amp;B6&amp;","&amp;C6&amp;","""",["&amp;E6&amp;"]]"</f>
        <v>[2,50,"",["2|1005|2","2|1003|10","2|1603|6"]]</v>
      </c>
      <c r="B6" s="11">
        <v>2</v>
      </c>
      <c r="C6" s="12">
        <v>50</v>
      </c>
      <c r="D6" s="12" t="s">
        <v>496</v>
      </c>
      <c r="E6" s="13" t="str">
        <f t="shared" ref="E6:E13" si="2">IF(V6&lt;&gt;"",""""&amp;M6&amp;"|"&amp;N6&amp;"|"&amp;O6&amp;""","""&amp;R6&amp;"|"&amp;S6&amp;"|"&amp;T6&amp;""","""&amp;W6&amp;"|"&amp;X6&amp;"|"&amp;Y6&amp;"""",IF(Q6&lt;&gt;"",M6&amp;"|"&amp;N6&amp;"|"&amp;O6&amp;""","""&amp;R6&amp;"|"&amp;S6&amp;"|"&amp;T6&amp;"""",M6&amp;"|"&amp;N6&amp;"|"&amp;O6&amp;""""))</f>
        <v>"2|1005|2","2|1003|10","2|1603|6"</v>
      </c>
      <c r="F6" s="9">
        <f>C6-C5</f>
        <v>40</v>
      </c>
      <c r="G6" s="9">
        <f t="shared" ref="G6:G13" si="3">F6*$AF$5</f>
        <v>4000000</v>
      </c>
      <c r="H6" s="9">
        <f t="shared" si="0"/>
        <v>3678000</v>
      </c>
      <c r="I6" s="26">
        <f t="shared" ref="I6:I13" si="4">H6/G6</f>
        <v>0.9195</v>
      </c>
      <c r="J6" s="27">
        <f t="shared" ref="J6:J13" si="5">IF(AND(L6&lt;&gt;"锁定",L6&lt;&gt;"冰冻",L6&lt;&gt;"召唤",L6&lt;&gt;"狂暴"),P6,0)+IF(AND(Q6&lt;&gt;"锁定",Q6&lt;&gt;"冰冻",Q6&lt;&gt;"召唤",Q6&lt;&gt;"狂暴"),U6,0)+IF(AND(V6&lt;&gt;"锁定",V6&lt;&gt;"冰冻",V6&lt;&gt;"召唤",V6&lt;&gt;"狂暴"),Z6,0)</f>
        <v>2678000</v>
      </c>
      <c r="K6" s="28">
        <f t="shared" ref="K6:K13" si="6">J6/G6+1</f>
        <v>1.6695</v>
      </c>
      <c r="L6" s="29" t="s">
        <v>34</v>
      </c>
      <c r="M6" s="30">
        <f t="shared" ref="M6:M13" si="7">VLOOKUP(L6,$AC:$AH,5,0)</f>
        <v>2</v>
      </c>
      <c r="N6" s="30">
        <f t="shared" ref="N6:N13" si="8">VLOOKUP(L6,$AC:$AH,6,0)</f>
        <v>1005</v>
      </c>
      <c r="O6" s="29">
        <v>2</v>
      </c>
      <c r="P6" s="31">
        <f t="shared" ref="P6:P13" si="9">VLOOKUP(L6,$AC:$AH,4,0)*O6</f>
        <v>2000000</v>
      </c>
      <c r="Q6" s="29" t="s">
        <v>42</v>
      </c>
      <c r="R6" s="30">
        <f t="shared" ref="R6:R13" si="10">VLOOKUP(Q6,$AC:$AH,5,0)</f>
        <v>2</v>
      </c>
      <c r="S6" s="30">
        <f t="shared" ref="S6:S13" si="11">VLOOKUP(Q6,$AC:$AH,6,0)</f>
        <v>1003</v>
      </c>
      <c r="T6" s="29">
        <v>10</v>
      </c>
      <c r="U6" s="31">
        <f t="shared" ref="U6:U13" si="12">VLOOKUP(Q6,$AC:$AH,4,0)*T6</f>
        <v>1000000</v>
      </c>
      <c r="V6" s="29" t="s">
        <v>176</v>
      </c>
      <c r="W6" s="30">
        <f t="shared" ref="W6:W13" si="13">VLOOKUP(V6,$AC:$AH,5,0)</f>
        <v>2</v>
      </c>
      <c r="X6" s="30">
        <f t="shared" ref="X6:X13" si="14">VLOOKUP(V6,$AC:$AH,6,0)</f>
        <v>1603</v>
      </c>
      <c r="Y6" s="29">
        <v>6</v>
      </c>
      <c r="Z6" s="31">
        <f t="shared" ref="Z6:Z13" si="15">VLOOKUP(V6,$AC:$AH,4,0)*Y6</f>
        <v>678000</v>
      </c>
      <c r="AC6" s="42" t="str">
        <f>'新手明日礼|TomorrowGift'!AJ6</f>
        <v>钻石</v>
      </c>
      <c r="AD6" s="45">
        <f>'新手明日礼|TomorrowGift'!AK6</f>
        <v>0.05</v>
      </c>
      <c r="AE6" s="45">
        <f>'新手明日礼|TomorrowGift'!AL6</f>
        <v>1</v>
      </c>
      <c r="AF6" s="45">
        <f>'新手明日礼|TomorrowGift'!AM6</f>
        <v>10000</v>
      </c>
      <c r="AG6" s="43">
        <f>'新手明日礼|TomorrowGift'!AN6</f>
        <v>1</v>
      </c>
      <c r="AH6" s="13">
        <f>'新手明日礼|TomorrowGift'!AO6</f>
        <v>1</v>
      </c>
    </row>
    <row r="7" spans="1:34">
      <c r="A7" s="1" t="str">
        <f t="shared" si="1"/>
        <v>[3,100,"",["2|1005|3","2|1003|20","2|1603|8"]]</v>
      </c>
      <c r="B7" s="11">
        <v>3</v>
      </c>
      <c r="C7" s="12">
        <v>100</v>
      </c>
      <c r="D7" s="12" t="s">
        <v>496</v>
      </c>
      <c r="E7" s="13" t="str">
        <f t="shared" si="2"/>
        <v>"2|1005|3","2|1003|20","2|1603|8"</v>
      </c>
      <c r="F7" s="9">
        <f t="shared" ref="F7:F13" si="16">C7-C6</f>
        <v>50</v>
      </c>
      <c r="G7" s="9">
        <f t="shared" si="3"/>
        <v>5000000</v>
      </c>
      <c r="H7" s="9">
        <f t="shared" si="0"/>
        <v>5904000</v>
      </c>
      <c r="I7" s="26">
        <f t="shared" si="4"/>
        <v>1.1808</v>
      </c>
      <c r="J7" s="27">
        <f t="shared" si="5"/>
        <v>3904000</v>
      </c>
      <c r="K7" s="28">
        <f t="shared" si="6"/>
        <v>1.7808</v>
      </c>
      <c r="L7" s="29" t="s">
        <v>34</v>
      </c>
      <c r="M7" s="30">
        <f t="shared" si="7"/>
        <v>2</v>
      </c>
      <c r="N7" s="30">
        <f t="shared" si="8"/>
        <v>1005</v>
      </c>
      <c r="O7" s="29">
        <v>3</v>
      </c>
      <c r="P7" s="31">
        <f t="shared" si="9"/>
        <v>3000000</v>
      </c>
      <c r="Q7" s="29" t="s">
        <v>42</v>
      </c>
      <c r="R7" s="30">
        <f t="shared" si="10"/>
        <v>2</v>
      </c>
      <c r="S7" s="30">
        <f t="shared" si="11"/>
        <v>1003</v>
      </c>
      <c r="T7" s="29">
        <v>20</v>
      </c>
      <c r="U7" s="31">
        <f t="shared" si="12"/>
        <v>2000000</v>
      </c>
      <c r="V7" s="29" t="s">
        <v>176</v>
      </c>
      <c r="W7" s="30">
        <f t="shared" si="13"/>
        <v>2</v>
      </c>
      <c r="X7" s="30">
        <f t="shared" si="14"/>
        <v>1603</v>
      </c>
      <c r="Y7" s="29">
        <v>8</v>
      </c>
      <c r="Z7" s="31">
        <f t="shared" si="15"/>
        <v>904000</v>
      </c>
      <c r="AC7" s="42" t="str">
        <f>'新手明日礼|TomorrowGift'!AJ7</f>
        <v>金币</v>
      </c>
      <c r="AD7" s="46">
        <f>'新手明日礼|TomorrowGift'!AK7</f>
        <v>5e-6</v>
      </c>
      <c r="AE7" s="47">
        <f>'新手明日礼|TomorrowGift'!AL7</f>
        <v>0.0001</v>
      </c>
      <c r="AF7" s="47">
        <f>'新手明日礼|TomorrowGift'!AM7</f>
        <v>1</v>
      </c>
      <c r="AG7" s="43">
        <f>'新手明日礼|TomorrowGift'!AN7</f>
        <v>1</v>
      </c>
      <c r="AH7" s="13">
        <f>'新手明日礼|TomorrowGift'!AO7</f>
        <v>2</v>
      </c>
    </row>
    <row r="8" spans="1:34">
      <c r="A8" s="1" t="str">
        <f t="shared" si="1"/>
        <v>[4,200,"",["2|1006|2","2|1003|30","2|1603|18"]]</v>
      </c>
      <c r="B8" s="11">
        <v>4</v>
      </c>
      <c r="C8" s="12">
        <v>200</v>
      </c>
      <c r="D8" s="12" t="s">
        <v>496</v>
      </c>
      <c r="E8" s="13" t="str">
        <f t="shared" si="2"/>
        <v>"2|1006|2","2|1003|30","2|1603|18"</v>
      </c>
      <c r="F8" s="9">
        <f t="shared" si="16"/>
        <v>100</v>
      </c>
      <c r="G8" s="9">
        <f t="shared" si="3"/>
        <v>10000000</v>
      </c>
      <c r="H8" s="9">
        <f t="shared" si="0"/>
        <v>9034000</v>
      </c>
      <c r="I8" s="26">
        <f t="shared" si="4"/>
        <v>0.9034</v>
      </c>
      <c r="J8" s="27">
        <f t="shared" si="5"/>
        <v>6034000</v>
      </c>
      <c r="K8" s="28">
        <f t="shared" si="6"/>
        <v>1.6034</v>
      </c>
      <c r="L8" s="29" t="s">
        <v>37</v>
      </c>
      <c r="M8" s="30">
        <f t="shared" si="7"/>
        <v>2</v>
      </c>
      <c r="N8" s="30">
        <f t="shared" si="8"/>
        <v>1006</v>
      </c>
      <c r="O8" s="29">
        <v>2</v>
      </c>
      <c r="P8" s="31">
        <f t="shared" si="9"/>
        <v>4000000</v>
      </c>
      <c r="Q8" s="29" t="s">
        <v>42</v>
      </c>
      <c r="R8" s="30">
        <f t="shared" si="10"/>
        <v>2</v>
      </c>
      <c r="S8" s="30">
        <f t="shared" si="11"/>
        <v>1003</v>
      </c>
      <c r="T8" s="29">
        <v>30</v>
      </c>
      <c r="U8" s="31">
        <f t="shared" si="12"/>
        <v>3000000</v>
      </c>
      <c r="V8" s="29" t="s">
        <v>176</v>
      </c>
      <c r="W8" s="30">
        <f t="shared" si="13"/>
        <v>2</v>
      </c>
      <c r="X8" s="30">
        <f t="shared" si="14"/>
        <v>1603</v>
      </c>
      <c r="Y8" s="29">
        <v>18</v>
      </c>
      <c r="Z8" s="31">
        <f t="shared" si="15"/>
        <v>2034000</v>
      </c>
      <c r="AC8" s="42" t="str">
        <f>'新手明日礼|TomorrowGift'!AJ8</f>
        <v>锁定</v>
      </c>
      <c r="AD8" s="43">
        <f>'新手明日礼|TomorrowGift'!AK8</f>
        <v>0.1</v>
      </c>
      <c r="AE8" s="43">
        <f>'新手明日礼|TomorrowGift'!AL8</f>
        <v>2</v>
      </c>
      <c r="AF8" s="44">
        <f>'新手明日礼|TomorrowGift'!AM8</f>
        <v>20000</v>
      </c>
      <c r="AG8" s="43">
        <f>'新手明日礼|TomorrowGift'!AN8</f>
        <v>2</v>
      </c>
      <c r="AH8" s="13">
        <f>'新手明日礼|TomorrowGift'!AO8</f>
        <v>1001</v>
      </c>
    </row>
    <row r="9" spans="1:34">
      <c r="A9" s="1" t="str">
        <f t="shared" si="1"/>
        <v>[5,500,"",["2|1006|5","2|1003|50","2|1603|38"]]</v>
      </c>
      <c r="B9" s="11">
        <v>5</v>
      </c>
      <c r="C9" s="12">
        <v>500</v>
      </c>
      <c r="D9" s="12" t="s">
        <v>496</v>
      </c>
      <c r="E9" s="13" t="str">
        <f t="shared" si="2"/>
        <v>"2|1006|5","2|1003|50","2|1603|38"</v>
      </c>
      <c r="F9" s="9">
        <f t="shared" si="16"/>
        <v>300</v>
      </c>
      <c r="G9" s="9">
        <f t="shared" si="3"/>
        <v>30000000</v>
      </c>
      <c r="H9" s="9">
        <f t="shared" si="0"/>
        <v>19294000</v>
      </c>
      <c r="I9" s="26">
        <f t="shared" si="4"/>
        <v>0.643133333333333</v>
      </c>
      <c r="J9" s="27">
        <f t="shared" si="5"/>
        <v>14294000</v>
      </c>
      <c r="K9" s="28">
        <f t="shared" si="6"/>
        <v>1.47646666666667</v>
      </c>
      <c r="L9" s="29" t="s">
        <v>37</v>
      </c>
      <c r="M9" s="30">
        <f t="shared" si="7"/>
        <v>2</v>
      </c>
      <c r="N9" s="30">
        <f t="shared" si="8"/>
        <v>1006</v>
      </c>
      <c r="O9" s="29">
        <v>5</v>
      </c>
      <c r="P9" s="31">
        <f t="shared" si="9"/>
        <v>10000000</v>
      </c>
      <c r="Q9" s="29" t="s">
        <v>42</v>
      </c>
      <c r="R9" s="30">
        <f t="shared" si="10"/>
        <v>2</v>
      </c>
      <c r="S9" s="30">
        <f t="shared" si="11"/>
        <v>1003</v>
      </c>
      <c r="T9" s="29">
        <v>50</v>
      </c>
      <c r="U9" s="31">
        <f t="shared" si="12"/>
        <v>5000000</v>
      </c>
      <c r="V9" s="29" t="s">
        <v>176</v>
      </c>
      <c r="W9" s="30">
        <f t="shared" si="13"/>
        <v>2</v>
      </c>
      <c r="X9" s="30">
        <f t="shared" si="14"/>
        <v>1603</v>
      </c>
      <c r="Y9" s="29">
        <v>38</v>
      </c>
      <c r="Z9" s="31">
        <f t="shared" si="15"/>
        <v>4294000</v>
      </c>
      <c r="AC9" s="42" t="str">
        <f>'新手明日礼|TomorrowGift'!AJ9</f>
        <v>冰冻</v>
      </c>
      <c r="AD9" s="43">
        <f>'新手明日礼|TomorrowGift'!AK9</f>
        <v>0.25</v>
      </c>
      <c r="AE9" s="43">
        <f>'新手明日礼|TomorrowGift'!AL9</f>
        <v>5</v>
      </c>
      <c r="AF9" s="44">
        <f>'新手明日礼|TomorrowGift'!AM9</f>
        <v>50000</v>
      </c>
      <c r="AG9" s="43">
        <f>'新手明日礼|TomorrowGift'!AN9</f>
        <v>2</v>
      </c>
      <c r="AH9" s="13">
        <f>'新手明日礼|TomorrowGift'!AO9</f>
        <v>1002</v>
      </c>
    </row>
    <row r="10" spans="1:34">
      <c r="A10" s="1" t="str">
        <f t="shared" si="1"/>
        <v>[6,1000,"",["2|1007|5","2|1003|100","2|1603|58"]]</v>
      </c>
      <c r="B10" s="11">
        <v>6</v>
      </c>
      <c r="C10" s="12">
        <v>1000</v>
      </c>
      <c r="D10" s="12" t="s">
        <v>496</v>
      </c>
      <c r="E10" s="13" t="str">
        <f t="shared" si="2"/>
        <v>"2|1007|5","2|1003|100","2|1603|58"</v>
      </c>
      <c r="F10" s="9">
        <f t="shared" si="16"/>
        <v>500</v>
      </c>
      <c r="G10" s="9">
        <f t="shared" si="3"/>
        <v>50000000</v>
      </c>
      <c r="H10" s="9">
        <f t="shared" si="0"/>
        <v>41554000</v>
      </c>
      <c r="I10" s="26">
        <f t="shared" si="4"/>
        <v>0.83108</v>
      </c>
      <c r="J10" s="27">
        <f t="shared" si="5"/>
        <v>31554000</v>
      </c>
      <c r="K10" s="28">
        <f t="shared" si="6"/>
        <v>1.63108</v>
      </c>
      <c r="L10" s="29" t="s">
        <v>39</v>
      </c>
      <c r="M10" s="30">
        <f t="shared" si="7"/>
        <v>2</v>
      </c>
      <c r="N10" s="30">
        <f t="shared" si="8"/>
        <v>1007</v>
      </c>
      <c r="O10" s="29">
        <v>5</v>
      </c>
      <c r="P10" s="31">
        <f t="shared" si="9"/>
        <v>25000000</v>
      </c>
      <c r="Q10" s="29" t="s">
        <v>42</v>
      </c>
      <c r="R10" s="30">
        <f t="shared" si="10"/>
        <v>2</v>
      </c>
      <c r="S10" s="30">
        <f t="shared" si="11"/>
        <v>1003</v>
      </c>
      <c r="T10" s="29">
        <v>100</v>
      </c>
      <c r="U10" s="31">
        <f t="shared" si="12"/>
        <v>10000000</v>
      </c>
      <c r="V10" s="29" t="s">
        <v>176</v>
      </c>
      <c r="W10" s="30">
        <f t="shared" si="13"/>
        <v>2</v>
      </c>
      <c r="X10" s="30">
        <f t="shared" si="14"/>
        <v>1603</v>
      </c>
      <c r="Y10" s="29">
        <v>58</v>
      </c>
      <c r="Z10" s="31">
        <f t="shared" si="15"/>
        <v>6554000</v>
      </c>
      <c r="AC10" s="42" t="str">
        <f>'新手明日礼|TomorrowGift'!AJ10</f>
        <v>狂暴</v>
      </c>
      <c r="AD10" s="45">
        <f>'新手明日礼|TomorrowGift'!AK10</f>
        <v>0.5</v>
      </c>
      <c r="AE10" s="45">
        <f>'新手明日礼|TomorrowGift'!AL10</f>
        <v>10</v>
      </c>
      <c r="AF10" s="44">
        <f>'新手明日礼|TomorrowGift'!AM10</f>
        <v>100000</v>
      </c>
      <c r="AG10" s="43">
        <f>'新手明日礼|TomorrowGift'!AN10</f>
        <v>2</v>
      </c>
      <c r="AH10" s="13">
        <f>'新手明日礼|TomorrowGift'!AO10</f>
        <v>1003</v>
      </c>
    </row>
    <row r="11" spans="1:34">
      <c r="A11" s="1" t="str">
        <f t="shared" si="1"/>
        <v>[7,2000,"",["2|1007|10","2|1003|200","2|1603|88"]]</v>
      </c>
      <c r="B11" s="11">
        <v>7</v>
      </c>
      <c r="C11" s="12">
        <v>2000</v>
      </c>
      <c r="D11" s="12" t="s">
        <v>496</v>
      </c>
      <c r="E11" s="13" t="str">
        <f t="shared" si="2"/>
        <v>"2|1007|10","2|1003|200","2|1603|88"</v>
      </c>
      <c r="F11" s="9">
        <f t="shared" si="16"/>
        <v>1000</v>
      </c>
      <c r="G11" s="9">
        <f t="shared" si="3"/>
        <v>100000000</v>
      </c>
      <c r="H11" s="9">
        <f t="shared" si="0"/>
        <v>79944000</v>
      </c>
      <c r="I11" s="26">
        <f t="shared" si="4"/>
        <v>0.79944</v>
      </c>
      <c r="J11" s="27">
        <f t="shared" si="5"/>
        <v>59944000</v>
      </c>
      <c r="K11" s="28">
        <f t="shared" si="6"/>
        <v>1.59944</v>
      </c>
      <c r="L11" s="29" t="s">
        <v>39</v>
      </c>
      <c r="M11" s="30">
        <f t="shared" si="7"/>
        <v>2</v>
      </c>
      <c r="N11" s="30">
        <f t="shared" si="8"/>
        <v>1007</v>
      </c>
      <c r="O11" s="29">
        <v>10</v>
      </c>
      <c r="P11" s="31">
        <f t="shared" si="9"/>
        <v>50000000</v>
      </c>
      <c r="Q11" s="29" t="s">
        <v>42</v>
      </c>
      <c r="R11" s="30">
        <f t="shared" si="10"/>
        <v>2</v>
      </c>
      <c r="S11" s="30">
        <f t="shared" si="11"/>
        <v>1003</v>
      </c>
      <c r="T11" s="29">
        <v>200</v>
      </c>
      <c r="U11" s="31">
        <f t="shared" si="12"/>
        <v>20000000</v>
      </c>
      <c r="V11" s="29" t="s">
        <v>176</v>
      </c>
      <c r="W11" s="30">
        <f t="shared" si="13"/>
        <v>2</v>
      </c>
      <c r="X11" s="30">
        <f t="shared" si="14"/>
        <v>1603</v>
      </c>
      <c r="Y11" s="29">
        <v>88</v>
      </c>
      <c r="Z11" s="31">
        <f t="shared" si="15"/>
        <v>9944000</v>
      </c>
      <c r="AC11" s="42" t="str">
        <f>'新手明日礼|TomorrowGift'!AJ11</f>
        <v>召唤</v>
      </c>
      <c r="AD11" s="43">
        <f>'新手明日礼|TomorrowGift'!AK11</f>
        <v>0.1</v>
      </c>
      <c r="AE11" s="43">
        <f>'新手明日礼|TomorrowGift'!AL11</f>
        <v>2</v>
      </c>
      <c r="AF11" s="44">
        <f>'新手明日礼|TomorrowGift'!AM11</f>
        <v>20000</v>
      </c>
      <c r="AG11" s="43">
        <f>'新手明日礼|TomorrowGift'!AN11</f>
        <v>2</v>
      </c>
      <c r="AH11" s="13">
        <f>'新手明日礼|TomorrowGift'!AO11</f>
        <v>1004</v>
      </c>
    </row>
    <row r="12" spans="1:34">
      <c r="A12" s="1" t="str">
        <f t="shared" si="1"/>
        <v>[8,3000,"",["2|1008|5","2|1003|300","2|1603|98"]]</v>
      </c>
      <c r="B12" s="11">
        <v>8</v>
      </c>
      <c r="C12" s="12">
        <v>3000</v>
      </c>
      <c r="D12" s="12" t="s">
        <v>496</v>
      </c>
      <c r="E12" s="13" t="str">
        <f t="shared" si="2"/>
        <v>"2|1008|5","2|1003|300","2|1603|98"</v>
      </c>
      <c r="F12" s="9">
        <f t="shared" si="16"/>
        <v>1000</v>
      </c>
      <c r="G12" s="9">
        <f t="shared" si="3"/>
        <v>100000000</v>
      </c>
      <c r="H12" s="9">
        <f t="shared" si="0"/>
        <v>91074000</v>
      </c>
      <c r="I12" s="26">
        <f t="shared" si="4"/>
        <v>0.91074</v>
      </c>
      <c r="J12" s="27">
        <f t="shared" si="5"/>
        <v>61074000</v>
      </c>
      <c r="K12" s="28">
        <f t="shared" si="6"/>
        <v>1.61074</v>
      </c>
      <c r="L12" s="29" t="s">
        <v>44</v>
      </c>
      <c r="M12" s="30">
        <f t="shared" si="7"/>
        <v>2</v>
      </c>
      <c r="N12" s="30">
        <f t="shared" si="8"/>
        <v>1008</v>
      </c>
      <c r="O12" s="29">
        <v>5</v>
      </c>
      <c r="P12" s="31">
        <f t="shared" si="9"/>
        <v>50000000</v>
      </c>
      <c r="Q12" s="29" t="s">
        <v>42</v>
      </c>
      <c r="R12" s="30">
        <f t="shared" si="10"/>
        <v>2</v>
      </c>
      <c r="S12" s="30">
        <f t="shared" si="11"/>
        <v>1003</v>
      </c>
      <c r="T12" s="29">
        <v>300</v>
      </c>
      <c r="U12" s="31">
        <f t="shared" si="12"/>
        <v>30000000</v>
      </c>
      <c r="V12" s="29" t="s">
        <v>176</v>
      </c>
      <c r="W12" s="30">
        <f t="shared" si="13"/>
        <v>2</v>
      </c>
      <c r="X12" s="30">
        <f t="shared" si="14"/>
        <v>1603</v>
      </c>
      <c r="Y12" s="29">
        <v>98</v>
      </c>
      <c r="Z12" s="31">
        <f t="shared" si="15"/>
        <v>11074000</v>
      </c>
      <c r="AC12" s="42" t="str">
        <f>'新手明日礼|TomorrowGift'!AJ12</f>
        <v>福卡</v>
      </c>
      <c r="AD12" s="45">
        <f>'新手明日礼|TomorrowGift'!AK12</f>
        <v>0.001</v>
      </c>
      <c r="AE12" s="43">
        <f>'新手明日礼|TomorrowGift'!AL12</f>
        <v>0.5</v>
      </c>
      <c r="AF12" s="44">
        <f>'新手明日礼|TomorrowGift'!AM12</f>
        <v>5000</v>
      </c>
      <c r="AG12" s="43">
        <f>'新手明日礼|TomorrowGift'!AN12</f>
        <v>2</v>
      </c>
      <c r="AH12" s="13">
        <f>'新手明日礼|TomorrowGift'!AO12</f>
        <v>1204</v>
      </c>
    </row>
    <row r="13" spans="1:34">
      <c r="A13" s="1" t="str">
        <f t="shared" si="1"/>
        <v>[9,5000,"",["2|1008|20","2|1003|500","2|1603|168"]]</v>
      </c>
      <c r="B13" s="14">
        <v>9</v>
      </c>
      <c r="C13" s="15">
        <v>5000</v>
      </c>
      <c r="D13" s="15" t="s">
        <v>496</v>
      </c>
      <c r="E13" s="16" t="str">
        <f t="shared" si="2"/>
        <v>"2|1008|20","2|1003|500","2|1603|168"</v>
      </c>
      <c r="F13" s="9">
        <f t="shared" si="16"/>
        <v>2000</v>
      </c>
      <c r="G13" s="9">
        <f t="shared" si="3"/>
        <v>200000000</v>
      </c>
      <c r="H13" s="9">
        <f t="shared" si="0"/>
        <v>268984000</v>
      </c>
      <c r="I13" s="26">
        <f t="shared" si="4"/>
        <v>1.34492</v>
      </c>
      <c r="J13" s="27">
        <f t="shared" si="5"/>
        <v>218984000</v>
      </c>
      <c r="K13" s="28">
        <f t="shared" si="6"/>
        <v>2.09492</v>
      </c>
      <c r="L13" s="29" t="s">
        <v>44</v>
      </c>
      <c r="M13" s="30">
        <f t="shared" si="7"/>
        <v>2</v>
      </c>
      <c r="N13" s="30">
        <f t="shared" si="8"/>
        <v>1008</v>
      </c>
      <c r="O13" s="29">
        <v>20</v>
      </c>
      <c r="P13" s="31">
        <f t="shared" si="9"/>
        <v>200000000</v>
      </c>
      <c r="Q13" s="29" t="s">
        <v>42</v>
      </c>
      <c r="R13" s="30">
        <f t="shared" si="10"/>
        <v>2</v>
      </c>
      <c r="S13" s="30">
        <f t="shared" si="11"/>
        <v>1003</v>
      </c>
      <c r="T13" s="29">
        <v>500</v>
      </c>
      <c r="U13" s="31">
        <f t="shared" si="12"/>
        <v>50000000</v>
      </c>
      <c r="V13" s="29" t="s">
        <v>176</v>
      </c>
      <c r="W13" s="30">
        <f t="shared" si="13"/>
        <v>2</v>
      </c>
      <c r="X13" s="30">
        <f t="shared" si="14"/>
        <v>1603</v>
      </c>
      <c r="Y13" s="29">
        <v>168</v>
      </c>
      <c r="Z13" s="31">
        <f t="shared" si="15"/>
        <v>18984000</v>
      </c>
      <c r="AC13" s="42" t="str">
        <f>'新手明日礼|TomorrowGift'!AJ13</f>
        <v>超级武器1</v>
      </c>
      <c r="AD13" s="43">
        <f>'新手明日礼|TomorrowGift'!AK13</f>
        <v>5</v>
      </c>
      <c r="AE13" s="43">
        <f>'新手明日礼|TomorrowGift'!AL13</f>
        <v>100</v>
      </c>
      <c r="AF13" s="44">
        <f>'新手明日礼|TomorrowGift'!AM13</f>
        <v>1000000</v>
      </c>
      <c r="AG13" s="43">
        <f>'新手明日礼|TomorrowGift'!AN13</f>
        <v>2</v>
      </c>
      <c r="AH13" s="13">
        <f>'新手明日礼|TomorrowGift'!AO13</f>
        <v>1005</v>
      </c>
    </row>
    <row r="14" ht="16.2" spans="6:34">
      <c r="F14" s="17">
        <f>SUM(F5:F13)</f>
        <v>5000</v>
      </c>
      <c r="H14" s="18">
        <f>SUM(H5:H13)</f>
        <v>521079000</v>
      </c>
      <c r="I14" s="18"/>
      <c r="J14" s="18">
        <f>SUM(J5:J13)</f>
        <v>399579000</v>
      </c>
      <c r="K14" s="32"/>
      <c r="AC14" s="42" t="str">
        <f>'新手明日礼|TomorrowGift'!AJ14</f>
        <v>超级武器2</v>
      </c>
      <c r="AD14" s="43">
        <f>'新手明日礼|TomorrowGift'!AK14</f>
        <v>10</v>
      </c>
      <c r="AE14" s="43">
        <f>'新手明日礼|TomorrowGift'!AL14</f>
        <v>200</v>
      </c>
      <c r="AF14" s="44">
        <f>'新手明日礼|TomorrowGift'!AM14</f>
        <v>2000000</v>
      </c>
      <c r="AG14" s="43">
        <f>'新手明日礼|TomorrowGift'!AN14</f>
        <v>2</v>
      </c>
      <c r="AH14" s="13">
        <f>'新手明日礼|TomorrowGift'!AO14</f>
        <v>1006</v>
      </c>
    </row>
    <row r="15" spans="1:34">
      <c r="A15" s="19"/>
      <c r="F15" s="9">
        <f>F14*200000</f>
        <v>1000000000</v>
      </c>
      <c r="H15" s="20">
        <f>H14/F15</f>
        <v>0.521079</v>
      </c>
      <c r="J15" s="20">
        <f>J14/F15</f>
        <v>0.399579</v>
      </c>
      <c r="K15" s="32"/>
      <c r="AC15" s="42" t="str">
        <f>'新手明日礼|TomorrowGift'!AJ15</f>
        <v>超级武器3</v>
      </c>
      <c r="AD15" s="43">
        <f>'新手明日礼|TomorrowGift'!AK15</f>
        <v>25</v>
      </c>
      <c r="AE15" s="43">
        <f>'新手明日礼|TomorrowGift'!AL15</f>
        <v>500</v>
      </c>
      <c r="AF15" s="44">
        <f>'新手明日礼|TomorrowGift'!AM15</f>
        <v>5000000</v>
      </c>
      <c r="AG15" s="43">
        <f>'新手明日礼|TomorrowGift'!AN15</f>
        <v>2</v>
      </c>
      <c r="AH15" s="13">
        <f>'新手明日礼|TomorrowGift'!AO15</f>
        <v>1007</v>
      </c>
    </row>
    <row r="16" spans="11:34">
      <c r="K16" s="32"/>
      <c r="AC16" s="42" t="str">
        <f>'新手明日礼|TomorrowGift'!AJ16</f>
        <v>超级武器4</v>
      </c>
      <c r="AD16" s="43">
        <f>'新手明日礼|TomorrowGift'!AK16</f>
        <v>50</v>
      </c>
      <c r="AE16" s="43">
        <f>'新手明日礼|TomorrowGift'!AL16</f>
        <v>1000</v>
      </c>
      <c r="AF16" s="44">
        <f>'新手明日礼|TomorrowGift'!AM16</f>
        <v>10000000</v>
      </c>
      <c r="AG16" s="43">
        <f>'新手明日礼|TomorrowGift'!AN16</f>
        <v>2</v>
      </c>
      <c r="AH16" s="13">
        <f>'新手明日礼|TomorrowGift'!AO16</f>
        <v>1008</v>
      </c>
    </row>
    <row r="17" spans="11:34">
      <c r="K17" s="32"/>
      <c r="L17" s="22"/>
      <c r="M17" s="23"/>
      <c r="N17" s="23"/>
      <c r="Q17" s="23"/>
      <c r="R17" s="23"/>
      <c r="S17" s="23"/>
      <c r="V17" s="23"/>
      <c r="W17" s="23"/>
      <c r="X17" s="23"/>
      <c r="AC17" s="42" t="str">
        <f>'新手明日礼|TomorrowGift'!AJ17</f>
        <v>5元话费卡</v>
      </c>
      <c r="AD17" s="43">
        <f>'新手明日礼|TomorrowGift'!AK17</f>
        <v>5</v>
      </c>
      <c r="AE17" s="43">
        <f>'新手明日礼|TomorrowGift'!AL17</f>
        <v>100</v>
      </c>
      <c r="AF17" s="44">
        <f>'新手明日礼|TomorrowGift'!AM17</f>
        <v>1000000</v>
      </c>
      <c r="AG17" s="43">
        <f>'新手明日礼|TomorrowGift'!AN17</f>
        <v>2</v>
      </c>
      <c r="AH17" s="13">
        <f>'新手明日礼|TomorrowGift'!AO17</f>
        <v>1206</v>
      </c>
    </row>
    <row r="18" spans="1:34">
      <c r="A18" s="7"/>
      <c r="E18" s="1" t="s">
        <v>497</v>
      </c>
      <c r="K18" s="32"/>
      <c r="L18" s="33"/>
      <c r="M18" s="33"/>
      <c r="N18" s="33"/>
      <c r="O18" s="33"/>
      <c r="P18" s="33"/>
      <c r="Q18" s="36"/>
      <c r="R18" s="36"/>
      <c r="S18" s="36"/>
      <c r="T18" s="36"/>
      <c r="U18" s="36"/>
      <c r="V18" s="35"/>
      <c r="W18" s="35"/>
      <c r="X18" s="35"/>
      <c r="Y18" s="35"/>
      <c r="Z18" s="35"/>
      <c r="AC18" s="42" t="str">
        <f>'新手明日礼|TomorrowGift'!AJ18</f>
        <v>2元话费卡</v>
      </c>
      <c r="AD18" s="43">
        <f>'新手明日礼|TomorrowGift'!AK18</f>
        <v>2</v>
      </c>
      <c r="AE18" s="43">
        <f>'新手明日礼|TomorrowGift'!AL18</f>
        <v>40</v>
      </c>
      <c r="AF18" s="44">
        <f>'新手明日礼|TomorrowGift'!AM18</f>
        <v>400000</v>
      </c>
      <c r="AG18" s="43">
        <f>'新手明日礼|TomorrowGift'!AN18</f>
        <v>2</v>
      </c>
      <c r="AH18" s="13">
        <f>'新手明日礼|TomorrowGift'!AO18</f>
        <v>1205</v>
      </c>
    </row>
    <row r="19" ht="16.2" spans="1:34">
      <c r="A19" s="5"/>
      <c r="K19" s="32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C19" s="48" t="str">
        <f>'新手明日礼|TomorrowGift'!AJ19</f>
        <v>高压锅</v>
      </c>
      <c r="AD19" s="49">
        <f>'新手明日礼|TomorrowGift'!AK19</f>
        <v>200</v>
      </c>
      <c r="AE19" s="49">
        <f>'新手明日礼|TomorrowGift'!AL19</f>
        <v>4000</v>
      </c>
      <c r="AF19" s="44">
        <f>'新手明日礼|TomorrowGift'!AM19</f>
        <v>40000000</v>
      </c>
      <c r="AG19" s="49">
        <f>'新手明日礼|TomorrowGift'!AN19</f>
        <v>2</v>
      </c>
      <c r="AH19" s="16">
        <f>'新手明日礼|TomorrowGift'!AO19</f>
        <v>1208</v>
      </c>
    </row>
    <row r="20" spans="5:34">
      <c r="E20" s="2"/>
      <c r="F20" s="2"/>
      <c r="K20" s="32"/>
      <c r="L20" s="29"/>
      <c r="M20" s="30"/>
      <c r="N20" s="30"/>
      <c r="O20" s="29"/>
      <c r="P20" s="31"/>
      <c r="Q20" s="29"/>
      <c r="R20" s="30"/>
      <c r="S20" s="30"/>
      <c r="T20" s="29"/>
      <c r="U20" s="31"/>
      <c r="V20" s="29"/>
      <c r="W20" s="30"/>
      <c r="X20" s="30"/>
      <c r="Y20" s="29"/>
      <c r="Z20" s="31"/>
      <c r="AC20" s="2" t="str">
        <f>'新手明日礼|TomorrowGift'!AJ20</f>
        <v>30元话费卡</v>
      </c>
      <c r="AD20" s="2">
        <f>'新手明日礼|TomorrowGift'!AK20</f>
        <v>30</v>
      </c>
      <c r="AE20" s="2">
        <f>'新手明日礼|TomorrowGift'!AL20</f>
        <v>600</v>
      </c>
      <c r="AF20" s="44">
        <f>'新手明日礼|TomorrowGift'!AM20</f>
        <v>6000000</v>
      </c>
      <c r="AG20" s="2">
        <f>'新手明日礼|TomorrowGift'!AN20</f>
        <v>2</v>
      </c>
      <c r="AH20" s="2">
        <f>'新手明日礼|TomorrowGift'!AO20</f>
        <v>1209</v>
      </c>
    </row>
    <row r="21" spans="5:34">
      <c r="E21" s="2"/>
      <c r="F21" s="2"/>
      <c r="K21" s="32"/>
      <c r="L21" s="29"/>
      <c r="M21" s="30"/>
      <c r="N21" s="30"/>
      <c r="O21" s="29"/>
      <c r="P21" s="31"/>
      <c r="Q21" s="29"/>
      <c r="R21" s="30"/>
      <c r="S21" s="30"/>
      <c r="T21" s="29"/>
      <c r="U21" s="31"/>
      <c r="V21" s="29"/>
      <c r="W21" s="30"/>
      <c r="X21" s="30"/>
      <c r="Y21" s="29"/>
      <c r="Z21" s="31"/>
      <c r="AC21" s="2" t="str">
        <f>'新手明日礼|TomorrowGift'!AJ21</f>
        <v>50元话费卡</v>
      </c>
      <c r="AD21" s="2">
        <f>'新手明日礼|TomorrowGift'!AK21</f>
        <v>50</v>
      </c>
      <c r="AE21" s="2">
        <f>'新手明日礼|TomorrowGift'!AL21</f>
        <v>1000</v>
      </c>
      <c r="AF21" s="44">
        <f>'新手明日礼|TomorrowGift'!AM21</f>
        <v>10000000</v>
      </c>
      <c r="AG21" s="2">
        <f>'新手明日礼|TomorrowGift'!AN21</f>
        <v>2</v>
      </c>
      <c r="AH21" s="2">
        <f>'新手明日礼|TomorrowGift'!AO21</f>
        <v>1210</v>
      </c>
    </row>
    <row r="22" ht="16.2" spans="1:34">
      <c r="A22" s="3"/>
      <c r="B22" s="4" t="s">
        <v>0</v>
      </c>
      <c r="C22" s="4" t="s">
        <v>0</v>
      </c>
      <c r="D22" s="4"/>
      <c r="E22" s="4" t="s">
        <v>0</v>
      </c>
      <c r="F22" s="5"/>
      <c r="AC22" s="2" t="str">
        <f>'新手明日礼|TomorrowGift'!AJ22</f>
        <v>活跃度</v>
      </c>
      <c r="AD22" s="2">
        <f>'新手明日礼|TomorrowGift'!AK22</f>
        <v>1</v>
      </c>
      <c r="AE22" s="2">
        <f>'新手明日礼|TomorrowGift'!AL22</f>
        <v>20</v>
      </c>
      <c r="AF22" s="44">
        <f>'新手明日礼|TomorrowGift'!AM22</f>
        <v>200000</v>
      </c>
      <c r="AG22" s="2">
        <f>'新手明日礼|TomorrowGift'!AN22</f>
        <v>1</v>
      </c>
      <c r="AH22" s="2">
        <f>'新手明日礼|TomorrowGift'!AO22</f>
        <v>6</v>
      </c>
    </row>
    <row r="23" ht="16.2" spans="1:34">
      <c r="A23" s="1" t="s">
        <v>498</v>
      </c>
      <c r="B23" s="4" t="s">
        <v>9</v>
      </c>
      <c r="C23" s="4" t="s">
        <v>9</v>
      </c>
      <c r="D23" s="4"/>
      <c r="E23" s="4" t="s">
        <v>9</v>
      </c>
      <c r="AC23" s="2" t="str">
        <f>'新手明日礼|TomorrowGift'!AJ23</f>
        <v>红包【恭】</v>
      </c>
      <c r="AD23" s="2">
        <f>'新手明日礼|TomorrowGift'!AK23</f>
        <v>1</v>
      </c>
      <c r="AE23" s="2">
        <f>'新手明日礼|TomorrowGift'!AL23</f>
        <v>20</v>
      </c>
      <c r="AF23" s="44">
        <f>'新手明日礼|TomorrowGift'!AM23</f>
        <v>200000</v>
      </c>
      <c r="AG23" s="2">
        <f>'新手明日礼|TomorrowGift'!AN23</f>
        <v>2</v>
      </c>
      <c r="AH23" s="2">
        <f>'新手明日礼|TomorrowGift'!AO23</f>
        <v>1301</v>
      </c>
    </row>
    <row r="24" spans="1:34">
      <c r="A24" s="7" t="str">
        <f>"["&amp;A26&amp;","&amp;A27&amp;","&amp;A28&amp;","&amp;A29&amp;","&amp;A30&amp;","&amp;A31&amp;","&amp;A32&amp;","&amp;A33&amp;"]"</f>
        <v>[[1,6,1,0.0458],[2,50,2,0.113],[3,100,3,0.1802],[4,300,4,0.2813],[5,600,6,0.4207],[6,1000,8,0.5833],[7,1500,10,0.7711],[8,2000,13,1]]</v>
      </c>
      <c r="B24" s="4" t="s">
        <v>31</v>
      </c>
      <c r="C24" s="4" t="s">
        <v>484</v>
      </c>
      <c r="D24" s="4"/>
      <c r="E24" s="4" t="s">
        <v>485</v>
      </c>
      <c r="AC24" s="2" t="str">
        <f>'新手明日礼|TomorrowGift'!AJ24</f>
        <v>红包【喜】</v>
      </c>
      <c r="AD24" s="2">
        <f>'新手明日礼|TomorrowGift'!AK24</f>
        <v>1</v>
      </c>
      <c r="AE24" s="2">
        <f>'新手明日礼|TomorrowGift'!AL24</f>
        <v>20</v>
      </c>
      <c r="AF24" s="44">
        <f>'新手明日礼|TomorrowGift'!AM24</f>
        <v>200000</v>
      </c>
      <c r="AG24" s="2">
        <f>'新手明日礼|TomorrowGift'!AN24</f>
        <v>2</v>
      </c>
      <c r="AH24" s="2">
        <f>'新手明日礼|TomorrowGift'!AO24</f>
        <v>1302</v>
      </c>
    </row>
    <row r="25" ht="16.2" spans="1:34">
      <c r="A25" s="5"/>
      <c r="B25" s="8" t="s">
        <v>487</v>
      </c>
      <c r="C25" s="8" t="s">
        <v>488</v>
      </c>
      <c r="D25" s="8" t="s">
        <v>499</v>
      </c>
      <c r="E25" s="8" t="s">
        <v>500</v>
      </c>
      <c r="F25" s="9"/>
      <c r="AC25" s="2" t="str">
        <f>'新手明日礼|TomorrowGift'!AJ25</f>
        <v>红包【发】</v>
      </c>
      <c r="AD25" s="2">
        <f>'新手明日礼|TomorrowGift'!AK25</f>
        <v>1</v>
      </c>
      <c r="AE25" s="2">
        <f>'新手明日礼|TomorrowGift'!AL25</f>
        <v>20</v>
      </c>
      <c r="AF25" s="44">
        <f>'新手明日礼|TomorrowGift'!AM25</f>
        <v>200000</v>
      </c>
      <c r="AG25" s="2">
        <f>'新手明日礼|TomorrowGift'!AN25</f>
        <v>2</v>
      </c>
      <c r="AH25" s="2">
        <f>'新手明日礼|TomorrowGift'!AO25</f>
        <v>1303</v>
      </c>
    </row>
    <row r="26" spans="1:34">
      <c r="A26" s="1" t="str">
        <f>"["&amp;B26&amp;","&amp;C26&amp;","&amp;E26&amp;","&amp;D26&amp;"]"</f>
        <v>[1,6,1,0.0458]</v>
      </c>
      <c r="B26" s="11">
        <v>1</v>
      </c>
      <c r="C26" s="12">
        <f>'翻牌机制|FlopRule'!I5</f>
        <v>6</v>
      </c>
      <c r="D26" s="12">
        <v>0.0458</v>
      </c>
      <c r="E26" s="13">
        <f>F26</f>
        <v>1</v>
      </c>
      <c r="F26" s="9">
        <v>1</v>
      </c>
      <c r="H26" s="21" t="s">
        <v>501</v>
      </c>
      <c r="AC26" s="2" t="str">
        <f>'新手明日礼|TomorrowGift'!AJ26</f>
        <v>红包【财】</v>
      </c>
      <c r="AD26" s="2">
        <f>'新手明日礼|TomorrowGift'!AK26</f>
        <v>1</v>
      </c>
      <c r="AE26" s="2">
        <f>'新手明日礼|TomorrowGift'!AL26</f>
        <v>20</v>
      </c>
      <c r="AF26" s="44">
        <f>'新手明日礼|TomorrowGift'!AM26</f>
        <v>200000</v>
      </c>
      <c r="AG26" s="2">
        <f>'新手明日礼|TomorrowGift'!AN26</f>
        <v>2</v>
      </c>
      <c r="AH26" s="2">
        <f>'新手明日礼|TomorrowGift'!AO26</f>
        <v>1304</v>
      </c>
    </row>
    <row r="27" spans="1:34">
      <c r="A27" s="1" t="str">
        <f t="shared" ref="A27:A33" si="17">"["&amp;B27&amp;","&amp;C27&amp;","&amp;E27&amp;","&amp;D27&amp;"]"</f>
        <v>[2,50,2,0.113]</v>
      </c>
      <c r="B27" s="11">
        <v>2</v>
      </c>
      <c r="C27" s="12">
        <f>'翻牌机制|FlopRule'!I6</f>
        <v>50</v>
      </c>
      <c r="D27" s="12">
        <v>0.113</v>
      </c>
      <c r="E27" s="13">
        <f t="shared" ref="E27:E33" si="18">E26+F27</f>
        <v>2</v>
      </c>
      <c r="F27" s="9">
        <v>1</v>
      </c>
      <c r="H27" s="21" t="s">
        <v>502</v>
      </c>
      <c r="AC27" s="2" t="str">
        <f>'新手明日礼|TomorrowGift'!AJ27</f>
        <v>双轮</v>
      </c>
      <c r="AD27" s="2">
        <f>'新手明日礼|TomorrowGift'!AK27</f>
        <v>40</v>
      </c>
      <c r="AE27" s="43">
        <f>'新手明日礼|TomorrowGift'!AL27</f>
        <v>800</v>
      </c>
      <c r="AF27" s="44">
        <f>'新手明日礼|TomorrowGift'!AM27</f>
        <v>8000000</v>
      </c>
      <c r="AG27" s="2">
        <f>'新手明日礼|TomorrowGift'!AN27</f>
        <v>2</v>
      </c>
      <c r="AH27" s="2">
        <f>'新手明日礼|TomorrowGift'!AO27</f>
        <v>1500</v>
      </c>
    </row>
    <row r="28" spans="1:34">
      <c r="A28" s="1" t="str">
        <f t="shared" si="17"/>
        <v>[3,100,3,0.1802]</v>
      </c>
      <c r="B28" s="11">
        <v>3</v>
      </c>
      <c r="C28" s="12">
        <f>'翻牌机制|FlopRule'!I7</f>
        <v>100</v>
      </c>
      <c r="D28" s="12">
        <v>0.1802</v>
      </c>
      <c r="E28" s="13">
        <f t="shared" si="18"/>
        <v>3</v>
      </c>
      <c r="F28" s="9">
        <v>1</v>
      </c>
      <c r="H28" s="21" t="s">
        <v>503</v>
      </c>
      <c r="AC28" s="2" t="str">
        <f>'新手明日礼|TomorrowGift'!AJ28</f>
        <v>橄榄油</v>
      </c>
      <c r="AD28" s="2">
        <f>'新手明日礼|TomorrowGift'!AK28</f>
        <v>80</v>
      </c>
      <c r="AE28" s="2">
        <f>'新手明日礼|TomorrowGift'!AL28</f>
        <v>1600</v>
      </c>
      <c r="AF28" s="44">
        <f>'新手明日礼|TomorrowGift'!AM28</f>
        <v>16000000</v>
      </c>
      <c r="AG28" s="2">
        <f>'新手明日礼|TomorrowGift'!AN28</f>
        <v>2</v>
      </c>
      <c r="AH28" s="2">
        <f>'新手明日礼|TomorrowGift'!AO28</f>
        <v>1503</v>
      </c>
    </row>
    <row r="29" spans="1:34">
      <c r="A29" s="1" t="str">
        <f t="shared" si="17"/>
        <v>[4,300,4,0.2813]</v>
      </c>
      <c r="B29" s="11">
        <v>4</v>
      </c>
      <c r="C29" s="12">
        <f>'翻牌机制|FlopRule'!I8</f>
        <v>300</v>
      </c>
      <c r="D29" s="12">
        <v>0.2813</v>
      </c>
      <c r="E29" s="13">
        <f t="shared" si="18"/>
        <v>4</v>
      </c>
      <c r="F29" s="9">
        <v>1</v>
      </c>
      <c r="H29" s="21" t="s">
        <v>504</v>
      </c>
      <c r="AC29" s="2" t="str">
        <f>'新手明日礼|TomorrowGift'!AJ29</f>
        <v>米面礼盒</v>
      </c>
      <c r="AD29" s="2">
        <f>'新手明日礼|TomorrowGift'!AK29</f>
        <v>110</v>
      </c>
      <c r="AE29" s="2">
        <f>'新手明日礼|TomorrowGift'!AL29</f>
        <v>2200</v>
      </c>
      <c r="AF29" s="44">
        <f>'新手明日礼|TomorrowGift'!AM29</f>
        <v>22000000</v>
      </c>
      <c r="AG29" s="2">
        <f>'新手明日礼|TomorrowGift'!AN29</f>
        <v>2</v>
      </c>
      <c r="AH29" s="2">
        <f>'新手明日礼|TomorrowGift'!AO29</f>
        <v>1504</v>
      </c>
    </row>
    <row r="30" spans="1:34">
      <c r="A30" s="1" t="str">
        <f t="shared" si="17"/>
        <v>[5,600,6,0.4207]</v>
      </c>
      <c r="B30" s="11">
        <v>5</v>
      </c>
      <c r="C30" s="12">
        <f>'翻牌机制|FlopRule'!I10</f>
        <v>600</v>
      </c>
      <c r="D30" s="12">
        <v>0.4207</v>
      </c>
      <c r="E30" s="13">
        <f t="shared" si="18"/>
        <v>6</v>
      </c>
      <c r="F30" s="9">
        <v>2</v>
      </c>
      <c r="H30" s="21" t="s">
        <v>505</v>
      </c>
      <c r="AC30" s="43" t="str">
        <f>'新手明日礼|TomorrowGift'!AJ30</f>
        <v>5元话费卡</v>
      </c>
      <c r="AD30" s="43">
        <f>'新手明日礼|TomorrowGift'!AK30</f>
        <v>5</v>
      </c>
      <c r="AE30" s="43">
        <f>'新手明日礼|TomorrowGift'!AL30</f>
        <v>100</v>
      </c>
      <c r="AF30" s="44">
        <f>'新手明日礼|TomorrowGift'!AM30</f>
        <v>1000000</v>
      </c>
      <c r="AG30" s="43">
        <f>'新手明日礼|TomorrowGift'!AN30</f>
        <v>2</v>
      </c>
      <c r="AH30" s="43">
        <f>'新手明日礼|TomorrowGift'!AO30</f>
        <v>1206</v>
      </c>
    </row>
    <row r="31" spans="1:34">
      <c r="A31" s="1" t="str">
        <f t="shared" si="17"/>
        <v>[6,1000,8,0.5833]</v>
      </c>
      <c r="B31" s="11">
        <v>6</v>
      </c>
      <c r="C31" s="12">
        <f>'翻牌机制|FlopRule'!I12</f>
        <v>1000</v>
      </c>
      <c r="D31" s="12">
        <v>0.5833</v>
      </c>
      <c r="E31" s="13">
        <f t="shared" si="18"/>
        <v>8</v>
      </c>
      <c r="F31" s="9">
        <v>2</v>
      </c>
      <c r="H31" s="21" t="s">
        <v>506</v>
      </c>
      <c r="AC31" s="43" t="str">
        <f>'新手明日礼|TomorrowGift'!AJ31</f>
        <v>1元话费卡</v>
      </c>
      <c r="AD31" s="44">
        <f>'新手明日礼|TomorrowGift'!AK31</f>
        <v>1</v>
      </c>
      <c r="AE31" s="44">
        <f>'新手明日礼|TomorrowGift'!AL31</f>
        <v>20</v>
      </c>
      <c r="AF31" s="44">
        <f>'新手明日礼|TomorrowGift'!AM31</f>
        <v>200000</v>
      </c>
      <c r="AG31" s="44">
        <f>'新手明日礼|TomorrowGift'!AN31</f>
        <v>2</v>
      </c>
      <c r="AH31" s="43">
        <f>'新手明日礼|TomorrowGift'!AO31</f>
        <v>1211</v>
      </c>
    </row>
    <row r="32" spans="1:34">
      <c r="A32" s="1" t="str">
        <f t="shared" si="17"/>
        <v>[7,1500,10,0.7711]</v>
      </c>
      <c r="B32" s="11">
        <v>7</v>
      </c>
      <c r="C32" s="12">
        <f>'翻牌机制|FlopRule'!I14</f>
        <v>1500</v>
      </c>
      <c r="D32" s="12">
        <v>0.7711</v>
      </c>
      <c r="E32" s="13">
        <f t="shared" si="18"/>
        <v>10</v>
      </c>
      <c r="F32" s="9">
        <v>2</v>
      </c>
      <c r="H32" s="21" t="s">
        <v>507</v>
      </c>
      <c r="AC32" s="2" t="str">
        <f>'新手明日礼|TomorrowGift'!AJ32</f>
        <v>闪电</v>
      </c>
      <c r="AD32" s="2">
        <f>'新手明日礼|TomorrowGift'!AK32</f>
        <v>0.5</v>
      </c>
      <c r="AE32" s="2">
        <f>'新手明日礼|TomorrowGift'!AL32</f>
        <v>10</v>
      </c>
      <c r="AF32" s="2">
        <f>'新手明日礼|TomorrowGift'!AM32*1.13</f>
        <v>113000</v>
      </c>
      <c r="AG32" s="2">
        <f>'新手明日礼|TomorrowGift'!AN32</f>
        <v>2</v>
      </c>
      <c r="AH32" s="2">
        <f>'新手明日礼|TomorrowGift'!AO32</f>
        <v>1603</v>
      </c>
    </row>
    <row r="33" spans="1:34">
      <c r="A33" s="1" t="str">
        <f t="shared" si="17"/>
        <v>[8,2000,13,1]</v>
      </c>
      <c r="B33" s="11">
        <v>8</v>
      </c>
      <c r="C33" s="12">
        <f>'翻牌机制|FlopRule'!I17</f>
        <v>2000</v>
      </c>
      <c r="D33" s="12">
        <v>1</v>
      </c>
      <c r="E33" s="13">
        <f t="shared" si="18"/>
        <v>13</v>
      </c>
      <c r="F33" s="9">
        <v>3</v>
      </c>
      <c r="H33" s="21" t="s">
        <v>508</v>
      </c>
      <c r="AC33" s="37" t="str">
        <f>'新手明日礼|TomorrowGift'!AJ33</f>
        <v>会员加量卡</v>
      </c>
      <c r="AD33">
        <f>'新手明日礼|TomorrowGift'!AK33</f>
        <v>1.5</v>
      </c>
      <c r="AE33">
        <f>'新手明日礼|TomorrowGift'!AL33</f>
        <v>30</v>
      </c>
      <c r="AF33">
        <f>'新手明日礼|TomorrowGift'!AM33</f>
        <v>300000</v>
      </c>
      <c r="AG33">
        <f>'新手明日礼|TomorrowGift'!AN33</f>
        <v>2</v>
      </c>
      <c r="AH33">
        <f>'新手明日礼|TomorrowGift'!AO33</f>
        <v>2001</v>
      </c>
    </row>
    <row r="34" ht="31.2" spans="5:34">
      <c r="E34" s="13"/>
      <c r="F34" s="9"/>
      <c r="AC34" s="39" t="str">
        <f>'新手明日礼|TomorrowGift'!AJ34</f>
        <v>Ⅰ级核弹碎片</v>
      </c>
      <c r="AD34" s="40">
        <f>'新手明日礼|TomorrowGift'!AK34</f>
        <v>0.25</v>
      </c>
      <c r="AE34" s="41">
        <f>'新手明日礼|TomorrowGift'!AL34</f>
        <v>5</v>
      </c>
      <c r="AF34" s="41">
        <f>'新手明日礼|TomorrowGift'!AM34</f>
        <v>50000</v>
      </c>
      <c r="AG34" s="40">
        <f>'新手明日礼|TomorrowGift'!AN34</f>
        <v>2</v>
      </c>
      <c r="AH34" s="50">
        <f>'新手明日礼|TomorrowGift'!AO34</f>
        <v>1015</v>
      </c>
    </row>
    <row r="35" ht="16.2" spans="6:34">
      <c r="F35" s="17"/>
      <c r="AC35" s="42" t="str">
        <f>'新手明日礼|TomorrowGift'!AJ35</f>
        <v>Ⅱ级核弹碎片</v>
      </c>
      <c r="AD35" s="43">
        <f>'新手明日礼|TomorrowGift'!AK35</f>
        <v>0.5</v>
      </c>
      <c r="AE35" s="43">
        <f>'新手明日礼|TomorrowGift'!AL35</f>
        <v>10</v>
      </c>
      <c r="AF35" s="44">
        <f>'新手明日礼|TomorrowGift'!AM35</f>
        <v>100000</v>
      </c>
      <c r="AG35" s="43">
        <f>'新手明日礼|TomorrowGift'!AN35</f>
        <v>2</v>
      </c>
      <c r="AH35" s="13">
        <f>'新手明日礼|TomorrowGift'!AO35</f>
        <v>1016</v>
      </c>
    </row>
    <row r="36" spans="1:34">
      <c r="A36" s="19"/>
      <c r="F36" s="9"/>
      <c r="AC36" s="42" t="str">
        <f>'新手明日礼|TomorrowGift'!AJ36</f>
        <v>Ⅲ级核弹碎片</v>
      </c>
      <c r="AD36" s="45">
        <f>'新手明日礼|TomorrowGift'!AK36</f>
        <v>1.25</v>
      </c>
      <c r="AE36" s="45">
        <f>'新手明日礼|TomorrowGift'!AL36</f>
        <v>25</v>
      </c>
      <c r="AF36" s="45">
        <f>'新手明日礼|TomorrowGift'!AM36</f>
        <v>250000</v>
      </c>
      <c r="AG36" s="43">
        <f>'新手明日礼|TomorrowGift'!AN36</f>
        <v>2</v>
      </c>
      <c r="AH36" s="13">
        <f>'新手明日礼|TomorrowGift'!AO36</f>
        <v>1017</v>
      </c>
    </row>
    <row r="37" spans="29:34">
      <c r="AC37" s="42" t="str">
        <f>'新手明日礼|TomorrowGift'!AJ37</f>
        <v>Ⅳ级核弹碎片</v>
      </c>
      <c r="AD37" s="46">
        <f>'新手明日礼|TomorrowGift'!AK37</f>
        <v>2.5</v>
      </c>
      <c r="AE37" s="47">
        <f>'新手明日礼|TomorrowGift'!AL37</f>
        <v>50</v>
      </c>
      <c r="AF37" s="47">
        <f>'新手明日礼|TomorrowGift'!AM37</f>
        <v>500000</v>
      </c>
      <c r="AG37" s="43">
        <f>'新手明日礼|TomorrowGift'!AN37</f>
        <v>2</v>
      </c>
      <c r="AH37" s="13">
        <f>'新手明日礼|TomorrowGift'!AO37</f>
        <v>1018</v>
      </c>
    </row>
    <row r="38" spans="29:34">
      <c r="AC38" s="42">
        <f>'新手明日礼|TomorrowGift'!AJ38</f>
        <v>0</v>
      </c>
      <c r="AD38" s="43">
        <f>'新手明日礼|TomorrowGift'!AK38</f>
        <v>0</v>
      </c>
      <c r="AE38" s="43">
        <f>'新手明日礼|TomorrowGift'!AL38</f>
        <v>0</v>
      </c>
      <c r="AF38" s="44">
        <f>'新手明日礼|TomorrowGift'!AM38</f>
        <v>0</v>
      </c>
      <c r="AG38" s="43">
        <f>'新手明日礼|TomorrowGift'!AN38</f>
        <v>0</v>
      </c>
      <c r="AH38" s="13">
        <f>'新手明日礼|TomorrowGift'!AO38</f>
        <v>0</v>
      </c>
    </row>
    <row r="39" spans="29:34">
      <c r="AC39" s="42">
        <f>'新手明日礼|TomorrowGift'!AJ39</f>
        <v>0</v>
      </c>
      <c r="AD39" s="43">
        <f>'新手明日礼|TomorrowGift'!AK39</f>
        <v>0</v>
      </c>
      <c r="AE39" s="43">
        <f>'新手明日礼|TomorrowGift'!AL39</f>
        <v>0</v>
      </c>
      <c r="AF39" s="44">
        <f>'新手明日礼|TomorrowGift'!AM39</f>
        <v>0</v>
      </c>
      <c r="AG39" s="43">
        <f>'新手明日礼|TomorrowGift'!AN39</f>
        <v>0</v>
      </c>
      <c r="AH39" s="13">
        <f>'新手明日礼|TomorrowGift'!AO39</f>
        <v>0</v>
      </c>
    </row>
    <row r="40" spans="29:34">
      <c r="AC40" s="42">
        <f>'新手明日礼|TomorrowGift'!AJ40</f>
        <v>0</v>
      </c>
      <c r="AD40" s="45">
        <f>'新手明日礼|TomorrowGift'!AK40</f>
        <v>0</v>
      </c>
      <c r="AE40" s="45">
        <f>'新手明日礼|TomorrowGift'!AL40</f>
        <v>0</v>
      </c>
      <c r="AF40" s="44">
        <f>'新手明日礼|TomorrowGift'!AM40</f>
        <v>0</v>
      </c>
      <c r="AG40" s="43">
        <f>'新手明日礼|TomorrowGift'!AN40</f>
        <v>0</v>
      </c>
      <c r="AH40" s="13">
        <f>'新手明日礼|TomorrowGift'!AO40</f>
        <v>0</v>
      </c>
    </row>
  </sheetData>
  <mergeCells count="6">
    <mergeCell ref="L3:P3"/>
    <mergeCell ref="Q3:U3"/>
    <mergeCell ref="V3:Z3"/>
    <mergeCell ref="L18:P18"/>
    <mergeCell ref="Q18:U18"/>
    <mergeCell ref="V18:Z18"/>
  </mergeCells>
  <conditionalFormatting sqref="G1">
    <cfRule type="containsText" dxfId="0" priority="182" operator="between" text=" ">
      <formula>NOT(ISERROR(SEARCH(" ",G1)))</formula>
    </cfRule>
  </conditionalFormatting>
  <conditionalFormatting sqref="U4">
    <cfRule type="containsText" dxfId="0" priority="131" operator="between" text=" ">
      <formula>NOT(ISERROR(SEARCH(" ",U4)))</formula>
    </cfRule>
  </conditionalFormatting>
  <conditionalFormatting sqref="Z4">
    <cfRule type="containsText" dxfId="0" priority="130" operator="between" text=" ">
      <formula>NOT(ISERROR(SEARCH(" ",Z4)))</formula>
    </cfRule>
  </conditionalFormatting>
  <conditionalFormatting sqref="L5">
    <cfRule type="containsText" dxfId="0" priority="109" operator="between" text=" ">
      <formula>NOT(ISERROR(SEARCH(" ",L5)))</formula>
    </cfRule>
  </conditionalFormatting>
  <conditionalFormatting sqref="O5">
    <cfRule type="containsText" dxfId="0" priority="107" operator="between" text=" ">
      <formula>NOT(ISERROR(SEARCH(" ",O5)))</formula>
    </cfRule>
  </conditionalFormatting>
  <conditionalFormatting sqref="T5">
    <cfRule type="containsText" dxfId="0" priority="92" operator="between" text=" ">
      <formula>NOT(ISERROR(SEARCH(" ",T5)))</formula>
    </cfRule>
  </conditionalFormatting>
  <conditionalFormatting sqref="Y5">
    <cfRule type="containsText" dxfId="0" priority="76" operator="between" text=" ">
      <formula>NOT(ISERROR(SEARCH(" ",Y5)))</formula>
    </cfRule>
  </conditionalFormatting>
  <conditionalFormatting sqref="L6">
    <cfRule type="containsText" dxfId="0" priority="113" operator="between" text=" ">
      <formula>NOT(ISERROR(SEARCH(" ",L6)))</formula>
    </cfRule>
  </conditionalFormatting>
  <conditionalFormatting sqref="L7">
    <cfRule type="containsText" dxfId="0" priority="114" operator="between" text=" ">
      <formula>NOT(ISERROR(SEARCH(" ",L7)))</formula>
    </cfRule>
  </conditionalFormatting>
  <conditionalFormatting sqref="AB7">
    <cfRule type="containsText" dxfId="0" priority="221" operator="between" text=" ">
      <formula>NOT(ISERROR(SEARCH(" ",AB7)))</formula>
    </cfRule>
  </conditionalFormatting>
  <conditionalFormatting sqref="L8">
    <cfRule type="containsText" dxfId="0" priority="112" operator="between" text=" ">
      <formula>NOT(ISERROR(SEARCH(" ",L8)))</formula>
    </cfRule>
  </conditionalFormatting>
  <conditionalFormatting sqref="O8">
    <cfRule type="containsText" dxfId="0" priority="106" operator="between" text=" ">
      <formula>NOT(ISERROR(SEARCH(" ",O8)))</formula>
    </cfRule>
  </conditionalFormatting>
  <conditionalFormatting sqref="Q8">
    <cfRule type="containsText" dxfId="0" priority="98" operator="between" text=" ">
      <formula>NOT(ISERROR(SEARCH(" ",Q8)))</formula>
    </cfRule>
  </conditionalFormatting>
  <conditionalFormatting sqref="T8">
    <cfRule type="containsText" dxfId="0" priority="91" operator="between" text=" ">
      <formula>NOT(ISERROR(SEARCH(" ",T8)))</formula>
    </cfRule>
  </conditionalFormatting>
  <conditionalFormatting sqref="V8">
    <cfRule type="containsText" dxfId="0" priority="80" operator="between" text=" ">
      <formula>NOT(ISERROR(SEARCH(" ",V8)))</formula>
    </cfRule>
  </conditionalFormatting>
  <conditionalFormatting sqref="Y8">
    <cfRule type="containsText" dxfId="0" priority="75" operator="between" text=" ">
      <formula>NOT(ISERROR(SEARCH(" ",Y8)))</formula>
    </cfRule>
  </conditionalFormatting>
  <conditionalFormatting sqref="AB8">
    <cfRule type="containsText" dxfId="0" priority="220" operator="between" text=" ">
      <formula>NOT(ISERROR(SEARCH(" ",AB8)))</formula>
    </cfRule>
  </conditionalFormatting>
  <conditionalFormatting sqref="L9">
    <cfRule type="containsText" dxfId="0" priority="115" operator="between" text=" ">
      <formula>NOT(ISERROR(SEARCH(" ",L9)))</formula>
    </cfRule>
  </conditionalFormatting>
  <conditionalFormatting sqref="O9">
    <cfRule type="containsText" dxfId="0" priority="104" operator="between" text=" ">
      <formula>NOT(ISERROR(SEARCH(" ",O9)))</formula>
    </cfRule>
  </conditionalFormatting>
  <conditionalFormatting sqref="Q9">
    <cfRule type="containsText" dxfId="0" priority="99" operator="between" text=" ">
      <formula>NOT(ISERROR(SEARCH(" ",Q9)))</formula>
    </cfRule>
  </conditionalFormatting>
  <conditionalFormatting sqref="T9">
    <cfRule type="containsText" dxfId="0" priority="90" operator="between" text=" ">
      <formula>NOT(ISERROR(SEARCH(" ",T9)))</formula>
    </cfRule>
  </conditionalFormatting>
  <conditionalFormatting sqref="V9">
    <cfRule type="containsText" dxfId="0" priority="82" operator="between" text=" ">
      <formula>NOT(ISERROR(SEARCH(" ",V9)))</formula>
    </cfRule>
  </conditionalFormatting>
  <conditionalFormatting sqref="AB9">
    <cfRule type="containsText" dxfId="0" priority="219" operator="between" text=" ">
      <formula>NOT(ISERROR(SEARCH(" ",AB9)))</formula>
    </cfRule>
  </conditionalFormatting>
  <conditionalFormatting sqref="L10">
    <cfRule type="containsText" dxfId="0" priority="111" operator="between" text=" ">
      <formula>NOT(ISERROR(SEARCH(" ",L10)))</formula>
    </cfRule>
  </conditionalFormatting>
  <conditionalFormatting sqref="O10">
    <cfRule type="containsText" dxfId="0" priority="105" operator="between" text=" ">
      <formula>NOT(ISERROR(SEARCH(" ",O10)))</formula>
    </cfRule>
  </conditionalFormatting>
  <conditionalFormatting sqref="Q10">
    <cfRule type="containsText" dxfId="0" priority="97" operator="between" text=" ">
      <formula>NOT(ISERROR(SEARCH(" ",Q10)))</formula>
    </cfRule>
  </conditionalFormatting>
  <conditionalFormatting sqref="T10">
    <cfRule type="containsText" dxfId="0" priority="89" operator="between" text=" ">
      <formula>NOT(ISERROR(SEARCH(" ",T10)))</formula>
    </cfRule>
  </conditionalFormatting>
  <conditionalFormatting sqref="V10">
    <cfRule type="containsText" dxfId="0" priority="79" operator="between" text=" ">
      <formula>NOT(ISERROR(SEARCH(" ",V10)))</formula>
    </cfRule>
  </conditionalFormatting>
  <conditionalFormatting sqref="AB10">
    <cfRule type="containsText" dxfId="0" priority="218" operator="between" text=" ">
      <formula>NOT(ISERROR(SEARCH(" ",AB10)))</formula>
    </cfRule>
  </conditionalFormatting>
  <conditionalFormatting sqref="L11">
    <cfRule type="containsText" dxfId="0" priority="116" operator="between" text=" ">
      <formula>NOT(ISERROR(SEARCH(" ",L11)))</formula>
    </cfRule>
  </conditionalFormatting>
  <conditionalFormatting sqref="O11">
    <cfRule type="containsText" dxfId="0" priority="103" operator="between" text=" ">
      <formula>NOT(ISERROR(SEARCH(" ",O11)))</formula>
    </cfRule>
  </conditionalFormatting>
  <conditionalFormatting sqref="Q11">
    <cfRule type="containsText" dxfId="0" priority="95" operator="between" text=" ">
      <formula>NOT(ISERROR(SEARCH(" ",Q11)))</formula>
    </cfRule>
  </conditionalFormatting>
  <conditionalFormatting sqref="T11">
    <cfRule type="containsText" dxfId="0" priority="88" operator="between" text=" ">
      <formula>NOT(ISERROR(SEARCH(" ",T11)))</formula>
    </cfRule>
  </conditionalFormatting>
  <conditionalFormatting sqref="V11">
    <cfRule type="containsText" dxfId="0" priority="84" operator="between" text=" ">
      <formula>NOT(ISERROR(SEARCH(" ",V11)))</formula>
    </cfRule>
  </conditionalFormatting>
  <conditionalFormatting sqref="Y11">
    <cfRule type="containsText" dxfId="0" priority="73" operator="between" text=" ">
      <formula>NOT(ISERROR(SEARCH(" ",Y11)))</formula>
    </cfRule>
  </conditionalFormatting>
  <conditionalFormatting sqref="AB11">
    <cfRule type="containsText" dxfId="0" priority="217" operator="between" text=" ">
      <formula>NOT(ISERROR(SEARCH(" ",AB11)))</formula>
    </cfRule>
  </conditionalFormatting>
  <conditionalFormatting sqref="AF11">
    <cfRule type="containsText" dxfId="0" priority="136" operator="between" text=" ">
      <formula>NOT(ISERROR(SEARCH(" ",AF11)))</formula>
    </cfRule>
  </conditionalFormatting>
  <conditionalFormatting sqref="L12">
    <cfRule type="containsText" dxfId="0" priority="110" operator="between" text=" ">
      <formula>NOT(ISERROR(SEARCH(" ",L12)))</formula>
    </cfRule>
  </conditionalFormatting>
  <conditionalFormatting sqref="O12">
    <cfRule type="containsText" dxfId="0" priority="101" operator="between" text=" ">
      <formula>NOT(ISERROR(SEARCH(" ",O12)))</formula>
    </cfRule>
  </conditionalFormatting>
  <conditionalFormatting sqref="Q12">
    <cfRule type="containsText" dxfId="0" priority="96" operator="between" text=" ">
      <formula>NOT(ISERROR(SEARCH(" ",Q12)))</formula>
    </cfRule>
  </conditionalFormatting>
  <conditionalFormatting sqref="T12">
    <cfRule type="containsText" dxfId="0" priority="87" operator="between" text=" ">
      <formula>NOT(ISERROR(SEARCH(" ",T12)))</formula>
    </cfRule>
  </conditionalFormatting>
  <conditionalFormatting sqref="V12">
    <cfRule type="containsText" dxfId="0" priority="78" operator="between" text=" ">
      <formula>NOT(ISERROR(SEARCH(" ",V12)))</formula>
    </cfRule>
  </conditionalFormatting>
  <conditionalFormatting sqref="AF12">
    <cfRule type="containsText" dxfId="0" priority="133" operator="between" text=" ">
      <formula>NOT(ISERROR(SEARCH(" ",AF12)))</formula>
    </cfRule>
  </conditionalFormatting>
  <conditionalFormatting sqref="AH12">
    <cfRule type="containsText" dxfId="0" priority="148" operator="between" text=" ">
      <formula>NOT(ISERROR(SEARCH(" ",AH12)))</formula>
    </cfRule>
  </conditionalFormatting>
  <conditionalFormatting sqref="L13">
    <cfRule type="containsText" dxfId="0" priority="117" operator="between" text=" ">
      <formula>NOT(ISERROR(SEARCH(" ",L13)))</formula>
    </cfRule>
  </conditionalFormatting>
  <conditionalFormatting sqref="O13">
    <cfRule type="containsText" dxfId="0" priority="102" operator="between" text=" ">
      <formula>NOT(ISERROR(SEARCH(" ",O13)))</formula>
    </cfRule>
  </conditionalFormatting>
  <conditionalFormatting sqref="Q13">
    <cfRule type="containsText" dxfId="0" priority="94" operator="between" text=" ">
      <formula>NOT(ISERROR(SEARCH(" ",Q13)))</formula>
    </cfRule>
  </conditionalFormatting>
  <conditionalFormatting sqref="T13">
    <cfRule type="containsText" dxfId="0" priority="86" operator="between" text=" ">
      <formula>NOT(ISERROR(SEARCH(" ",T13)))</formula>
    </cfRule>
  </conditionalFormatting>
  <conditionalFormatting sqref="V13">
    <cfRule type="containsText" dxfId="0" priority="83" operator="between" text=" ">
      <formula>NOT(ISERROR(SEARCH(" ",V13)))</formula>
    </cfRule>
  </conditionalFormatting>
  <conditionalFormatting sqref="A14">
    <cfRule type="containsText" dxfId="0" priority="163" operator="between" text=" ">
      <formula>NOT(ISERROR(SEARCH(" ",A14)))</formula>
    </cfRule>
  </conditionalFormatting>
  <conditionalFormatting sqref="L14:P14">
    <cfRule type="containsText" dxfId="0" priority="206" operator="between" text=" ">
      <formula>NOT(ISERROR(SEARCH(" ",L14)))</formula>
    </cfRule>
  </conditionalFormatting>
  <conditionalFormatting sqref="Q14:U14">
    <cfRule type="containsText" dxfId="0" priority="201" operator="between" text=" ">
      <formula>NOT(ISERROR(SEARCH(" ",Q14)))</formula>
    </cfRule>
  </conditionalFormatting>
  <conditionalFormatting sqref="V14:Z14">
    <cfRule type="containsText" dxfId="0" priority="197" operator="between" text=" ">
      <formula>NOT(ISERROR(SEARCH(" ",V14)))</formula>
    </cfRule>
  </conditionalFormatting>
  <conditionalFormatting sqref="AC17:AD17">
    <cfRule type="containsText" dxfId="0" priority="145" operator="between" text=" ">
      <formula>NOT(ISERROR(SEARCH(" ",AC17)))</formula>
    </cfRule>
  </conditionalFormatting>
  <conditionalFormatting sqref="AC18:AD18">
    <cfRule type="containsText" dxfId="0" priority="144" operator="between" text=" ">
      <formula>NOT(ISERROR(SEARCH(" ",AC18)))</formula>
    </cfRule>
  </conditionalFormatting>
  <conditionalFormatting sqref="AH19">
    <cfRule type="containsText" dxfId="0" priority="143" operator="between" text=" ">
      <formula>NOT(ISERROR(SEARCH(" ",AH19)))</formula>
    </cfRule>
  </conditionalFormatting>
  <conditionalFormatting sqref="O21">
    <cfRule type="containsText" dxfId="0" priority="161" operator="between" text=" ">
      <formula>NOT(ISERROR(SEARCH(" ",O21)))</formula>
    </cfRule>
  </conditionalFormatting>
  <conditionalFormatting sqref="T21">
    <cfRule type="containsText" dxfId="0" priority="158" operator="between" text=" ">
      <formula>NOT(ISERROR(SEARCH(" ",T21)))</formula>
    </cfRule>
  </conditionalFormatting>
  <conditionalFormatting sqref="Y21">
    <cfRule type="containsText" dxfId="0" priority="156" operator="between" text=" ">
      <formula>NOT(ISERROR(SEARCH(" ",Y21)))</formula>
    </cfRule>
  </conditionalFormatting>
  <conditionalFormatting sqref="G22">
    <cfRule type="containsText" dxfId="0" priority="57" operator="between" text=" ">
      <formula>NOT(ISERROR(SEARCH(" ",G22)))</formula>
    </cfRule>
  </conditionalFormatting>
  <conditionalFormatting sqref="U25">
    <cfRule type="containsText" dxfId="0" priority="55" operator="between" text=" ">
      <formula>NOT(ISERROR(SEARCH(" ",U25)))</formula>
    </cfRule>
  </conditionalFormatting>
  <conditionalFormatting sqref="Z25">
    <cfRule type="containsText" dxfId="0" priority="54" operator="between" text=" ">
      <formula>NOT(ISERROR(SEARCH(" ",Z25)))</formula>
    </cfRule>
  </conditionalFormatting>
  <conditionalFormatting sqref="L26">
    <cfRule type="containsText" dxfId="0" priority="41" operator="between" text=" ">
      <formula>NOT(ISERROR(SEARCH(" ",L26)))</formula>
    </cfRule>
  </conditionalFormatting>
  <conditionalFormatting sqref="O26">
    <cfRule type="containsText" dxfId="0" priority="39" operator="between" text=" ">
      <formula>NOT(ISERROR(SEARCH(" ",O26)))</formula>
    </cfRule>
  </conditionalFormatting>
  <conditionalFormatting sqref="T26">
    <cfRule type="containsText" dxfId="0" priority="24" operator="between" text=" ">
      <formula>NOT(ISERROR(SEARCH(" ",T26)))</formula>
    </cfRule>
  </conditionalFormatting>
  <conditionalFormatting sqref="Y26">
    <cfRule type="containsText" dxfId="0" priority="8" operator="between" text=" ">
      <formula>NOT(ISERROR(SEARCH(" ",Y26)))</formula>
    </cfRule>
  </conditionalFormatting>
  <conditionalFormatting sqref="L27">
    <cfRule type="containsText" dxfId="0" priority="45" operator="between" text=" ">
      <formula>NOT(ISERROR(SEARCH(" ",L27)))</formula>
    </cfRule>
  </conditionalFormatting>
  <conditionalFormatting sqref="AE27">
    <cfRule type="containsText" dxfId="0" priority="134" operator="between" text=" ">
      <formula>NOT(ISERROR(SEARCH(" ",AE27)))</formula>
    </cfRule>
  </conditionalFormatting>
  <conditionalFormatting sqref="L28">
    <cfRule type="containsText" dxfId="0" priority="46" operator="between" text=" ">
      <formula>NOT(ISERROR(SEARCH(" ",L28)))</formula>
    </cfRule>
  </conditionalFormatting>
  <conditionalFormatting sqref="L29">
    <cfRule type="containsText" dxfId="0" priority="44" operator="between" text=" ">
      <formula>NOT(ISERROR(SEARCH(" ",L29)))</formula>
    </cfRule>
  </conditionalFormatting>
  <conditionalFormatting sqref="O29">
    <cfRule type="containsText" dxfId="0" priority="38" operator="between" text=" ">
      <formula>NOT(ISERROR(SEARCH(" ",O29)))</formula>
    </cfRule>
  </conditionalFormatting>
  <conditionalFormatting sqref="Q29">
    <cfRule type="containsText" dxfId="0" priority="30" operator="between" text=" ">
      <formula>NOT(ISERROR(SEARCH(" ",Q29)))</formula>
    </cfRule>
  </conditionalFormatting>
  <conditionalFormatting sqref="T29">
    <cfRule type="containsText" dxfId="0" priority="23" operator="between" text=" ">
      <formula>NOT(ISERROR(SEARCH(" ",T29)))</formula>
    </cfRule>
  </conditionalFormatting>
  <conditionalFormatting sqref="V29">
    <cfRule type="containsText" dxfId="0" priority="12" operator="between" text=" ">
      <formula>NOT(ISERROR(SEARCH(" ",V29)))</formula>
    </cfRule>
  </conditionalFormatting>
  <conditionalFormatting sqref="Y29">
    <cfRule type="containsText" dxfId="0" priority="7" operator="between" text=" ">
      <formula>NOT(ISERROR(SEARCH(" ",Y29)))</formula>
    </cfRule>
  </conditionalFormatting>
  <conditionalFormatting sqref="L30">
    <cfRule type="containsText" dxfId="0" priority="47" operator="between" text=" ">
      <formula>NOT(ISERROR(SEARCH(" ",L30)))</formula>
    </cfRule>
  </conditionalFormatting>
  <conditionalFormatting sqref="O30">
    <cfRule type="containsText" dxfId="0" priority="36" operator="between" text=" ">
      <formula>NOT(ISERROR(SEARCH(" ",O30)))</formula>
    </cfRule>
  </conditionalFormatting>
  <conditionalFormatting sqref="Q30">
    <cfRule type="containsText" dxfId="0" priority="31" operator="between" text=" ">
      <formula>NOT(ISERROR(SEARCH(" ",Q30)))</formula>
    </cfRule>
  </conditionalFormatting>
  <conditionalFormatting sqref="T30">
    <cfRule type="containsText" dxfId="0" priority="22" operator="between" text=" ">
      <formula>NOT(ISERROR(SEARCH(" ",T30)))</formula>
    </cfRule>
  </conditionalFormatting>
  <conditionalFormatting sqref="V30">
    <cfRule type="containsText" dxfId="0" priority="14" operator="between" text=" ">
      <formula>NOT(ISERROR(SEARCH(" ",V30)))</formula>
    </cfRule>
  </conditionalFormatting>
  <conditionalFormatting sqref="L31">
    <cfRule type="containsText" dxfId="0" priority="43" operator="between" text=" ">
      <formula>NOT(ISERROR(SEARCH(" ",L31)))</formula>
    </cfRule>
  </conditionalFormatting>
  <conditionalFormatting sqref="O31">
    <cfRule type="containsText" dxfId="0" priority="37" operator="between" text=" ">
      <formula>NOT(ISERROR(SEARCH(" ",O31)))</formula>
    </cfRule>
  </conditionalFormatting>
  <conditionalFormatting sqref="Q31">
    <cfRule type="containsText" dxfId="0" priority="29" operator="between" text=" ">
      <formula>NOT(ISERROR(SEARCH(" ",Q31)))</formula>
    </cfRule>
  </conditionalFormatting>
  <conditionalFormatting sqref="T31">
    <cfRule type="containsText" dxfId="0" priority="21" operator="between" text=" ">
      <formula>NOT(ISERROR(SEARCH(" ",T31)))</formula>
    </cfRule>
  </conditionalFormatting>
  <conditionalFormatting sqref="V31">
    <cfRule type="containsText" dxfId="0" priority="11" operator="between" text=" ">
      <formula>NOT(ISERROR(SEARCH(" ",V31)))</formula>
    </cfRule>
  </conditionalFormatting>
  <conditionalFormatting sqref="AC31">
    <cfRule type="containsText" dxfId="0" priority="140" operator="between" text=" ">
      <formula>NOT(ISERROR(SEARCH(" ",AC31)))</formula>
    </cfRule>
  </conditionalFormatting>
  <conditionalFormatting sqref="L32">
    <cfRule type="containsText" dxfId="0" priority="48" operator="between" text=" ">
      <formula>NOT(ISERROR(SEARCH(" ",L32)))</formula>
    </cfRule>
  </conditionalFormatting>
  <conditionalFormatting sqref="O32">
    <cfRule type="containsText" dxfId="0" priority="35" operator="between" text=" ">
      <formula>NOT(ISERROR(SEARCH(" ",O32)))</formula>
    </cfRule>
  </conditionalFormatting>
  <conditionalFormatting sqref="Q32">
    <cfRule type="containsText" dxfId="0" priority="27" operator="between" text=" ">
      <formula>NOT(ISERROR(SEARCH(" ",Q32)))</formula>
    </cfRule>
  </conditionalFormatting>
  <conditionalFormatting sqref="T32">
    <cfRule type="containsText" dxfId="0" priority="20" operator="between" text=" ">
      <formula>NOT(ISERROR(SEARCH(" ",T32)))</formula>
    </cfRule>
  </conditionalFormatting>
  <conditionalFormatting sqref="V32">
    <cfRule type="containsText" dxfId="0" priority="16" operator="between" text=" ">
      <formula>NOT(ISERROR(SEARCH(" ",V32)))</formula>
    </cfRule>
  </conditionalFormatting>
  <conditionalFormatting sqref="Y32">
    <cfRule type="containsText" dxfId="0" priority="5" operator="between" text=" ">
      <formula>NOT(ISERROR(SEARCH(" ",Y32)))</formula>
    </cfRule>
  </conditionalFormatting>
  <conditionalFormatting sqref="L33">
    <cfRule type="containsText" dxfId="0" priority="42" operator="between" text=" ">
      <formula>NOT(ISERROR(SEARCH(" ",L33)))</formula>
    </cfRule>
  </conditionalFormatting>
  <conditionalFormatting sqref="O33">
    <cfRule type="containsText" dxfId="0" priority="33" operator="between" text=" ">
      <formula>NOT(ISERROR(SEARCH(" ",O33)))</formula>
    </cfRule>
  </conditionalFormatting>
  <conditionalFormatting sqref="Q33">
    <cfRule type="containsText" dxfId="0" priority="28" operator="between" text=" ">
      <formula>NOT(ISERROR(SEARCH(" ",Q33)))</formula>
    </cfRule>
  </conditionalFormatting>
  <conditionalFormatting sqref="T33">
    <cfRule type="containsText" dxfId="0" priority="19" operator="between" text=" ">
      <formula>NOT(ISERROR(SEARCH(" ",T33)))</formula>
    </cfRule>
  </conditionalFormatting>
  <conditionalFormatting sqref="V33">
    <cfRule type="containsText" dxfId="0" priority="10" operator="between" text=" ">
      <formula>NOT(ISERROR(SEARCH(" ",V33)))</formula>
    </cfRule>
  </conditionalFormatting>
  <conditionalFormatting sqref="B34:D34">
    <cfRule type="containsText" dxfId="0" priority="1" operator="between" text=" ">
      <formula>NOT(ISERROR(SEARCH(" ",B34)))</formula>
    </cfRule>
  </conditionalFormatting>
  <conditionalFormatting sqref="L34">
    <cfRule type="containsText" dxfId="0" priority="49" operator="between" text=" ">
      <formula>NOT(ISERROR(SEARCH(" ",L34)))</formula>
    </cfRule>
  </conditionalFormatting>
  <conditionalFormatting sqref="O34">
    <cfRule type="containsText" dxfId="0" priority="34" operator="between" text=" ">
      <formula>NOT(ISERROR(SEARCH(" ",O34)))</formula>
    </cfRule>
  </conditionalFormatting>
  <conditionalFormatting sqref="Q34">
    <cfRule type="containsText" dxfId="0" priority="26" operator="between" text=" ">
      <formula>NOT(ISERROR(SEARCH(" ",Q34)))</formula>
    </cfRule>
  </conditionalFormatting>
  <conditionalFormatting sqref="T34">
    <cfRule type="containsText" dxfId="0" priority="18" operator="between" text=" ">
      <formula>NOT(ISERROR(SEARCH(" ",T34)))</formula>
    </cfRule>
  </conditionalFormatting>
  <conditionalFormatting sqref="V34">
    <cfRule type="containsText" dxfId="0" priority="15" operator="between" text=" ">
      <formula>NOT(ISERROR(SEARCH(" ",V34)))</formula>
    </cfRule>
  </conditionalFormatting>
  <conditionalFormatting sqref="A35">
    <cfRule type="containsText" dxfId="0" priority="56" operator="between" text=" ">
      <formula>NOT(ISERROR(SEARCH(" ",A35)))</formula>
    </cfRule>
  </conditionalFormatting>
  <conditionalFormatting sqref="L35:P35">
    <cfRule type="containsText" dxfId="0" priority="66" operator="between" text=" ">
      <formula>NOT(ISERROR(SEARCH(" ",L35)))</formula>
    </cfRule>
  </conditionalFormatting>
  <conditionalFormatting sqref="Q35:U35">
    <cfRule type="containsText" dxfId="0" priority="62" operator="between" text=" ">
      <formula>NOT(ISERROR(SEARCH(" ",Q35)))</formula>
    </cfRule>
  </conditionalFormatting>
  <conditionalFormatting sqref="V35:Z35">
    <cfRule type="containsText" dxfId="0" priority="59" operator="between" text=" ">
      <formula>NOT(ISERROR(SEARCH(" ",V35)))</formula>
    </cfRule>
  </conditionalFormatting>
  <conditionalFormatting sqref="L36:P36">
    <cfRule type="containsText" dxfId="0" priority="68" operator="between" text=" ">
      <formula>NOT(ISERROR(SEARCH(" ",L36)))</formula>
    </cfRule>
  </conditionalFormatting>
  <conditionalFormatting sqref="Q36:U36">
    <cfRule type="containsText" dxfId="0" priority="64" operator="between" text=" ">
      <formula>NOT(ISERROR(SEARCH(" ",Q36)))</formula>
    </cfRule>
  </conditionalFormatting>
  <conditionalFormatting sqref="V36:Z36">
    <cfRule type="containsText" dxfId="0" priority="61" operator="between" text=" ">
      <formula>NOT(ISERROR(SEARCH(" ",V36)))</formula>
    </cfRule>
  </conditionalFormatting>
  <conditionalFormatting sqref="C9:C10">
    <cfRule type="containsText" dxfId="0" priority="70" operator="between" text=" ">
      <formula>NOT(ISERROR(SEARCH(" ",C9)))</formula>
    </cfRule>
  </conditionalFormatting>
  <conditionalFormatting sqref="C30:C31">
    <cfRule type="containsText" dxfId="0" priority="2" operator="between" text=" ">
      <formula>NOT(ISERROR(SEARCH(" ",C30)))</formula>
    </cfRule>
  </conditionalFormatting>
  <conditionalFormatting sqref="D20:D21">
    <cfRule type="containsText" dxfId="0" priority="154" operator="between" text=" ">
      <formula>NOT(ISERROR(SEARCH(" ",D20)))</formula>
    </cfRule>
  </conditionalFormatting>
  <conditionalFormatting sqref="E5:E13">
    <cfRule type="containsText" dxfId="0" priority="205" operator="between" text=" ">
      <formula>NOT(ISERROR(SEARCH(" ",E5)))</formula>
    </cfRule>
  </conditionalFormatting>
  <conditionalFormatting sqref="E20:E21">
    <cfRule type="containsText" dxfId="0" priority="153" operator="between" text=" ">
      <formula>NOT(ISERROR(SEARCH(" ",E20)))</formula>
    </cfRule>
  </conditionalFormatting>
  <conditionalFormatting sqref="E26:E34">
    <cfRule type="containsText" dxfId="0" priority="65" operator="between" text=" ">
      <formula>NOT(ISERROR(SEARCH(" ",E26)))</formula>
    </cfRule>
  </conditionalFormatting>
  <conditionalFormatting sqref="F20:F21">
    <cfRule type="containsText" dxfId="0" priority="159" operator="between" text=" ">
      <formula>NOT(ISERROR(SEARCH(" ",F20)))</formula>
    </cfRule>
  </conditionalFormatting>
  <conditionalFormatting sqref="O6:O7">
    <cfRule type="containsText" dxfId="0" priority="108" operator="between" text=" ">
      <formula>NOT(ISERROR(SEARCH(" ",O6)))</formula>
    </cfRule>
  </conditionalFormatting>
  <conditionalFormatting sqref="O27:O28">
    <cfRule type="containsText" dxfId="0" priority="40" operator="between" text=" ">
      <formula>NOT(ISERROR(SEARCH(" ",O27)))</formula>
    </cfRule>
  </conditionalFormatting>
  <conditionalFormatting sqref="Q5:Q7">
    <cfRule type="containsText" dxfId="0" priority="100" operator="between" text=" ">
      <formula>NOT(ISERROR(SEARCH(" ",Q5)))</formula>
    </cfRule>
  </conditionalFormatting>
  <conditionalFormatting sqref="Q26:Q28">
    <cfRule type="containsText" dxfId="0" priority="32" operator="between" text=" ">
      <formula>NOT(ISERROR(SEARCH(" ",Q26)))</formula>
    </cfRule>
  </conditionalFormatting>
  <conditionalFormatting sqref="T6:T7">
    <cfRule type="containsText" dxfId="0" priority="93" operator="between" text=" ">
      <formula>NOT(ISERROR(SEARCH(" ",T6)))</formula>
    </cfRule>
  </conditionalFormatting>
  <conditionalFormatting sqref="T27:T28">
    <cfRule type="containsText" dxfId="0" priority="25" operator="between" text=" ">
      <formula>NOT(ISERROR(SEARCH(" ",T27)))</formula>
    </cfRule>
  </conditionalFormatting>
  <conditionalFormatting sqref="U5:U13">
    <cfRule type="containsText" dxfId="0" priority="128" operator="between" text=" ">
      <formula>NOT(ISERROR(SEARCH(" ",U5)))</formula>
    </cfRule>
  </conditionalFormatting>
  <conditionalFormatting sqref="U26:U34">
    <cfRule type="containsText" dxfId="0" priority="52" operator="between" text=" ">
      <formula>NOT(ISERROR(SEARCH(" ",U26)))</formula>
    </cfRule>
  </conditionalFormatting>
  <conditionalFormatting sqref="V5:V13">
    <cfRule type="cellIs" dxfId="5" priority="81" operator="equal">
      <formula>"闪电"</formula>
    </cfRule>
  </conditionalFormatting>
  <conditionalFormatting sqref="V5:V7">
    <cfRule type="containsText" dxfId="0" priority="85" operator="between" text=" ">
      <formula>NOT(ISERROR(SEARCH(" ",V5)))</formula>
    </cfRule>
  </conditionalFormatting>
  <conditionalFormatting sqref="V26:V34">
    <cfRule type="cellIs" dxfId="5" priority="13" operator="equal">
      <formula>"闪电"</formula>
    </cfRule>
  </conditionalFormatting>
  <conditionalFormatting sqref="V26:V28">
    <cfRule type="containsText" dxfId="0" priority="17" operator="between" text=" ">
      <formula>NOT(ISERROR(SEARCH(" ",V26)))</formula>
    </cfRule>
  </conditionalFormatting>
  <conditionalFormatting sqref="Y6:Y7">
    <cfRule type="containsText" dxfId="0" priority="77" operator="between" text=" ">
      <formula>NOT(ISERROR(SEARCH(" ",Y6)))</formula>
    </cfRule>
  </conditionalFormatting>
  <conditionalFormatting sqref="Y9:Y10">
    <cfRule type="containsText" dxfId="0" priority="74" operator="between" text=" ">
      <formula>NOT(ISERROR(SEARCH(" ",Y9)))</formula>
    </cfRule>
  </conditionalFormatting>
  <conditionalFormatting sqref="Y12:Y13">
    <cfRule type="containsText" dxfId="0" priority="72" operator="between" text=" ">
      <formula>NOT(ISERROR(SEARCH(" ",Y12)))</formula>
    </cfRule>
  </conditionalFormatting>
  <conditionalFormatting sqref="Y27:Y28">
    <cfRule type="containsText" dxfId="0" priority="9" operator="between" text=" ">
      <formula>NOT(ISERROR(SEARCH(" ",Y27)))</formula>
    </cfRule>
  </conditionalFormatting>
  <conditionalFormatting sqref="Y30:Y31">
    <cfRule type="containsText" dxfId="0" priority="6" operator="between" text=" ">
      <formula>NOT(ISERROR(SEARCH(" ",Y30)))</formula>
    </cfRule>
  </conditionalFormatting>
  <conditionalFormatting sqref="Y33:Y34">
    <cfRule type="containsText" dxfId="0" priority="4" operator="between" text=" ">
      <formula>NOT(ISERROR(SEARCH(" ",Y33)))</formula>
    </cfRule>
  </conditionalFormatting>
  <conditionalFormatting sqref="Z5:Z13">
    <cfRule type="containsText" dxfId="0" priority="127" operator="between" text=" ">
      <formula>NOT(ISERROR(SEARCH(" ",Z5)))</formula>
    </cfRule>
  </conditionalFormatting>
  <conditionalFormatting sqref="Z26:Z34">
    <cfRule type="containsText" dxfId="0" priority="51" operator="between" text=" ">
      <formula>NOT(ISERROR(SEARCH(" ",Z26)))</formula>
    </cfRule>
  </conditionalFormatting>
  <conditionalFormatting sqref="AE13:AE16">
    <cfRule type="containsText" dxfId="0" priority="146" operator="between" text=" ">
      <formula>NOT(ISERROR(SEARCH(" ",AE13)))</formula>
    </cfRule>
  </conditionalFormatting>
  <conditionalFormatting sqref="AF13:AF31">
    <cfRule type="containsText" dxfId="0" priority="135" operator="between" text=" ">
      <formula>NOT(ISERROR(SEARCH(" ",AF13)))</formula>
    </cfRule>
  </conditionalFormatting>
  <conditionalFormatting sqref="AH13:AH16">
    <cfRule type="containsText" dxfId="0" priority="147" operator="between" text=" ">
      <formula>NOT(ISERROR(SEARCH(" ",AH13)))</formula>
    </cfRule>
  </conditionalFormatting>
  <conditionalFormatting sqref="AH30:AH31">
    <cfRule type="containsText" dxfId="0" priority="141" operator="between" text=" ">
      <formula>NOT(ISERROR(SEARCH(" ",AH30)))</formula>
    </cfRule>
  </conditionalFormatting>
  <conditionalFormatting sqref="AH1:XFD2 B5:B13 B37:K1048576 AH41:XFD1048576 AI3:XFD40 D5:D13 G22:K25 G34:K38 G26:G33 I26:K33">
    <cfRule type="containsText" dxfId="0" priority="224" operator="between" text=" ">
      <formula>NOT(ISERROR(SEARCH(" ",B1)))</formula>
    </cfRule>
  </conditionalFormatting>
  <conditionalFormatting sqref="L1:P2 L4:P4 L3 AA1:AC2 AA3:AB5 M5:N13 P5:P13">
    <cfRule type="containsText" dxfId="0" priority="216" operator="between" text=" ">
      <formula>NOT(ISERROR(SEARCH(" ",L1)))</formula>
    </cfRule>
  </conditionalFormatting>
  <conditionalFormatting sqref="Q1:U2 Q4:T4 Q3">
    <cfRule type="containsText" dxfId="0" priority="202" operator="between" text=" ">
      <formula>NOT(ISERROR(SEARCH(" ",Q1)))</formula>
    </cfRule>
  </conditionalFormatting>
  <conditionalFormatting sqref="V1:Z2 V3 V4:Y4">
    <cfRule type="containsText" dxfId="0" priority="198" operator="between" text=" ">
      <formula>NOT(ISERROR(SEARCH(" ",V1)))</formula>
    </cfRule>
  </conditionalFormatting>
  <conditionalFormatting sqref="AC19:AE26 AC8:AD11 AC38:AD40 AC4:AH7 AC34:AH37 AC13:AD16 AG19 AG20:AH29 AC28:AE29 AC27:AD27 AC12:AE12 AG12">
    <cfRule type="containsText" dxfId="0" priority="152" operator="between" text=" ">
      <formula>NOT(ISERROR(SEARCH(" ",AC4)))</formula>
    </cfRule>
  </conditionalFormatting>
  <conditionalFormatting sqref="B14:F15 H5:K5 H6:J15 K6:K21">
    <cfRule type="containsText" dxfId="0" priority="196" operator="between" text=" ">
      <formula>NOT(ISERROR(SEARCH(" ",B5)))</formula>
    </cfRule>
  </conditionalFormatting>
  <conditionalFormatting sqref="C12:C13 C5:C8">
    <cfRule type="containsText" dxfId="0" priority="71" operator="between" text=" ">
      <formula>NOT(ISERROR(SEARCH(" ",C5)))</formula>
    </cfRule>
  </conditionalFormatting>
  <conditionalFormatting sqref="R5:S13">
    <cfRule type="containsText" dxfId="0" priority="129" operator="between" text=" ">
      <formula>NOT(ISERROR(SEARCH(" ",R5)))</formula>
    </cfRule>
  </conditionalFormatting>
  <conditionalFormatting sqref="W5:X13">
    <cfRule type="containsText" dxfId="0" priority="126" operator="between" text=" ">
      <formula>NOT(ISERROR(SEARCH(" ",W5)))</formula>
    </cfRule>
  </conditionalFormatting>
  <conditionalFormatting sqref="AA6:AB6 AA7:AA11">
    <cfRule type="containsText" dxfId="0" priority="222" operator="between" text=" ">
      <formula>NOT(ISERROR(SEARCH(" ",AA6)))</formula>
    </cfRule>
  </conditionalFormatting>
  <conditionalFormatting sqref="AE8:AE11 AE38:AE40">
    <cfRule type="containsText" dxfId="0" priority="149" operator="between" text=" ">
      <formula>NOT(ISERROR(SEARCH(" ",AE8)))</formula>
    </cfRule>
  </conditionalFormatting>
  <conditionalFormatting sqref="AG8:AG11 AG38:AG40 AE17:AE18 AG13:AG16 AG17:AH18">
    <cfRule type="containsText" dxfId="0" priority="151" operator="between" text=" ">
      <formula>NOT(ISERROR(SEARCH(" ",AE8)))</formula>
    </cfRule>
  </conditionalFormatting>
  <conditionalFormatting sqref="AF8 AF38">
    <cfRule type="containsText" dxfId="0" priority="139" operator="between" text=" ">
      <formula>NOT(ISERROR(SEARCH(" ",AF8)))</formula>
    </cfRule>
  </conditionalFormatting>
  <conditionalFormatting sqref="AH8:AH11 AH38:AH40">
    <cfRule type="containsText" dxfId="0" priority="150" operator="between" text=" ">
      <formula>NOT(ISERROR(SEARCH(" ",AH8)))</formula>
    </cfRule>
  </conditionalFormatting>
  <conditionalFormatting sqref="AF9 AF39">
    <cfRule type="containsText" dxfId="0" priority="138" operator="between" text=" ">
      <formula>NOT(ISERROR(SEARCH(" ",AF9)))</formula>
    </cfRule>
  </conditionalFormatting>
  <conditionalFormatting sqref="AF10 AF40">
    <cfRule type="containsText" dxfId="0" priority="137" operator="between" text=" ">
      <formula>NOT(ISERROR(SEARCH(" ",AF10)))</formula>
    </cfRule>
  </conditionalFormatting>
  <conditionalFormatting sqref="L15:P15 AA41:AG1048576 AA12:AB40 L22:P1048576">
    <cfRule type="containsText" dxfId="0" priority="223" operator="between" text=" ">
      <formula>NOT(ISERROR(SEARCH(" ",L12)))</formula>
    </cfRule>
  </conditionalFormatting>
  <conditionalFormatting sqref="Q15:U15 Q22:U1048576">
    <cfRule type="containsText" dxfId="0" priority="204" operator="between" text=" ">
      <formula>NOT(ISERROR(SEARCH(" ",Q15)))</formula>
    </cfRule>
  </conditionalFormatting>
  <conditionalFormatting sqref="V15:Z15 V22:Z1048576">
    <cfRule type="containsText" dxfId="0" priority="200" operator="between" text=" ">
      <formula>NOT(ISERROR(SEARCH(" ",V15)))</formula>
    </cfRule>
  </conditionalFormatting>
  <conditionalFormatting sqref="H16:J21 B20:C21">
    <cfRule type="containsText" dxfId="0" priority="162" operator="between" text=" ">
      <formula>NOT(ISERROR(SEARCH(" ",B16)))</formula>
    </cfRule>
  </conditionalFormatting>
  <conditionalFormatting sqref="B16:F19">
    <cfRule type="containsText" dxfId="0" priority="118" operator="between" text=" ">
      <formula>NOT(ISERROR(SEARCH(" ",B16)))</formula>
    </cfRule>
  </conditionalFormatting>
  <conditionalFormatting sqref="L16:P17 L19:P20 P21 L18 L21:N21">
    <cfRule type="containsText" dxfId="0" priority="160" operator="between" text=" ">
      <formula>NOT(ISERROR(SEARCH(" ",L16)))</formula>
    </cfRule>
  </conditionalFormatting>
  <conditionalFormatting sqref="Q16:U17 Q19:U20 Q21:S21 U21 Q18">
    <cfRule type="containsText" dxfId="0" priority="157" operator="between" text=" ">
      <formula>NOT(ISERROR(SEARCH(" ",Q16)))</formula>
    </cfRule>
  </conditionalFormatting>
  <conditionalFormatting sqref="V16:Z17 Z21 V18 V19:Z20 V21:X21">
    <cfRule type="containsText" dxfId="0" priority="155" operator="between" text=" ">
      <formula>NOT(ISERROR(SEARCH(" ",V16)))</formula>
    </cfRule>
  </conditionalFormatting>
  <conditionalFormatting sqref="L22:P23 L25:P25 L24 M26:N34 P26:P34">
    <cfRule type="containsText" dxfId="0" priority="67" operator="between" text=" ">
      <formula>NOT(ISERROR(SEARCH(" ",L22)))</formula>
    </cfRule>
  </conditionalFormatting>
  <conditionalFormatting sqref="Q22:U23 Q25:T25 Q24">
    <cfRule type="containsText" dxfId="0" priority="63" operator="between" text=" ">
      <formula>NOT(ISERROR(SEARCH(" ",Q22)))</formula>
    </cfRule>
  </conditionalFormatting>
  <conditionalFormatting sqref="V22:Z23 V24 V25:Y25">
    <cfRule type="containsText" dxfId="0" priority="60" operator="between" text=" ">
      <formula>NOT(ISERROR(SEARCH(" ",V22)))</formula>
    </cfRule>
  </conditionalFormatting>
  <conditionalFormatting sqref="B26:B33 D26:D33">
    <cfRule type="containsText" dxfId="0" priority="69" operator="between" text=" ">
      <formula>NOT(ISERROR(SEARCH(" ",B26)))</formula>
    </cfRule>
  </conditionalFormatting>
  <conditionalFormatting sqref="B35:F36 H34:K36 I26:K33">
    <cfRule type="containsText" dxfId="0" priority="58" operator="between" text=" ">
      <formula>NOT(ISERROR(SEARCH(" ",B26)))</formula>
    </cfRule>
  </conditionalFormatting>
  <conditionalFormatting sqref="C33 C26:C29">
    <cfRule type="containsText" dxfId="0" priority="3" operator="between" text=" ">
      <formula>NOT(ISERROR(SEARCH(" ",C26)))</formula>
    </cfRule>
  </conditionalFormatting>
  <conditionalFormatting sqref="R26:S34">
    <cfRule type="containsText" dxfId="0" priority="53" operator="between" text=" ">
      <formula>NOT(ISERROR(SEARCH(" ",R26)))</formula>
    </cfRule>
  </conditionalFormatting>
  <conditionalFormatting sqref="W26:X34">
    <cfRule type="containsText" dxfId="0" priority="50" operator="between" text=" ">
      <formula>NOT(ISERROR(SEARCH(" ",W26)))</formula>
    </cfRule>
  </conditionalFormatting>
  <conditionalFormatting sqref="AC30:AE30 AD31:AE31 AG30:AG31">
    <cfRule type="containsText" dxfId="0" priority="142" operator="between" text=" ">
      <formula>NOT(ISERROR(SEARCH(" ",AC30)))</formula>
    </cfRule>
  </conditionalFormatting>
  <hyperlinks>
    <hyperlink ref="A1" r:id="rId4" display="http://www.bejson.com/"/>
  </hyperlinks>
  <pageMargins left="0.7" right="0.7" top="0.75" bottom="0.75" header="0.3" footer="0.3"/>
  <pageSetup paperSize="9" orientation="portrait"/>
  <headerFooter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C31"/>
  <sheetViews>
    <sheetView workbookViewId="0">
      <selection activeCell="C5" sqref="C5"/>
    </sheetView>
  </sheetViews>
  <sheetFormatPr defaultColWidth="9" defaultRowHeight="15.6"/>
  <cols>
    <col min="1" max="2" width="9" style="1"/>
    <col min="3" max="3" width="13.8888888888889" style="1" customWidth="1"/>
    <col min="4" max="5" width="10.3333333333333" style="1" customWidth="1"/>
    <col min="6" max="6" width="11.1111111111111" style="1" customWidth="1"/>
    <col min="7" max="7" width="11.4444444444444" style="1" customWidth="1"/>
    <col min="8" max="8" width="13.8888888888889" style="1" customWidth="1"/>
    <col min="9" max="12" width="11.6666666666667" style="1" customWidth="1"/>
    <col min="13" max="13" width="9" style="1"/>
    <col min="14" max="14" width="10.8888888888889" style="1" customWidth="1"/>
    <col min="15" max="15" width="9.22222222222222" style="1" customWidth="1"/>
    <col min="16" max="16" width="12.7777777777778" style="1" customWidth="1"/>
    <col min="17" max="17" width="11.1111111111111" style="89" customWidth="1"/>
    <col min="18" max="18" width="8" style="89" customWidth="1"/>
    <col min="19" max="19" width="7.66666666666667" style="89" customWidth="1"/>
    <col min="20" max="20" width="9.66666666666667" style="89" customWidth="1"/>
    <col min="21" max="21" width="11.2222222222222" style="89" customWidth="1"/>
    <col min="22" max="22" width="9" style="89"/>
    <col min="23" max="23" width="9" style="2"/>
    <col min="24" max="24" width="10.3333333333333" style="2" customWidth="1"/>
    <col min="25" max="25" width="12.4444444444444" style="2" customWidth="1"/>
    <col min="26" max="26" width="12" style="2" customWidth="1"/>
    <col min="27" max="29" width="9" style="2"/>
    <col min="30" max="16384" width="9" style="1"/>
  </cols>
  <sheetData>
    <row r="1" spans="1:17">
      <c r="A1" s="52" t="s">
        <v>0</v>
      </c>
      <c r="B1" s="52" t="s">
        <v>0</v>
      </c>
      <c r="C1" s="52" t="s">
        <v>0</v>
      </c>
      <c r="D1" s="52" t="s">
        <v>58</v>
      </c>
      <c r="E1" s="52" t="s">
        <v>58</v>
      </c>
      <c r="F1" s="52" t="s">
        <v>58</v>
      </c>
      <c r="G1" s="52" t="s">
        <v>58</v>
      </c>
      <c r="H1" s="52" t="s">
        <v>58</v>
      </c>
      <c r="I1" s="52" t="s">
        <v>58</v>
      </c>
      <c r="J1" s="52" t="s">
        <v>0</v>
      </c>
      <c r="K1" s="52" t="s">
        <v>0</v>
      </c>
      <c r="L1" s="52" t="s">
        <v>58</v>
      </c>
      <c r="N1" s="76" t="s">
        <v>59</v>
      </c>
      <c r="Q1" s="89" t="s">
        <v>60</v>
      </c>
    </row>
    <row r="2" spans="1:14">
      <c r="A2" s="97" t="s">
        <v>9</v>
      </c>
      <c r="B2" s="97" t="s">
        <v>9</v>
      </c>
      <c r="C2" s="97" t="s">
        <v>10</v>
      </c>
      <c r="D2" s="97" t="s">
        <v>9</v>
      </c>
      <c r="E2" s="97" t="s">
        <v>9</v>
      </c>
      <c r="F2" s="97" t="s">
        <v>9</v>
      </c>
      <c r="G2" s="97" t="s">
        <v>9</v>
      </c>
      <c r="H2" s="97" t="s">
        <v>9</v>
      </c>
      <c r="I2" s="97" t="s">
        <v>9</v>
      </c>
      <c r="J2" s="97" t="s">
        <v>9</v>
      </c>
      <c r="K2" s="97" t="s">
        <v>9</v>
      </c>
      <c r="L2" s="97" t="s">
        <v>9</v>
      </c>
      <c r="N2" s="1" t="s">
        <v>61</v>
      </c>
    </row>
    <row r="3" ht="16.2" spans="1:17">
      <c r="A3" s="97" t="s">
        <v>31</v>
      </c>
      <c r="B3" s="97" t="s">
        <v>62</v>
      </c>
      <c r="C3" s="97" t="s">
        <v>13</v>
      </c>
      <c r="D3" s="97" t="s">
        <v>63</v>
      </c>
      <c r="E3" s="97" t="s">
        <v>64</v>
      </c>
      <c r="F3" s="97" t="s">
        <v>65</v>
      </c>
      <c r="G3" s="97" t="s">
        <v>66</v>
      </c>
      <c r="H3" s="97" t="s">
        <v>67</v>
      </c>
      <c r="I3" s="97" t="s">
        <v>68</v>
      </c>
      <c r="J3" s="97" t="s">
        <v>69</v>
      </c>
      <c r="K3" s="97" t="s">
        <v>70</v>
      </c>
      <c r="L3" s="97" t="s">
        <v>71</v>
      </c>
      <c r="Q3" s="177"/>
    </row>
    <row r="4" ht="79.2" spans="1:29">
      <c r="A4" s="155" t="s">
        <v>72</v>
      </c>
      <c r="B4" s="156" t="s">
        <v>73</v>
      </c>
      <c r="C4" s="155" t="s">
        <v>74</v>
      </c>
      <c r="D4" s="156" t="s">
        <v>75</v>
      </c>
      <c r="E4" s="157" t="s">
        <v>76</v>
      </c>
      <c r="F4" s="117" t="s">
        <v>77</v>
      </c>
      <c r="G4" s="158" t="s">
        <v>78</v>
      </c>
      <c r="H4" s="158" t="s">
        <v>79</v>
      </c>
      <c r="I4" s="158" t="s">
        <v>80</v>
      </c>
      <c r="J4" s="157" t="s">
        <v>81</v>
      </c>
      <c r="K4" s="157" t="s">
        <v>82</v>
      </c>
      <c r="L4" s="157" t="s">
        <v>83</v>
      </c>
      <c r="N4" s="1" t="s">
        <v>84</v>
      </c>
      <c r="O4" s="1" t="s">
        <v>85</v>
      </c>
      <c r="Q4" s="178" t="s">
        <v>86</v>
      </c>
      <c r="R4" s="179" t="s">
        <v>25</v>
      </c>
      <c r="S4" s="179" t="s">
        <v>26</v>
      </c>
      <c r="T4" s="91" t="s">
        <v>27</v>
      </c>
      <c r="U4" s="180" t="s">
        <v>87</v>
      </c>
      <c r="W4" s="144"/>
      <c r="X4" s="90">
        <v>0</v>
      </c>
      <c r="Y4" s="40" t="s">
        <v>29</v>
      </c>
      <c r="Z4" s="41" t="s">
        <v>30</v>
      </c>
      <c r="AA4" s="40" t="s">
        <v>25</v>
      </c>
      <c r="AB4" s="50" t="s">
        <v>31</v>
      </c>
      <c r="AC4" s="94" t="s">
        <v>88</v>
      </c>
    </row>
    <row r="5" ht="18" customHeight="1" spans="1:29">
      <c r="A5" s="159">
        <v>1</v>
      </c>
      <c r="B5" s="160">
        <v>1</v>
      </c>
      <c r="C5" s="160" t="str">
        <f>R5&amp;"|"&amp;S5&amp;"|"&amp;T5</f>
        <v>2|1210|1</v>
      </c>
      <c r="D5" s="161">
        <f>ROUND(N5*1000000,0)</f>
        <v>10000</v>
      </c>
      <c r="E5" s="162">
        <v>3</v>
      </c>
      <c r="F5" s="12">
        <v>50</v>
      </c>
      <c r="G5" s="12">
        <v>1</v>
      </c>
      <c r="H5" s="12">
        <v>1500</v>
      </c>
      <c r="I5" s="12">
        <v>-1</v>
      </c>
      <c r="J5" s="12">
        <v>1</v>
      </c>
      <c r="K5" s="12">
        <v>1</v>
      </c>
      <c r="L5" s="12">
        <v>1</v>
      </c>
      <c r="M5" s="160"/>
      <c r="N5" s="164">
        <v>0.01</v>
      </c>
      <c r="O5" s="165">
        <f>N5*U5</f>
        <v>15000</v>
      </c>
      <c r="Q5" s="181" t="s">
        <v>52</v>
      </c>
      <c r="R5" s="40">
        <f t="shared" ref="R5:R24" si="0">VLOOKUP(Q5,X:AB,4,0)</f>
        <v>2</v>
      </c>
      <c r="S5" s="40">
        <f t="shared" ref="S5:S24" si="1">VLOOKUP(Q5,X:AB,5,0)</f>
        <v>1210</v>
      </c>
      <c r="T5" s="182">
        <v>1</v>
      </c>
      <c r="U5" s="13">
        <v>1500000</v>
      </c>
      <c r="X5" s="42" t="s">
        <v>33</v>
      </c>
      <c r="Y5" s="43">
        <v>1</v>
      </c>
      <c r="Z5" s="43">
        <v>0.1</v>
      </c>
      <c r="AA5" s="43">
        <v>1</v>
      </c>
      <c r="AB5" s="13">
        <v>0</v>
      </c>
      <c r="AC5" s="146">
        <v>1</v>
      </c>
    </row>
    <row r="6" spans="1:29">
      <c r="A6" s="11">
        <v>2</v>
      </c>
      <c r="B6" s="12">
        <v>1</v>
      </c>
      <c r="C6" s="12" t="str">
        <f t="shared" ref="C6:C24" si="2">R6&amp;"|"&amp;S6&amp;"|"&amp;T6</f>
        <v>2|1209|1</v>
      </c>
      <c r="D6" s="162">
        <f t="shared" ref="D6:D24" si="3">ROUND(N6*1000000,0)</f>
        <v>20000</v>
      </c>
      <c r="E6" s="162">
        <v>2</v>
      </c>
      <c r="F6" s="12">
        <v>50</v>
      </c>
      <c r="G6" s="12">
        <v>1</v>
      </c>
      <c r="H6" s="12">
        <v>1500</v>
      </c>
      <c r="I6" s="12">
        <v>-1</v>
      </c>
      <c r="J6" s="12">
        <v>1</v>
      </c>
      <c r="K6" s="12">
        <v>1</v>
      </c>
      <c r="L6" s="12">
        <v>1</v>
      </c>
      <c r="M6" s="12"/>
      <c r="N6" s="166">
        <v>0.02</v>
      </c>
      <c r="O6" s="167">
        <f t="shared" ref="O6:O24" si="4">N6*U6</f>
        <v>18000</v>
      </c>
      <c r="Q6" s="181" t="s">
        <v>51</v>
      </c>
      <c r="R6" s="43">
        <f t="shared" si="0"/>
        <v>2</v>
      </c>
      <c r="S6" s="43">
        <f t="shared" si="1"/>
        <v>1209</v>
      </c>
      <c r="T6" s="182">
        <v>1</v>
      </c>
      <c r="U6" s="13">
        <v>900000</v>
      </c>
      <c r="X6" s="42" t="s">
        <v>35</v>
      </c>
      <c r="Y6" s="45">
        <v>0.1</v>
      </c>
      <c r="Z6" s="45">
        <v>1</v>
      </c>
      <c r="AA6" s="43">
        <v>1</v>
      </c>
      <c r="AB6" s="13">
        <v>1</v>
      </c>
      <c r="AC6" s="147">
        <v>2.5</v>
      </c>
    </row>
    <row r="7" spans="1:29">
      <c r="A7" s="11">
        <v>3</v>
      </c>
      <c r="B7" s="12">
        <v>1</v>
      </c>
      <c r="C7" s="12" t="str">
        <f t="shared" ref="C7:C8" si="5">R7&amp;"|"&amp;S7&amp;"|"&amp;T7</f>
        <v>2|1008|1</v>
      </c>
      <c r="D7" s="162">
        <f t="shared" si="3"/>
        <v>80000</v>
      </c>
      <c r="E7" s="162">
        <v>0</v>
      </c>
      <c r="F7" s="12">
        <v>-1</v>
      </c>
      <c r="G7" s="12">
        <v>1</v>
      </c>
      <c r="H7" s="12">
        <v>-1</v>
      </c>
      <c r="I7" s="12">
        <v>-1</v>
      </c>
      <c r="J7" s="12">
        <v>1</v>
      </c>
      <c r="K7" s="12">
        <v>1</v>
      </c>
      <c r="L7" s="12">
        <v>-1</v>
      </c>
      <c r="M7" s="12"/>
      <c r="N7" s="166">
        <v>0.08</v>
      </c>
      <c r="O7" s="165">
        <f t="shared" ref="O7:O8" si="6">N7*U7</f>
        <v>80000</v>
      </c>
      <c r="Q7" s="181" t="s">
        <v>44</v>
      </c>
      <c r="R7" s="43">
        <f t="shared" si="0"/>
        <v>2</v>
      </c>
      <c r="S7" s="43">
        <f t="shared" si="1"/>
        <v>1008</v>
      </c>
      <c r="T7" s="182">
        <v>1</v>
      </c>
      <c r="U7" s="13">
        <f>VLOOKUP(Q7,X:AB,2,0)*T7*10000</f>
        <v>1000000</v>
      </c>
      <c r="X7" s="42" t="s">
        <v>32</v>
      </c>
      <c r="Y7" s="194">
        <f>1/10000</f>
        <v>0.0001</v>
      </c>
      <c r="Z7" s="195">
        <f>Y7*10</f>
        <v>0.001</v>
      </c>
      <c r="AA7" s="43">
        <v>1</v>
      </c>
      <c r="AB7" s="13">
        <v>2</v>
      </c>
      <c r="AC7" s="146">
        <v>1</v>
      </c>
    </row>
    <row r="8" spans="1:29">
      <c r="A8" s="11">
        <v>4</v>
      </c>
      <c r="B8" s="12">
        <v>1</v>
      </c>
      <c r="C8" s="12" t="str">
        <f t="shared" si="5"/>
        <v>2|1007|1</v>
      </c>
      <c r="D8" s="162">
        <f t="shared" si="3"/>
        <v>100000</v>
      </c>
      <c r="E8" s="162">
        <v>0</v>
      </c>
      <c r="F8" s="12">
        <v>-1</v>
      </c>
      <c r="G8" s="12">
        <v>2</v>
      </c>
      <c r="H8" s="12">
        <v>-1</v>
      </c>
      <c r="I8" s="12">
        <v>-1</v>
      </c>
      <c r="J8" s="12">
        <v>1</v>
      </c>
      <c r="K8" s="12">
        <v>1</v>
      </c>
      <c r="L8" s="12">
        <v>-1</v>
      </c>
      <c r="M8" s="12"/>
      <c r="N8" s="166">
        <v>0.1</v>
      </c>
      <c r="O8" s="167">
        <f t="shared" si="6"/>
        <v>50000</v>
      </c>
      <c r="P8" s="168"/>
      <c r="Q8" s="183" t="s">
        <v>39</v>
      </c>
      <c r="R8" s="43">
        <f t="shared" si="0"/>
        <v>2</v>
      </c>
      <c r="S8" s="43">
        <f t="shared" si="1"/>
        <v>1007</v>
      </c>
      <c r="T8" s="182">
        <v>1</v>
      </c>
      <c r="U8" s="13">
        <v>500000</v>
      </c>
      <c r="X8" s="42" t="s">
        <v>38</v>
      </c>
      <c r="Y8" s="43">
        <v>0.2</v>
      </c>
      <c r="Z8" s="43">
        <v>2</v>
      </c>
      <c r="AA8" s="43">
        <v>2</v>
      </c>
      <c r="AB8" s="13">
        <v>1001</v>
      </c>
      <c r="AC8" s="147">
        <v>2.5</v>
      </c>
    </row>
    <row r="9" spans="1:29">
      <c r="A9" s="11">
        <v>5</v>
      </c>
      <c r="B9" s="12">
        <v>1</v>
      </c>
      <c r="C9" s="12" t="str">
        <f t="shared" ref="C9:C14" si="7">R9&amp;"|"&amp;S9&amp;"|"&amp;T9</f>
        <v>1|2|588888</v>
      </c>
      <c r="D9" s="162">
        <f t="shared" si="3"/>
        <v>50000</v>
      </c>
      <c r="E9" s="162">
        <v>0</v>
      </c>
      <c r="F9" s="12">
        <v>-1</v>
      </c>
      <c r="G9" s="12">
        <v>-1</v>
      </c>
      <c r="H9" s="12">
        <v>-1</v>
      </c>
      <c r="I9" s="12">
        <v>-1</v>
      </c>
      <c r="J9" s="12">
        <v>1</v>
      </c>
      <c r="K9" s="12">
        <v>1</v>
      </c>
      <c r="L9" s="12">
        <v>-1</v>
      </c>
      <c r="M9" s="12"/>
      <c r="N9" s="166">
        <v>0.05</v>
      </c>
      <c r="O9" s="167">
        <f t="shared" ref="O9:O14" si="8">N9*U9</f>
        <v>44444.4</v>
      </c>
      <c r="P9" s="169"/>
      <c r="Q9" s="181" t="s">
        <v>32</v>
      </c>
      <c r="R9" s="43">
        <f t="shared" si="0"/>
        <v>1</v>
      </c>
      <c r="S9" s="43">
        <f t="shared" si="1"/>
        <v>2</v>
      </c>
      <c r="T9" s="182">
        <v>588888</v>
      </c>
      <c r="U9" s="13">
        <v>888888</v>
      </c>
      <c r="X9" s="42" t="s">
        <v>40</v>
      </c>
      <c r="Y9" s="43">
        <v>0.5</v>
      </c>
      <c r="Z9" s="43">
        <v>5</v>
      </c>
      <c r="AA9" s="43">
        <v>2</v>
      </c>
      <c r="AB9" s="13">
        <v>1002</v>
      </c>
      <c r="AC9" s="146">
        <v>1</v>
      </c>
    </row>
    <row r="10" spans="1:29">
      <c r="A10" s="11">
        <v>6</v>
      </c>
      <c r="B10" s="12">
        <v>1</v>
      </c>
      <c r="C10" s="12" t="str">
        <f t="shared" si="7"/>
        <v>1|2|288888</v>
      </c>
      <c r="D10" s="162">
        <f t="shared" si="3"/>
        <v>228310</v>
      </c>
      <c r="E10" s="162">
        <v>0</v>
      </c>
      <c r="F10" s="12">
        <v>-1</v>
      </c>
      <c r="G10" s="12">
        <v>-1</v>
      </c>
      <c r="H10" s="12">
        <v>-1</v>
      </c>
      <c r="I10" s="12">
        <v>-1</v>
      </c>
      <c r="J10" s="12">
        <v>-1</v>
      </c>
      <c r="K10" s="12">
        <v>-1</v>
      </c>
      <c r="L10" s="12">
        <v>-1</v>
      </c>
      <c r="M10" s="12"/>
      <c r="N10" s="166">
        <v>0.22831</v>
      </c>
      <c r="O10" s="167">
        <f t="shared" si="8"/>
        <v>65956.01928</v>
      </c>
      <c r="P10" s="169"/>
      <c r="Q10" s="181" t="s">
        <v>32</v>
      </c>
      <c r="R10" s="43">
        <f t="shared" si="0"/>
        <v>1</v>
      </c>
      <c r="S10" s="43">
        <f t="shared" si="1"/>
        <v>2</v>
      </c>
      <c r="T10" s="182">
        <v>288888</v>
      </c>
      <c r="U10" s="13">
        <f>VLOOKUP(Q10,X:AB,2,0)*T10*10000</f>
        <v>288888</v>
      </c>
      <c r="X10" s="42" t="s">
        <v>42</v>
      </c>
      <c r="Y10" s="45">
        <v>2</v>
      </c>
      <c r="Z10" s="45">
        <v>20</v>
      </c>
      <c r="AA10" s="43">
        <v>2</v>
      </c>
      <c r="AB10" s="13">
        <v>1003</v>
      </c>
      <c r="AC10" s="147">
        <v>2.5</v>
      </c>
    </row>
    <row r="11" spans="1:29">
      <c r="A11" s="11">
        <v>7</v>
      </c>
      <c r="B11" s="12">
        <v>1</v>
      </c>
      <c r="C11" s="12" t="str">
        <f t="shared" si="7"/>
        <v>2|1003|8</v>
      </c>
      <c r="D11" s="162">
        <f t="shared" si="3"/>
        <v>161690</v>
      </c>
      <c r="E11" s="162">
        <v>0</v>
      </c>
      <c r="F11" s="12">
        <v>-1</v>
      </c>
      <c r="G11" s="12">
        <v>-1</v>
      </c>
      <c r="H11" s="12">
        <v>-1</v>
      </c>
      <c r="I11" s="12">
        <v>-1</v>
      </c>
      <c r="J11" s="12">
        <v>-1</v>
      </c>
      <c r="K11" s="12">
        <v>-1</v>
      </c>
      <c r="L11" s="12">
        <v>-1</v>
      </c>
      <c r="M11" s="12"/>
      <c r="N11" s="166">
        <v>0.16169</v>
      </c>
      <c r="O11" s="167">
        <f t="shared" si="8"/>
        <v>25870.4</v>
      </c>
      <c r="P11" s="170" t="s">
        <v>89</v>
      </c>
      <c r="Q11" s="181" t="s">
        <v>42</v>
      </c>
      <c r="R11" s="43">
        <f t="shared" si="0"/>
        <v>2</v>
      </c>
      <c r="S11" s="43">
        <f t="shared" si="1"/>
        <v>1003</v>
      </c>
      <c r="T11" s="182">
        <v>8</v>
      </c>
      <c r="U11" s="13">
        <f>VLOOKUP(Q11,X:AB,2,0)*T11*10000</f>
        <v>160000</v>
      </c>
      <c r="X11" s="42" t="s">
        <v>43</v>
      </c>
      <c r="Y11" s="43">
        <v>0.2</v>
      </c>
      <c r="Z11" s="43">
        <v>2</v>
      </c>
      <c r="AA11" s="43">
        <v>2</v>
      </c>
      <c r="AB11" s="13">
        <v>1004</v>
      </c>
      <c r="AC11" s="146">
        <v>1</v>
      </c>
    </row>
    <row r="12" spans="1:29">
      <c r="A12" s="11">
        <v>8</v>
      </c>
      <c r="B12" s="12">
        <v>1</v>
      </c>
      <c r="C12" s="12" t="str">
        <f t="shared" si="7"/>
        <v>1|1|88</v>
      </c>
      <c r="D12" s="162">
        <f t="shared" si="3"/>
        <v>200000</v>
      </c>
      <c r="E12" s="162">
        <v>0</v>
      </c>
      <c r="F12" s="12">
        <v>-1</v>
      </c>
      <c r="G12" s="12">
        <v>-1</v>
      </c>
      <c r="H12" s="12">
        <v>-1</v>
      </c>
      <c r="I12" s="12">
        <v>-1</v>
      </c>
      <c r="J12" s="12">
        <v>-1</v>
      </c>
      <c r="K12" s="12">
        <v>-1</v>
      </c>
      <c r="L12" s="12">
        <v>-1</v>
      </c>
      <c r="M12" s="12"/>
      <c r="N12" s="166">
        <f>1-SUM(N5:N11)-SUM(N13:N14)</f>
        <v>0.2</v>
      </c>
      <c r="O12" s="171">
        <f t="shared" si="8"/>
        <v>17600</v>
      </c>
      <c r="P12" s="172">
        <f>SUM(O5:O14)</f>
        <v>321370.81928</v>
      </c>
      <c r="Q12" s="181" t="s">
        <v>35</v>
      </c>
      <c r="R12" s="43">
        <f t="shared" si="0"/>
        <v>1</v>
      </c>
      <c r="S12" s="43">
        <f t="shared" si="1"/>
        <v>1</v>
      </c>
      <c r="T12" s="182">
        <v>88</v>
      </c>
      <c r="U12" s="13">
        <f>VLOOKUP(Q12,X:AB,2,0)*T12*10000</f>
        <v>88000</v>
      </c>
      <c r="X12" s="42" t="s">
        <v>45</v>
      </c>
      <c r="Y12" s="45">
        <v>0.1</v>
      </c>
      <c r="Z12" s="43">
        <v>0.5</v>
      </c>
      <c r="AA12" s="43">
        <v>2</v>
      </c>
      <c r="AB12" s="13">
        <v>1204</v>
      </c>
      <c r="AC12" s="146">
        <v>1</v>
      </c>
    </row>
    <row r="13" spans="1:29">
      <c r="A13" s="11">
        <v>9</v>
      </c>
      <c r="B13" s="12">
        <v>1</v>
      </c>
      <c r="C13" s="12" t="str">
        <f t="shared" si="7"/>
        <v>2|1204|50</v>
      </c>
      <c r="D13" s="162">
        <f t="shared" si="3"/>
        <v>50000</v>
      </c>
      <c r="E13" s="162">
        <v>0</v>
      </c>
      <c r="F13" s="12">
        <v>-1</v>
      </c>
      <c r="G13" s="12">
        <v>-1</v>
      </c>
      <c r="H13" s="12">
        <v>-1</v>
      </c>
      <c r="I13" s="12">
        <v>-1</v>
      </c>
      <c r="J13" s="12">
        <v>1</v>
      </c>
      <c r="K13" s="12">
        <v>-1</v>
      </c>
      <c r="L13" s="12">
        <v>-1</v>
      </c>
      <c r="M13" s="12"/>
      <c r="N13" s="166">
        <v>0.05</v>
      </c>
      <c r="O13" s="173">
        <f t="shared" si="8"/>
        <v>2500</v>
      </c>
      <c r="Q13" s="181" t="s">
        <v>45</v>
      </c>
      <c r="R13" s="43">
        <f t="shared" si="0"/>
        <v>2</v>
      </c>
      <c r="S13" s="43">
        <f t="shared" si="1"/>
        <v>1204</v>
      </c>
      <c r="T13" s="182">
        <v>50</v>
      </c>
      <c r="U13" s="13">
        <f>VLOOKUP(Q13,X:AB,2,0)*T13*10000</f>
        <v>50000</v>
      </c>
      <c r="X13" s="42" t="s">
        <v>34</v>
      </c>
      <c r="Y13" s="43">
        <v>15</v>
      </c>
      <c r="Z13" s="43">
        <v>150</v>
      </c>
      <c r="AA13" s="43">
        <v>2</v>
      </c>
      <c r="AB13" s="13">
        <v>1005</v>
      </c>
      <c r="AC13" s="146">
        <v>1</v>
      </c>
    </row>
    <row r="14" spans="1:29">
      <c r="A14" s="14">
        <v>10</v>
      </c>
      <c r="B14" s="15">
        <v>1</v>
      </c>
      <c r="C14" s="15" t="str">
        <f t="shared" si="7"/>
        <v>2|1204|20</v>
      </c>
      <c r="D14" s="163">
        <f t="shared" si="3"/>
        <v>100000</v>
      </c>
      <c r="E14" s="163">
        <v>0</v>
      </c>
      <c r="F14" s="15">
        <v>-1</v>
      </c>
      <c r="G14" s="15">
        <v>-1</v>
      </c>
      <c r="H14" s="15">
        <v>-1</v>
      </c>
      <c r="I14" s="15">
        <v>-1</v>
      </c>
      <c r="J14" s="15">
        <v>1</v>
      </c>
      <c r="K14" s="12">
        <v>-1</v>
      </c>
      <c r="L14" s="15">
        <v>-1</v>
      </c>
      <c r="M14" s="15"/>
      <c r="N14" s="174">
        <v>0.1</v>
      </c>
      <c r="O14" s="175">
        <f t="shared" si="8"/>
        <v>2000</v>
      </c>
      <c r="Q14" s="184" t="s">
        <v>45</v>
      </c>
      <c r="R14" s="49">
        <f t="shared" si="0"/>
        <v>2</v>
      </c>
      <c r="S14" s="49">
        <f t="shared" si="1"/>
        <v>1204</v>
      </c>
      <c r="T14" s="185">
        <v>20</v>
      </c>
      <c r="U14" s="13">
        <f>VLOOKUP(Q14,X:AB,2,0)*T14*10000</f>
        <v>20000</v>
      </c>
      <c r="X14" s="42" t="s">
        <v>37</v>
      </c>
      <c r="Y14" s="43">
        <v>25</v>
      </c>
      <c r="Z14" s="43">
        <v>250</v>
      </c>
      <c r="AA14" s="43">
        <v>2</v>
      </c>
      <c r="AB14" s="13">
        <v>1006</v>
      </c>
      <c r="AC14" s="146">
        <v>1</v>
      </c>
    </row>
    <row r="15" spans="1:29">
      <c r="A15" s="159">
        <v>11</v>
      </c>
      <c r="B15" s="12">
        <v>2</v>
      </c>
      <c r="C15" s="160" t="str">
        <f t="shared" si="2"/>
        <v>2|1204|50</v>
      </c>
      <c r="D15" s="161">
        <f t="shared" si="3"/>
        <v>10000</v>
      </c>
      <c r="E15" s="161">
        <v>0</v>
      </c>
      <c r="F15" s="160">
        <v>100</v>
      </c>
      <c r="G15" s="160">
        <v>1</v>
      </c>
      <c r="H15" s="160">
        <v>-1</v>
      </c>
      <c r="I15" s="160">
        <v>14</v>
      </c>
      <c r="J15" s="160">
        <v>1</v>
      </c>
      <c r="K15" s="160">
        <v>-1</v>
      </c>
      <c r="L15" s="12">
        <v>-1</v>
      </c>
      <c r="M15" s="160"/>
      <c r="N15" s="164">
        <v>0.01</v>
      </c>
      <c r="O15" s="165">
        <f t="shared" si="4"/>
        <v>500</v>
      </c>
      <c r="Q15" s="186" t="s">
        <v>45</v>
      </c>
      <c r="R15" s="40">
        <f t="shared" si="0"/>
        <v>2</v>
      </c>
      <c r="S15" s="40">
        <f t="shared" si="1"/>
        <v>1204</v>
      </c>
      <c r="T15" s="187">
        <v>50</v>
      </c>
      <c r="U15" s="13">
        <f t="shared" ref="U15:U16" si="9">VLOOKUP(Q15,X:AB,2,0)*T15*10000</f>
        <v>50000</v>
      </c>
      <c r="X15" s="42" t="s">
        <v>39</v>
      </c>
      <c r="Y15" s="43">
        <v>50</v>
      </c>
      <c r="Z15" s="43">
        <v>500</v>
      </c>
      <c r="AA15" s="43">
        <v>2</v>
      </c>
      <c r="AB15" s="13">
        <v>1007</v>
      </c>
      <c r="AC15" s="146">
        <v>1</v>
      </c>
    </row>
    <row r="16" spans="1:29">
      <c r="A16" s="11">
        <v>12</v>
      </c>
      <c r="B16" s="12">
        <v>2</v>
      </c>
      <c r="C16" s="12" t="str">
        <f t="shared" ref="C16:C19" si="10">R16&amp;"|"&amp;S16&amp;"|"&amp;T16</f>
        <v>2|1204|20</v>
      </c>
      <c r="D16" s="162">
        <f t="shared" si="3"/>
        <v>20000</v>
      </c>
      <c r="E16" s="162">
        <v>0</v>
      </c>
      <c r="F16" s="12">
        <v>250</v>
      </c>
      <c r="G16" s="12">
        <v>1</v>
      </c>
      <c r="H16" s="12">
        <v>-1</v>
      </c>
      <c r="I16" s="12">
        <v>5</v>
      </c>
      <c r="J16" s="12">
        <v>1</v>
      </c>
      <c r="K16" s="12">
        <v>-1</v>
      </c>
      <c r="L16" s="12">
        <v>-1</v>
      </c>
      <c r="M16" s="12"/>
      <c r="N16" s="166">
        <v>0.02</v>
      </c>
      <c r="O16" s="167">
        <f t="shared" ref="O16:O19" si="11">N16*U16</f>
        <v>400</v>
      </c>
      <c r="Q16" s="186" t="s">
        <v>45</v>
      </c>
      <c r="R16" s="43">
        <f t="shared" si="0"/>
        <v>2</v>
      </c>
      <c r="S16" s="43">
        <f t="shared" si="1"/>
        <v>1204</v>
      </c>
      <c r="T16" s="188">
        <v>20</v>
      </c>
      <c r="U16" s="13">
        <f t="shared" si="9"/>
        <v>20000</v>
      </c>
      <c r="X16" s="42" t="s">
        <v>44</v>
      </c>
      <c r="Y16" s="43">
        <v>100</v>
      </c>
      <c r="Z16" s="43">
        <v>1000</v>
      </c>
      <c r="AA16" s="43">
        <v>2</v>
      </c>
      <c r="AB16" s="13">
        <v>1008</v>
      </c>
      <c r="AC16" s="146">
        <v>1</v>
      </c>
    </row>
    <row r="17" spans="1:29">
      <c r="A17" s="11">
        <v>13</v>
      </c>
      <c r="B17" s="12">
        <v>2</v>
      </c>
      <c r="C17" s="12" t="str">
        <f t="shared" si="10"/>
        <v>1|2|6888</v>
      </c>
      <c r="D17" s="162">
        <f t="shared" si="3"/>
        <v>200000</v>
      </c>
      <c r="E17" s="162">
        <v>0</v>
      </c>
      <c r="F17" s="12">
        <v>-1</v>
      </c>
      <c r="G17" s="12">
        <v>-1</v>
      </c>
      <c r="H17" s="12">
        <v>-1</v>
      </c>
      <c r="I17" s="12">
        <v>-1</v>
      </c>
      <c r="J17" s="12">
        <v>-1</v>
      </c>
      <c r="K17" s="12">
        <v>-1</v>
      </c>
      <c r="L17" s="12">
        <v>-1</v>
      </c>
      <c r="M17" s="12"/>
      <c r="N17" s="166">
        <v>0.2</v>
      </c>
      <c r="O17" s="165">
        <f t="shared" si="11"/>
        <v>1377.6</v>
      </c>
      <c r="Q17" s="189" t="s">
        <v>32</v>
      </c>
      <c r="R17" s="43">
        <f t="shared" si="0"/>
        <v>1</v>
      </c>
      <c r="S17" s="43">
        <f t="shared" si="1"/>
        <v>2</v>
      </c>
      <c r="T17" s="188">
        <v>6888</v>
      </c>
      <c r="U17" s="13">
        <f>VLOOKUP(Q17,X:AB,2,0)*T17*10000</f>
        <v>6888</v>
      </c>
      <c r="X17" s="42" t="s">
        <v>90</v>
      </c>
      <c r="Y17" s="43">
        <v>5</v>
      </c>
      <c r="Z17" s="43">
        <v>50</v>
      </c>
      <c r="AA17" s="43">
        <v>2</v>
      </c>
      <c r="AB17" s="13">
        <v>1206</v>
      </c>
      <c r="AC17" s="146">
        <v>1</v>
      </c>
    </row>
    <row r="18" spans="1:29">
      <c r="A18" s="11">
        <v>14</v>
      </c>
      <c r="B18" s="12">
        <v>2</v>
      </c>
      <c r="C18" s="12" t="str">
        <f t="shared" si="10"/>
        <v>1|2|1888</v>
      </c>
      <c r="D18" s="162">
        <f t="shared" si="3"/>
        <v>153000</v>
      </c>
      <c r="E18" s="162">
        <v>0</v>
      </c>
      <c r="F18" s="12">
        <v>-1</v>
      </c>
      <c r="G18" s="12">
        <v>-1</v>
      </c>
      <c r="H18" s="12">
        <v>-1</v>
      </c>
      <c r="I18" s="12">
        <v>-1</v>
      </c>
      <c r="J18" s="12">
        <v>-1</v>
      </c>
      <c r="K18" s="12">
        <v>-1</v>
      </c>
      <c r="L18" s="12">
        <v>-1</v>
      </c>
      <c r="M18" s="12"/>
      <c r="N18" s="166">
        <v>0.153</v>
      </c>
      <c r="O18" s="167">
        <f t="shared" si="11"/>
        <v>288.864</v>
      </c>
      <c r="P18" s="169"/>
      <c r="Q18" s="189" t="s">
        <v>32</v>
      </c>
      <c r="R18" s="43">
        <f t="shared" si="0"/>
        <v>1</v>
      </c>
      <c r="S18" s="43">
        <f t="shared" si="1"/>
        <v>2</v>
      </c>
      <c r="T18" s="188">
        <v>1888</v>
      </c>
      <c r="U18" s="13">
        <f>VLOOKUP(Q18,X:AB,2,0)*T18*10000</f>
        <v>1888</v>
      </c>
      <c r="X18" s="42" t="s">
        <v>49</v>
      </c>
      <c r="Y18" s="43">
        <v>2</v>
      </c>
      <c r="Z18" s="43">
        <v>20</v>
      </c>
      <c r="AA18" s="43">
        <v>2</v>
      </c>
      <c r="AB18" s="13">
        <v>1205</v>
      </c>
      <c r="AC18" s="146">
        <v>1</v>
      </c>
    </row>
    <row r="19" spans="1:29">
      <c r="A19" s="11">
        <v>15</v>
      </c>
      <c r="B19" s="12">
        <v>2</v>
      </c>
      <c r="C19" s="12" t="str">
        <f t="shared" si="10"/>
        <v>1|2|688</v>
      </c>
      <c r="D19" s="162">
        <f t="shared" si="3"/>
        <v>50000</v>
      </c>
      <c r="E19" s="162">
        <v>0</v>
      </c>
      <c r="F19" s="12">
        <v>-1</v>
      </c>
      <c r="G19" s="12">
        <v>-1</v>
      </c>
      <c r="H19" s="12">
        <v>-1</v>
      </c>
      <c r="I19" s="12">
        <v>-1</v>
      </c>
      <c r="J19" s="12">
        <v>-1</v>
      </c>
      <c r="K19" s="12">
        <v>-1</v>
      </c>
      <c r="L19" s="12">
        <v>-1</v>
      </c>
      <c r="M19" s="12"/>
      <c r="N19" s="166">
        <v>0.05</v>
      </c>
      <c r="O19" s="167">
        <f t="shared" si="11"/>
        <v>34.4</v>
      </c>
      <c r="P19" s="169"/>
      <c r="Q19" s="189" t="s">
        <v>32</v>
      </c>
      <c r="R19" s="43">
        <f t="shared" si="0"/>
        <v>1</v>
      </c>
      <c r="S19" s="43">
        <f t="shared" si="1"/>
        <v>2</v>
      </c>
      <c r="T19" s="188">
        <v>688</v>
      </c>
      <c r="U19" s="13">
        <f>VLOOKUP(Q19,X:AB,2,0)*T19*10000</f>
        <v>688</v>
      </c>
      <c r="X19" s="48" t="s">
        <v>50</v>
      </c>
      <c r="Y19" s="49">
        <v>200</v>
      </c>
      <c r="Z19" s="49">
        <v>2000</v>
      </c>
      <c r="AA19" s="49">
        <v>2</v>
      </c>
      <c r="AB19" s="16">
        <v>1208</v>
      </c>
      <c r="AC19" s="146">
        <v>1</v>
      </c>
    </row>
    <row r="20" spans="1:29">
      <c r="A20" s="11">
        <v>16</v>
      </c>
      <c r="B20" s="12">
        <v>2</v>
      </c>
      <c r="C20" s="12" t="str">
        <f t="shared" si="2"/>
        <v>1|1|18</v>
      </c>
      <c r="D20" s="162">
        <f t="shared" si="3"/>
        <v>150000</v>
      </c>
      <c r="E20" s="162">
        <v>0</v>
      </c>
      <c r="F20" s="12">
        <v>-1</v>
      </c>
      <c r="G20" s="12">
        <v>-1</v>
      </c>
      <c r="H20" s="12">
        <v>-1</v>
      </c>
      <c r="I20" s="12">
        <v>-1</v>
      </c>
      <c r="J20" s="12">
        <v>-1</v>
      </c>
      <c r="K20" s="12">
        <v>-1</v>
      </c>
      <c r="L20" s="12">
        <v>-1</v>
      </c>
      <c r="M20" s="12"/>
      <c r="N20" s="166">
        <v>0.15</v>
      </c>
      <c r="O20" s="167">
        <f t="shared" si="4"/>
        <v>2700</v>
      </c>
      <c r="P20" s="169"/>
      <c r="Q20" s="189" t="s">
        <v>35</v>
      </c>
      <c r="R20" s="43">
        <f t="shared" si="0"/>
        <v>1</v>
      </c>
      <c r="S20" s="43">
        <f t="shared" si="1"/>
        <v>1</v>
      </c>
      <c r="T20" s="188">
        <v>18</v>
      </c>
      <c r="U20" s="13">
        <f>VLOOKUP(Q20,X:AB,2,0)*T20*10000</f>
        <v>18000</v>
      </c>
      <c r="X20" s="2" t="s">
        <v>51</v>
      </c>
      <c r="Y20" s="2">
        <v>30</v>
      </c>
      <c r="Z20" s="2">
        <v>300</v>
      </c>
      <c r="AA20" s="2">
        <v>2</v>
      </c>
      <c r="AB20" s="2">
        <v>1209</v>
      </c>
      <c r="AC20" s="146">
        <v>1</v>
      </c>
    </row>
    <row r="21" spans="1:29">
      <c r="A21" s="11">
        <v>17</v>
      </c>
      <c r="B21" s="12">
        <v>2</v>
      </c>
      <c r="C21" s="12" t="str">
        <f t="shared" si="2"/>
        <v>1|1|8</v>
      </c>
      <c r="D21" s="162">
        <f t="shared" si="3"/>
        <v>100000</v>
      </c>
      <c r="E21" s="162">
        <v>0</v>
      </c>
      <c r="F21" s="12">
        <v>-1</v>
      </c>
      <c r="G21" s="12">
        <v>-1</v>
      </c>
      <c r="H21" s="12">
        <v>-1</v>
      </c>
      <c r="I21" s="12">
        <v>-1</v>
      </c>
      <c r="J21" s="12">
        <v>-1</v>
      </c>
      <c r="K21" s="12">
        <v>-1</v>
      </c>
      <c r="L21" s="12">
        <v>-1</v>
      </c>
      <c r="M21" s="12"/>
      <c r="N21" s="166">
        <v>0.1</v>
      </c>
      <c r="O21" s="167">
        <f t="shared" si="4"/>
        <v>800</v>
      </c>
      <c r="P21" s="170" t="s">
        <v>89</v>
      </c>
      <c r="Q21" s="189" t="s">
        <v>35</v>
      </c>
      <c r="R21" s="43">
        <f t="shared" si="0"/>
        <v>1</v>
      </c>
      <c r="S21" s="43">
        <f t="shared" si="1"/>
        <v>1</v>
      </c>
      <c r="T21" s="188">
        <v>8</v>
      </c>
      <c r="U21" s="13">
        <f>VLOOKUP(Q21,X:AB,2,0)*T21*10000</f>
        <v>8000</v>
      </c>
      <c r="X21" s="2" t="s">
        <v>52</v>
      </c>
      <c r="Y21" s="2">
        <v>50</v>
      </c>
      <c r="Z21" s="2">
        <v>500</v>
      </c>
      <c r="AA21" s="2">
        <v>2</v>
      </c>
      <c r="AB21" s="2">
        <v>1210</v>
      </c>
      <c r="AC21" s="146">
        <v>1</v>
      </c>
    </row>
    <row r="22" spans="1:29">
      <c r="A22" s="11">
        <v>18</v>
      </c>
      <c r="B22" s="12">
        <v>2</v>
      </c>
      <c r="C22" s="12" t="str">
        <f t="shared" si="2"/>
        <v>2|1003|2</v>
      </c>
      <c r="D22" s="162">
        <f t="shared" si="3"/>
        <v>167000</v>
      </c>
      <c r="E22" s="162">
        <v>0</v>
      </c>
      <c r="F22" s="12">
        <v>-1</v>
      </c>
      <c r="G22" s="12">
        <v>-1</v>
      </c>
      <c r="H22" s="12">
        <v>-1</v>
      </c>
      <c r="I22" s="12">
        <v>-1</v>
      </c>
      <c r="J22" s="12">
        <v>-1</v>
      </c>
      <c r="K22" s="12">
        <v>-1</v>
      </c>
      <c r="L22" s="12">
        <v>-1</v>
      </c>
      <c r="M22" s="12"/>
      <c r="N22" s="166">
        <f>1-SUM(N15:N21)-SUM(N23:N24)</f>
        <v>0.167</v>
      </c>
      <c r="O22" s="171">
        <f t="shared" si="4"/>
        <v>0</v>
      </c>
      <c r="P22" s="172">
        <f>SUM(O15:O24)</f>
        <v>6100.864</v>
      </c>
      <c r="Q22" s="189" t="s">
        <v>42</v>
      </c>
      <c r="R22" s="43">
        <f t="shared" si="0"/>
        <v>2</v>
      </c>
      <c r="S22" s="43">
        <f t="shared" si="1"/>
        <v>1003</v>
      </c>
      <c r="T22" s="188">
        <v>2</v>
      </c>
      <c r="U22" s="13">
        <v>0</v>
      </c>
      <c r="X22" s="2" t="s">
        <v>53</v>
      </c>
      <c r="Y22" s="2">
        <v>1</v>
      </c>
      <c r="Z22" s="2">
        <v>10</v>
      </c>
      <c r="AA22" s="2">
        <v>1</v>
      </c>
      <c r="AB22" s="2">
        <v>6</v>
      </c>
      <c r="AC22" s="146">
        <v>1</v>
      </c>
    </row>
    <row r="23" spans="1:29">
      <c r="A23" s="11">
        <v>19</v>
      </c>
      <c r="B23" s="12">
        <v>2</v>
      </c>
      <c r="C23" s="12" t="str">
        <f t="shared" si="2"/>
        <v>2|1001|5</v>
      </c>
      <c r="D23" s="162">
        <f t="shared" si="3"/>
        <v>100000</v>
      </c>
      <c r="E23" s="162">
        <v>0</v>
      </c>
      <c r="F23" s="12">
        <v>-1</v>
      </c>
      <c r="G23" s="12">
        <v>-1</v>
      </c>
      <c r="H23" s="12">
        <v>-1</v>
      </c>
      <c r="I23" s="12">
        <v>-1</v>
      </c>
      <c r="J23" s="12">
        <v>-1</v>
      </c>
      <c r="K23" s="12">
        <v>-1</v>
      </c>
      <c r="L23" s="12">
        <v>-1</v>
      </c>
      <c r="M23" s="12"/>
      <c r="N23" s="166">
        <v>0.1</v>
      </c>
      <c r="O23" s="167">
        <f t="shared" si="4"/>
        <v>0</v>
      </c>
      <c r="Q23" s="189" t="s">
        <v>38</v>
      </c>
      <c r="R23" s="43">
        <f t="shared" si="0"/>
        <v>2</v>
      </c>
      <c r="S23" s="43">
        <f t="shared" si="1"/>
        <v>1001</v>
      </c>
      <c r="T23" s="188">
        <v>5</v>
      </c>
      <c r="U23" s="13">
        <v>0</v>
      </c>
      <c r="X23" s="2" t="s">
        <v>54</v>
      </c>
      <c r="Y23" s="2">
        <v>1</v>
      </c>
      <c r="Z23" s="2">
        <v>10</v>
      </c>
      <c r="AA23" s="2">
        <v>2</v>
      </c>
      <c r="AB23" s="2">
        <v>1301</v>
      </c>
      <c r="AC23" s="146">
        <v>1</v>
      </c>
    </row>
    <row r="24" spans="1:29">
      <c r="A24" s="14">
        <v>20</v>
      </c>
      <c r="B24" s="15">
        <v>2</v>
      </c>
      <c r="C24" s="15" t="str">
        <f t="shared" si="2"/>
        <v>2|1001|2</v>
      </c>
      <c r="D24" s="163">
        <f t="shared" si="3"/>
        <v>50000</v>
      </c>
      <c r="E24" s="163">
        <v>0</v>
      </c>
      <c r="F24" s="15">
        <v>-1</v>
      </c>
      <c r="G24" s="15">
        <v>-1</v>
      </c>
      <c r="H24" s="15">
        <v>-1</v>
      </c>
      <c r="I24" s="15">
        <v>-1</v>
      </c>
      <c r="J24" s="15">
        <v>-1</v>
      </c>
      <c r="K24" s="12">
        <v>-1</v>
      </c>
      <c r="L24" s="15">
        <v>-1</v>
      </c>
      <c r="M24" s="15"/>
      <c r="N24" s="174">
        <v>0.05</v>
      </c>
      <c r="O24" s="171">
        <f t="shared" si="4"/>
        <v>0</v>
      </c>
      <c r="Q24" s="190" t="s">
        <v>38</v>
      </c>
      <c r="R24" s="49">
        <f t="shared" si="0"/>
        <v>2</v>
      </c>
      <c r="S24" s="49">
        <f t="shared" si="1"/>
        <v>1001</v>
      </c>
      <c r="T24" s="191">
        <v>2</v>
      </c>
      <c r="U24" s="16">
        <v>0</v>
      </c>
      <c r="X24" s="2" t="s">
        <v>55</v>
      </c>
      <c r="Y24" s="2">
        <v>1</v>
      </c>
      <c r="Z24" s="2">
        <v>10</v>
      </c>
      <c r="AA24" s="2">
        <v>2</v>
      </c>
      <c r="AB24" s="2">
        <v>1302</v>
      </c>
      <c r="AC24" s="146">
        <v>1</v>
      </c>
    </row>
    <row r="25" spans="11:29">
      <c r="K25" s="160"/>
      <c r="L25" s="12"/>
      <c r="Q25" s="2"/>
      <c r="R25" s="2"/>
      <c r="S25" s="2"/>
      <c r="T25" s="2"/>
      <c r="U25" s="2"/>
      <c r="X25" s="2" t="s">
        <v>56</v>
      </c>
      <c r="Y25" s="2">
        <v>1</v>
      </c>
      <c r="Z25" s="2">
        <v>10</v>
      </c>
      <c r="AA25" s="2">
        <v>2</v>
      </c>
      <c r="AB25" s="2">
        <v>1303</v>
      </c>
      <c r="AC25" s="146">
        <v>1</v>
      </c>
    </row>
    <row r="26" spans="17:29">
      <c r="Q26" s="2"/>
      <c r="R26" s="2"/>
      <c r="S26" s="2"/>
      <c r="T26" s="2"/>
      <c r="U26" s="2"/>
      <c r="X26" s="2" t="s">
        <v>57</v>
      </c>
      <c r="Y26" s="2">
        <v>1</v>
      </c>
      <c r="Z26" s="2">
        <v>10</v>
      </c>
      <c r="AA26" s="2">
        <v>2</v>
      </c>
      <c r="AB26" s="2">
        <v>1304</v>
      </c>
      <c r="AC26" s="146">
        <v>1</v>
      </c>
    </row>
    <row r="27" spans="14:29">
      <c r="N27" s="176" t="s">
        <v>91</v>
      </c>
      <c r="O27" s="176"/>
      <c r="P27" s="176"/>
      <c r="Q27" s="192"/>
      <c r="R27" s="192"/>
      <c r="S27" s="192"/>
      <c r="T27" s="192"/>
      <c r="U27" s="193"/>
      <c r="V27" s="193"/>
      <c r="X27" s="2" t="s">
        <v>92</v>
      </c>
      <c r="Y27" s="2">
        <v>40</v>
      </c>
      <c r="Z27" s="2">
        <v>0</v>
      </c>
      <c r="AA27" s="2">
        <v>2</v>
      </c>
      <c r="AB27" s="2">
        <v>1500</v>
      </c>
      <c r="AC27" s="146">
        <v>1</v>
      </c>
    </row>
    <row r="28" spans="14:28">
      <c r="N28" s="176" t="s">
        <v>93</v>
      </c>
      <c r="O28" s="176"/>
      <c r="P28" s="176"/>
      <c r="Q28" s="192"/>
      <c r="R28" s="192"/>
      <c r="S28" s="193"/>
      <c r="T28" s="193"/>
      <c r="U28" s="193"/>
      <c r="V28" s="193"/>
      <c r="X28" s="2" t="s">
        <v>94</v>
      </c>
      <c r="Y28" s="2">
        <v>80</v>
      </c>
      <c r="Z28" s="2">
        <f>Y28*10</f>
        <v>800</v>
      </c>
      <c r="AA28" s="2">
        <v>2</v>
      </c>
      <c r="AB28" s="2">
        <v>1503</v>
      </c>
    </row>
    <row r="29" spans="17:28">
      <c r="Q29" s="2"/>
      <c r="R29" s="2"/>
      <c r="S29" s="2"/>
      <c r="T29" s="2"/>
      <c r="U29" s="2"/>
      <c r="X29" s="2" t="s">
        <v>95</v>
      </c>
      <c r="Y29" s="2">
        <v>110</v>
      </c>
      <c r="Z29" s="2">
        <f>Y29*10</f>
        <v>1100</v>
      </c>
      <c r="AA29" s="2">
        <v>2</v>
      </c>
      <c r="AB29" s="2">
        <v>1504</v>
      </c>
    </row>
    <row r="30" spans="17:28">
      <c r="Q30" s="2"/>
      <c r="R30" s="2"/>
      <c r="S30" s="2"/>
      <c r="T30" s="2"/>
      <c r="U30" s="2"/>
      <c r="X30" s="43" t="s">
        <v>90</v>
      </c>
      <c r="Y30" s="43">
        <v>5</v>
      </c>
      <c r="Z30" s="43">
        <v>50</v>
      </c>
      <c r="AA30" s="43">
        <v>2</v>
      </c>
      <c r="AB30" s="43">
        <v>1206</v>
      </c>
    </row>
    <row r="31" spans="24:28">
      <c r="X31" s="43" t="s">
        <v>96</v>
      </c>
      <c r="Y31" s="44">
        <v>1</v>
      </c>
      <c r="Z31" s="44">
        <v>10</v>
      </c>
      <c r="AA31" s="44">
        <v>2</v>
      </c>
      <c r="AB31" s="43">
        <v>1211</v>
      </c>
    </row>
  </sheetData>
  <conditionalFormatting sqref="E1">
    <cfRule type="containsText" dxfId="0" priority="96" operator="between" text=" ">
      <formula>NOT(ISERROR(SEARCH(" ",E1)))</formula>
    </cfRule>
  </conditionalFormatting>
  <conditionalFormatting sqref="J1">
    <cfRule type="containsText" dxfId="0" priority="130" operator="between" text=" ">
      <formula>NOT(ISERROR(SEARCH(" ",J1)))</formula>
    </cfRule>
  </conditionalFormatting>
  <conditionalFormatting sqref="K1">
    <cfRule type="containsText" dxfId="0" priority="127" operator="between" text=" ">
      <formula>NOT(ISERROR(SEARCH(" ",K1)))</formula>
    </cfRule>
  </conditionalFormatting>
  <conditionalFormatting sqref="L1">
    <cfRule type="containsText" dxfId="0" priority="57" operator="between" text=" ">
      <formula>NOT(ISERROR(SEARCH(" ",L1)))</formula>
    </cfRule>
  </conditionalFormatting>
  <conditionalFormatting sqref="E2">
    <cfRule type="containsText" dxfId="0" priority="95" operator="between" text=" ">
      <formula>NOT(ISERROR(SEARCH(" ",E2)))</formula>
    </cfRule>
  </conditionalFormatting>
  <conditionalFormatting sqref="J2">
    <cfRule type="containsText" dxfId="0" priority="129" operator="between" text=" ">
      <formula>NOT(ISERROR(SEARCH(" ",J2)))</formula>
    </cfRule>
  </conditionalFormatting>
  <conditionalFormatting sqref="K2">
    <cfRule type="containsText" dxfId="0" priority="126" operator="between" text=" ">
      <formula>NOT(ISERROR(SEARCH(" ",K2)))</formula>
    </cfRule>
  </conditionalFormatting>
  <conditionalFormatting sqref="L2">
    <cfRule type="containsText" dxfId="0" priority="56" operator="between" text=" ">
      <formula>NOT(ISERROR(SEARCH(" ",L2)))</formula>
    </cfRule>
  </conditionalFormatting>
  <conditionalFormatting sqref="F4">
    <cfRule type="containsText" dxfId="0" priority="94" operator="between" text=" ">
      <formula>NOT(ISERROR(SEARCH(" ",F4)))</formula>
    </cfRule>
  </conditionalFormatting>
  <conditionalFormatting sqref="Q5">
    <cfRule type="containsText" dxfId="0" priority="16" operator="between" text=" ">
      <formula>NOT(ISERROR(SEARCH(" ",Q5)))</formula>
    </cfRule>
  </conditionalFormatting>
  <conditionalFormatting sqref="T5">
    <cfRule type="containsText" dxfId="0" priority="3" operator="between" text=" ">
      <formula>NOT(ISERROR(SEARCH(" ",T5)))</formula>
    </cfRule>
  </conditionalFormatting>
  <conditionalFormatting sqref="Q6">
    <cfRule type="containsText" dxfId="0" priority="14" operator="between" text=" ">
      <formula>NOT(ISERROR(SEARCH(" ",Q6)))</formula>
    </cfRule>
    <cfRule type="containsText" dxfId="0" priority="15" operator="between" text=" ">
      <formula>NOT(ISERROR(SEARCH(" ",Q6)))</formula>
    </cfRule>
  </conditionalFormatting>
  <conditionalFormatting sqref="T6">
    <cfRule type="containsText" dxfId="0" priority="2" operator="between" text=" ">
      <formula>NOT(ISERROR(SEARCH(" ",T6)))</formula>
    </cfRule>
  </conditionalFormatting>
  <conditionalFormatting sqref="Q7">
    <cfRule type="containsText" dxfId="0" priority="13" operator="between" text=" ">
      <formula>NOT(ISERROR(SEARCH(" ",Q7)))</formula>
    </cfRule>
  </conditionalFormatting>
  <conditionalFormatting sqref="R7:S7">
    <cfRule type="containsText" dxfId="0" priority="124" operator="between" text=" ">
      <formula>NOT(ISERROR(SEARCH(" ",R7)))</formula>
    </cfRule>
  </conditionalFormatting>
  <conditionalFormatting sqref="Q8">
    <cfRule type="containsText" dxfId="0" priority="19" operator="between" text=" ">
      <formula>NOT(ISERROR(SEARCH(" ",Q8)))</formula>
    </cfRule>
  </conditionalFormatting>
  <conditionalFormatting sqref="R8:S8">
    <cfRule type="containsText" dxfId="0" priority="122" operator="between" text=" ">
      <formula>NOT(ISERROR(SEARCH(" ",R8)))</formula>
    </cfRule>
  </conditionalFormatting>
  <conditionalFormatting sqref="Q9">
    <cfRule type="containsText" dxfId="0" priority="20" operator="between" text=" ">
      <formula>NOT(ISERROR(SEARCH(" ",Q9)))</formula>
    </cfRule>
  </conditionalFormatting>
  <conditionalFormatting sqref="R9:S9">
    <cfRule type="containsText" dxfId="0" priority="120" operator="between" text=" ">
      <formula>NOT(ISERROR(SEARCH(" ",R9)))</formula>
    </cfRule>
  </conditionalFormatting>
  <conditionalFormatting sqref="Q10">
    <cfRule type="containsText" dxfId="0" priority="11" operator="between" text=" ">
      <formula>NOT(ISERROR(SEARCH(" ",Q10)))</formula>
    </cfRule>
  </conditionalFormatting>
  <conditionalFormatting sqref="R10:S10">
    <cfRule type="containsText" dxfId="0" priority="118" operator="between" text=" ">
      <formula>NOT(ISERROR(SEARCH(" ",R10)))</formula>
    </cfRule>
  </conditionalFormatting>
  <conditionalFormatting sqref="T10">
    <cfRule type="containsText" dxfId="0" priority="1" operator="between" text=" ">
      <formula>NOT(ISERROR(SEARCH(" ",T10)))</formula>
    </cfRule>
  </conditionalFormatting>
  <conditionalFormatting sqref="U10">
    <cfRule type="containsText" dxfId="0" priority="7" operator="between" text=" ">
      <formula>NOT(ISERROR(SEARCH(" ",U10)))</formula>
    </cfRule>
  </conditionalFormatting>
  <conditionalFormatting sqref="Q11">
    <cfRule type="containsText" dxfId="0" priority="12" operator="between" text=" ">
      <formula>NOT(ISERROR(SEARCH(" ",Q11)))</formula>
    </cfRule>
  </conditionalFormatting>
  <conditionalFormatting sqref="Q12">
    <cfRule type="containsText" dxfId="0" priority="9" operator="between" text=" ">
      <formula>NOT(ISERROR(SEARCH(" ",Q12)))</formula>
    </cfRule>
    <cfRule type="containsText" dxfId="0" priority="10" operator="between" text=" ">
      <formula>NOT(ISERROR(SEARCH(" ",Q12)))</formula>
    </cfRule>
  </conditionalFormatting>
  <conditionalFormatting sqref="U12">
    <cfRule type="containsText" dxfId="0" priority="6" operator="between" text=" ">
      <formula>NOT(ISERROR(SEARCH(" ",U12)))</formula>
    </cfRule>
  </conditionalFormatting>
  <conditionalFormatting sqref="AB12">
    <cfRule type="containsText" dxfId="0" priority="154" operator="between" text=" ">
      <formula>NOT(ISERROR(SEARCH(" ",AB12)))</formula>
    </cfRule>
  </conditionalFormatting>
  <conditionalFormatting sqref="Q13">
    <cfRule type="containsText" dxfId="0" priority="17" operator="between" text=" ">
      <formula>NOT(ISERROR(SEARCH(" ",Q13)))</formula>
    </cfRule>
  </conditionalFormatting>
  <conditionalFormatting sqref="Q14">
    <cfRule type="containsText" dxfId="0" priority="18" operator="between" text=" ">
      <formula>NOT(ISERROR(SEARCH(" ",Q14)))</formula>
    </cfRule>
  </conditionalFormatting>
  <conditionalFormatting sqref="Q15">
    <cfRule type="containsText" dxfId="0" priority="82" operator="between" text=" ">
      <formula>NOT(ISERROR(SEARCH(" ",Q15)))</formula>
    </cfRule>
  </conditionalFormatting>
  <conditionalFormatting sqref="Q16">
    <cfRule type="containsText" dxfId="0" priority="81" operator="between" text=" ">
      <formula>NOT(ISERROR(SEARCH(" ",Q16)))</formula>
    </cfRule>
  </conditionalFormatting>
  <conditionalFormatting sqref="R16:T16">
    <cfRule type="containsText" dxfId="0" priority="115" operator="between" text=" ">
      <formula>NOT(ISERROR(SEARCH(" ",R16)))</formula>
    </cfRule>
  </conditionalFormatting>
  <conditionalFormatting sqref="Q17">
    <cfRule type="containsText" dxfId="0" priority="63" operator="between" text=" ">
      <formula>NOT(ISERROR(SEARCH(" ",Q17)))</formula>
    </cfRule>
  </conditionalFormatting>
  <conditionalFormatting sqref="R17:T17">
    <cfRule type="containsText" dxfId="0" priority="112" operator="between" text=" ">
      <formula>NOT(ISERROR(SEARCH(" ",R17)))</formula>
    </cfRule>
  </conditionalFormatting>
  <conditionalFormatting sqref="T17">
    <cfRule type="containsText" dxfId="0" priority="98" operator="between" text=" ">
      <formula>NOT(ISERROR(SEARCH(" ",T17)))</formula>
    </cfRule>
  </conditionalFormatting>
  <conditionalFormatting sqref="U17">
    <cfRule type="containsText" dxfId="0" priority="113" operator="between" text=" ">
      <formula>NOT(ISERROR(SEARCH(" ",U17)))</formula>
    </cfRule>
  </conditionalFormatting>
  <conditionalFormatting sqref="X17:Y17">
    <cfRule type="containsText" dxfId="0" priority="150" operator="between" text=" ">
      <formula>NOT(ISERROR(SEARCH(" ",X17)))</formula>
    </cfRule>
  </conditionalFormatting>
  <conditionalFormatting sqref="Q18">
    <cfRule type="containsText" dxfId="0" priority="59" operator="between" text=" ">
      <formula>NOT(ISERROR(SEARCH(" ",Q18)))</formula>
    </cfRule>
    <cfRule type="containsText" dxfId="0" priority="64" operator="between" text=" ">
      <formula>NOT(ISERROR(SEARCH(" ",Q18)))</formula>
    </cfRule>
  </conditionalFormatting>
  <conditionalFormatting sqref="R18:S18">
    <cfRule type="containsText" dxfId="0" priority="109" operator="between" text=" ">
      <formula>NOT(ISERROR(SEARCH(" ",R18)))</formula>
    </cfRule>
  </conditionalFormatting>
  <conditionalFormatting sqref="T18">
    <cfRule type="containsText" dxfId="0" priority="58" operator="between" text=" ">
      <formula>NOT(ISERROR(SEARCH(" ",T18)))</formula>
    </cfRule>
  </conditionalFormatting>
  <conditionalFormatting sqref="U18">
    <cfRule type="containsText" dxfId="0" priority="110" operator="between" text=" ">
      <formula>NOT(ISERROR(SEARCH(" ",U18)))</formula>
    </cfRule>
  </conditionalFormatting>
  <conditionalFormatting sqref="X18:Y18">
    <cfRule type="containsText" dxfId="0" priority="149" operator="between" text=" ">
      <formula>NOT(ISERROR(SEARCH(" ",X18)))</formula>
    </cfRule>
  </conditionalFormatting>
  <conditionalFormatting sqref="Q19">
    <cfRule type="containsText" dxfId="0" priority="60" operator="between" text=" ">
      <formula>NOT(ISERROR(SEARCH(" ",Q19)))</formula>
    </cfRule>
    <cfRule type="containsText" dxfId="0" priority="61" operator="between" text=" ">
      <formula>NOT(ISERROR(SEARCH(" ",Q19)))</formula>
    </cfRule>
  </conditionalFormatting>
  <conditionalFormatting sqref="R19:T19">
    <cfRule type="containsText" dxfId="0" priority="106" operator="between" text=" ">
      <formula>NOT(ISERROR(SEARCH(" ",R19)))</formula>
    </cfRule>
  </conditionalFormatting>
  <conditionalFormatting sqref="U19">
    <cfRule type="containsText" dxfId="0" priority="107" operator="between" text=" ">
      <formula>NOT(ISERROR(SEARCH(" ",U19)))</formula>
    </cfRule>
  </conditionalFormatting>
  <conditionalFormatting sqref="AB19">
    <cfRule type="containsText" dxfId="0" priority="148" operator="between" text=" ">
      <formula>NOT(ISERROR(SEARCH(" ",AB19)))</formula>
    </cfRule>
  </conditionalFormatting>
  <conditionalFormatting sqref="Q20">
    <cfRule type="containsText" dxfId="0" priority="62" operator="between" text=" ">
      <formula>NOT(ISERROR(SEARCH(" ",Q20)))</formula>
    </cfRule>
  </conditionalFormatting>
  <conditionalFormatting sqref="R20:T20">
    <cfRule type="containsText" dxfId="0" priority="138" operator="between" text=" ">
      <formula>NOT(ISERROR(SEARCH(" ",R20)))</formula>
    </cfRule>
  </conditionalFormatting>
  <conditionalFormatting sqref="Q21">
    <cfRule type="containsText" dxfId="0" priority="66" operator="between" text=" ">
      <formula>NOT(ISERROR(SEARCH(" ",Q21)))</formula>
    </cfRule>
  </conditionalFormatting>
  <conditionalFormatting sqref="Q22">
    <cfRule type="containsText" dxfId="0" priority="67" operator="between" text=" ">
      <formula>NOT(ISERROR(SEARCH(" ",Q22)))</formula>
    </cfRule>
  </conditionalFormatting>
  <conditionalFormatting sqref="X31">
    <cfRule type="containsText" dxfId="0" priority="91" operator="between" text=" ">
      <formula>NOT(ISERROR(SEARCH(" ",X31)))</formula>
    </cfRule>
  </conditionalFormatting>
  <conditionalFormatting sqref="A2:A3">
    <cfRule type="containsText" dxfId="0" priority="162" operator="between" text=" ">
      <formula>NOT(ISERROR(SEARCH(" ",A2)))</formula>
    </cfRule>
  </conditionalFormatting>
  <conditionalFormatting sqref="J3:J4">
    <cfRule type="containsText" dxfId="0" priority="128" operator="between" text=" ">
      <formula>NOT(ISERROR(SEARCH(" ",J3)))</formula>
    </cfRule>
  </conditionalFormatting>
  <conditionalFormatting sqref="K3:K4">
    <cfRule type="containsText" dxfId="0" priority="125" operator="between" text=" ">
      <formula>NOT(ISERROR(SEARCH(" ",K3)))</formula>
    </cfRule>
  </conditionalFormatting>
  <conditionalFormatting sqref="L3:L4">
    <cfRule type="containsText" dxfId="0" priority="55" operator="between" text=" ">
      <formula>NOT(ISERROR(SEARCH(" ",L3)))</formula>
    </cfRule>
  </conditionalFormatting>
  <conditionalFormatting sqref="Q23:Q24">
    <cfRule type="containsText" dxfId="0" priority="142" operator="between" text=" ">
      <formula>NOT(ISERROR(SEARCH(" ",Q23)))</formula>
    </cfRule>
  </conditionalFormatting>
  <conditionalFormatting sqref="T13:T14">
    <cfRule type="containsText" dxfId="0" priority="4" operator="between" text=" ">
      <formula>NOT(ISERROR(SEARCH(" ",T13)))</formula>
    </cfRule>
  </conditionalFormatting>
  <conditionalFormatting sqref="T21:T24">
    <cfRule type="containsText" dxfId="0" priority="139" operator="between" text=" ">
      <formula>NOT(ISERROR(SEARCH(" ",T21)))</formula>
    </cfRule>
  </conditionalFormatting>
  <conditionalFormatting sqref="Z8:Z11">
    <cfRule type="containsText" dxfId="0" priority="155" operator="between" text=" ">
      <formula>NOT(ISERROR(SEARCH(" ",Z8)))</formula>
    </cfRule>
  </conditionalFormatting>
  <conditionalFormatting sqref="Z13:Z16">
    <cfRule type="containsText" dxfId="0" priority="152" operator="between" text=" ">
      <formula>NOT(ISERROR(SEARCH(" ",Z13)))</formula>
    </cfRule>
  </conditionalFormatting>
  <conditionalFormatting sqref="AB8:AB11">
    <cfRule type="containsText" dxfId="0" priority="156" operator="between" text=" ">
      <formula>NOT(ISERROR(SEARCH(" ",AB8)))</formula>
    </cfRule>
  </conditionalFormatting>
  <conditionalFormatting sqref="AB13:AB16">
    <cfRule type="containsText" dxfId="0" priority="153" operator="between" text=" ">
      <formula>NOT(ISERROR(SEARCH(" ",AB13)))</formula>
    </cfRule>
  </conditionalFormatting>
  <conditionalFormatting sqref="AB30:AB31">
    <cfRule type="containsText" dxfId="0" priority="92" operator="between" text=" ">
      <formula>NOT(ISERROR(SEARCH(" ",AB30)))</formula>
    </cfRule>
  </conditionalFormatting>
  <conditionalFormatting sqref="A4 W1:AB3 X4:AB7 X8:Y11 X12:AA12 W4:W24 X13:Y16 X19:AA19 W27:W37 X20:AB29 AC55:AC1048576 AC18:AC29">
    <cfRule type="containsText" dxfId="0" priority="159" operator="between" text=" ">
      <formula>NOT(ISERROR(SEARCH(" ",A1)))</formula>
    </cfRule>
  </conditionalFormatting>
  <conditionalFormatting sqref="A1 C1">
    <cfRule type="containsText" dxfId="0" priority="164" operator="between" text=" ">
      <formula>NOT(ISERROR(SEARCH(" ",A1)))</formula>
    </cfRule>
  </conditionalFormatting>
  <conditionalFormatting sqref="B1 D1 F1:I1">
    <cfRule type="containsText" dxfId="0" priority="163" operator="between" text=" ">
      <formula>NOT(ISERROR(SEARCH(" ",B1)))</formula>
    </cfRule>
  </conditionalFormatting>
  <conditionalFormatting sqref="B2:D2 F2:I2">
    <cfRule type="containsText" dxfId="0" priority="161" operator="between" text=" ">
      <formula>NOT(ISERROR(SEARCH(" ",B2)))</formula>
    </cfRule>
  </conditionalFormatting>
  <conditionalFormatting sqref="B3:I3 B4:E4 G4:I4">
    <cfRule type="containsText" dxfId="0" priority="160" operator="between" text=" ">
      <formula>NOT(ISERROR(SEARCH(" ",B3)))</formula>
    </cfRule>
  </conditionalFormatting>
  <conditionalFormatting sqref="R5:S6 R15:T15 U20:U24 R11:S14">
    <cfRule type="containsText" dxfId="0" priority="147" operator="between" text=" ">
      <formula>NOT(ISERROR(SEARCH(" ",R5)))</formula>
    </cfRule>
  </conditionalFormatting>
  <conditionalFormatting sqref="U5:U9 U11 U13:U16">
    <cfRule type="containsText" dxfId="0" priority="8" operator="between" text=" ">
      <formula>NOT(ISERROR(SEARCH(" ",U5)))</formula>
    </cfRule>
  </conditionalFormatting>
  <conditionalFormatting sqref="T7:T9 T11:T12">
    <cfRule type="containsText" dxfId="0" priority="5" operator="between" text=" ">
      <formula>NOT(ISERROR(SEARCH(" ",T7)))</formula>
    </cfRule>
  </conditionalFormatting>
  <conditionalFormatting sqref="AA8:AA11 AA13:AA16 W25:W26 Z17:AB18 W55:AB1048576 W38:W54">
    <cfRule type="containsText" dxfId="0" priority="157" operator="between" text=" ">
      <formula>NOT(ISERROR(SEARCH(" ",W8)))</formula>
    </cfRule>
  </conditionalFormatting>
  <conditionalFormatting sqref="R21:S24">
    <cfRule type="containsText" dxfId="0" priority="144" operator="between" text=" ">
      <formula>NOT(ISERROR(SEARCH(" ",R21)))</formula>
    </cfRule>
  </conditionalFormatting>
  <conditionalFormatting sqref="Q25:U28">
    <cfRule type="containsText" dxfId="0" priority="136" operator="between" text=" ">
      <formula>NOT(ISERROR(SEARCH(" ",Q25)))</formula>
    </cfRule>
  </conditionalFormatting>
  <conditionalFormatting sqref="Q29:U30">
    <cfRule type="containsText" dxfId="0" priority="151" operator="between" text=" ">
      <formula>NOT(ISERROR(SEARCH(" ",Q29)))</formula>
    </cfRule>
  </conditionalFormatting>
  <conditionalFormatting sqref="X30:AA30 Y31:AA31">
    <cfRule type="containsText" dxfId="0" priority="93" operator="between" text=" ">
      <formula>NOT(ISERROR(SEARCH(" ",X30)))</formula>
    </cfRule>
  </conditionalFormatting>
  <pageMargins left="0.7" right="0.7" top="0.75" bottom="0.75" header="0.3" footer="0.3"/>
  <pageSetup paperSize="9" orientation="portrait" horizontalDpi="300" verticalDpi="300"/>
  <headerFooter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53"/>
  <sheetViews>
    <sheetView workbookViewId="0">
      <selection activeCell="A1" sqref="A1:J4"/>
    </sheetView>
  </sheetViews>
  <sheetFormatPr defaultColWidth="9" defaultRowHeight="15.6"/>
  <cols>
    <col min="1" max="1" width="9" style="1"/>
    <col min="2" max="2" width="27.7777777777778" style="1" customWidth="1"/>
    <col min="3" max="3" width="33.6666666666667" customWidth="1"/>
    <col min="4" max="4" width="12.2222222222222" style="1" customWidth="1"/>
    <col min="5" max="5" width="12.3333333333333" style="1" customWidth="1"/>
    <col min="6" max="8" width="11.3333333333333" style="1" customWidth="1"/>
    <col min="9" max="9" width="13.1111111111111" style="1" customWidth="1"/>
    <col min="10" max="10" width="15.3333333333333" style="1" customWidth="1"/>
    <col min="11" max="16" width="9" style="1"/>
    <col min="17" max="18" width="14.1111111111111" style="1"/>
    <col min="19" max="19" width="14.4444444444444" style="1" customWidth="1"/>
    <col min="20" max="20" width="10.7777777777778" style="1" customWidth="1"/>
    <col min="21" max="21" width="11.6666666666667" style="1"/>
    <col min="22" max="22" width="14.1111111111111" style="1"/>
    <col min="23" max="16384" width="9" style="1"/>
  </cols>
  <sheetData>
    <row r="1" ht="15" spans="1:10">
      <c r="A1" s="52" t="s">
        <v>0</v>
      </c>
      <c r="B1" s="52" t="s">
        <v>0</v>
      </c>
      <c r="C1" s="148" t="s">
        <v>1</v>
      </c>
      <c r="D1" s="52" t="s">
        <v>1</v>
      </c>
      <c r="E1" s="52" t="s">
        <v>0</v>
      </c>
      <c r="F1" s="52" t="s">
        <v>0</v>
      </c>
      <c r="G1" s="52" t="s">
        <v>0</v>
      </c>
      <c r="H1" s="148" t="s">
        <v>1</v>
      </c>
      <c r="I1" s="52" t="s">
        <v>0</v>
      </c>
      <c r="J1" s="52" t="s">
        <v>0</v>
      </c>
    </row>
    <row r="2" spans="1:12">
      <c r="A2" s="97" t="s">
        <v>9</v>
      </c>
      <c r="B2" s="97" t="s">
        <v>10</v>
      </c>
      <c r="C2" s="97" t="s">
        <v>10</v>
      </c>
      <c r="D2" s="97" t="s">
        <v>10</v>
      </c>
      <c r="E2" s="148" t="s">
        <v>9</v>
      </c>
      <c r="F2" s="148" t="s">
        <v>9</v>
      </c>
      <c r="G2" s="148" t="s">
        <v>9</v>
      </c>
      <c r="H2" s="148" t="s">
        <v>9</v>
      </c>
      <c r="I2" s="97" t="s">
        <v>9</v>
      </c>
      <c r="J2" s="97" t="s">
        <v>10</v>
      </c>
      <c r="L2" s="76" t="s">
        <v>97</v>
      </c>
    </row>
    <row r="3" spans="1:19">
      <c r="A3" s="97" t="s">
        <v>31</v>
      </c>
      <c r="B3" s="97" t="s">
        <v>98</v>
      </c>
      <c r="C3" s="97" t="s">
        <v>99</v>
      </c>
      <c r="D3" s="97" t="s">
        <v>100</v>
      </c>
      <c r="E3" s="97" t="s">
        <v>101</v>
      </c>
      <c r="F3" s="97" t="s">
        <v>102</v>
      </c>
      <c r="G3" s="97" t="s">
        <v>103</v>
      </c>
      <c r="H3" s="148" t="s">
        <v>104</v>
      </c>
      <c r="I3" s="97" t="s">
        <v>105</v>
      </c>
      <c r="J3" s="97" t="s">
        <v>13</v>
      </c>
      <c r="S3" s="1" t="s">
        <v>106</v>
      </c>
    </row>
    <row r="4" ht="107.4" spans="1:19">
      <c r="A4" s="97" t="s">
        <v>72</v>
      </c>
      <c r="B4" s="98" t="s">
        <v>107</v>
      </c>
      <c r="C4" s="98" t="s">
        <v>108</v>
      </c>
      <c r="D4" s="149" t="s">
        <v>109</v>
      </c>
      <c r="E4" s="149" t="s">
        <v>110</v>
      </c>
      <c r="F4" s="150" t="s">
        <v>111</v>
      </c>
      <c r="G4" s="116" t="s">
        <v>112</v>
      </c>
      <c r="H4" s="149" t="s">
        <v>113</v>
      </c>
      <c r="I4" s="150" t="s">
        <v>114</v>
      </c>
      <c r="J4" s="149" t="s">
        <v>115</v>
      </c>
      <c r="M4" s="1" t="s">
        <v>116</v>
      </c>
      <c r="N4" s="153" t="s">
        <v>117</v>
      </c>
      <c r="O4" s="153" t="s">
        <v>118</v>
      </c>
      <c r="P4" s="153" t="s">
        <v>119</v>
      </c>
      <c r="Q4" s="1" t="s">
        <v>120</v>
      </c>
      <c r="S4" s="1" t="s">
        <v>121</v>
      </c>
    </row>
    <row r="5" spans="1:20">
      <c r="A5" s="1">
        <v>1</v>
      </c>
      <c r="B5" s="1">
        <v>8</v>
      </c>
      <c r="C5" s="31" t="s">
        <v>122</v>
      </c>
      <c r="D5" s="1" t="s">
        <v>123</v>
      </c>
      <c r="E5" s="1">
        <v>0</v>
      </c>
      <c r="F5" s="76">
        <v>30</v>
      </c>
      <c r="H5" s="1">
        <v>100</v>
      </c>
      <c r="I5" s="1">
        <v>1</v>
      </c>
      <c r="J5" s="1" t="s">
        <v>124</v>
      </c>
      <c r="M5" s="1">
        <v>0</v>
      </c>
      <c r="N5" s="1">
        <v>3</v>
      </c>
      <c r="O5" s="7">
        <v>1</v>
      </c>
      <c r="P5" s="7">
        <v>3</v>
      </c>
      <c r="Q5" s="1">
        <f>'砸金蛋|SmashEgg'!$P$12*N5+'砸金蛋|SmashEgg'!$P$22*(O5+P5)</f>
        <v>988515.91384</v>
      </c>
      <c r="R5" s="1">
        <f>Q5-N5*300000</f>
        <v>88515.9138400002</v>
      </c>
      <c r="S5" s="1">
        <v>1</v>
      </c>
      <c r="T5" s="152">
        <v>500000</v>
      </c>
    </row>
    <row r="6" spans="1:20">
      <c r="A6" s="1">
        <v>2</v>
      </c>
      <c r="B6" s="1">
        <v>2</v>
      </c>
      <c r="C6" s="151" t="s">
        <v>125</v>
      </c>
      <c r="D6" s="1" t="s">
        <v>126</v>
      </c>
      <c r="E6" s="1">
        <v>6</v>
      </c>
      <c r="F6" s="152">
        <v>10</v>
      </c>
      <c r="H6" s="1">
        <v>90</v>
      </c>
      <c r="I6" s="1">
        <v>0</v>
      </c>
      <c r="J6" s="1" t="s">
        <v>124</v>
      </c>
      <c r="M6" s="1">
        <v>1</v>
      </c>
      <c r="N6" s="1">
        <v>3</v>
      </c>
      <c r="O6" s="7">
        <v>2</v>
      </c>
      <c r="P6" s="7">
        <v>4</v>
      </c>
      <c r="Q6" s="1">
        <f>'砸金蛋|SmashEgg'!$P$12*N6+'砸金蛋|SmashEgg'!$P$22*(O6+P6)</f>
        <v>1000717.64184</v>
      </c>
      <c r="R6" s="1">
        <f t="shared" ref="R6:R15" si="0">Q6-N6*300000</f>
        <v>100717.64184</v>
      </c>
      <c r="S6" s="1">
        <v>2</v>
      </c>
      <c r="T6" s="152">
        <v>500000</v>
      </c>
    </row>
    <row r="7" spans="1:20">
      <c r="A7" s="1">
        <v>3</v>
      </c>
      <c r="B7" s="1">
        <v>14</v>
      </c>
      <c r="C7" s="31" t="s">
        <v>127</v>
      </c>
      <c r="D7" s="1" t="s">
        <v>128</v>
      </c>
      <c r="E7" s="1">
        <v>0</v>
      </c>
      <c r="F7" s="1">
        <v>3600</v>
      </c>
      <c r="H7" s="1">
        <v>80</v>
      </c>
      <c r="I7" s="1">
        <v>0</v>
      </c>
      <c r="J7" s="1" t="s">
        <v>124</v>
      </c>
      <c r="M7" s="1">
        <v>2</v>
      </c>
      <c r="N7" s="1">
        <v>3</v>
      </c>
      <c r="O7" s="7">
        <v>3</v>
      </c>
      <c r="P7" s="7">
        <v>5</v>
      </c>
      <c r="Q7" s="1">
        <f>'砸金蛋|SmashEgg'!$P$12*N7+'砸金蛋|SmashEgg'!$P$22*(O7+P7)</f>
        <v>1012919.36984</v>
      </c>
      <c r="R7" s="1">
        <f t="shared" si="0"/>
        <v>112919.36984</v>
      </c>
      <c r="S7" s="1">
        <v>3</v>
      </c>
      <c r="T7" s="152">
        <v>500000</v>
      </c>
    </row>
    <row r="8" spans="1:20">
      <c r="A8" s="1">
        <v>4</v>
      </c>
      <c r="B8" s="1">
        <v>3</v>
      </c>
      <c r="C8" s="151" t="s">
        <v>129</v>
      </c>
      <c r="D8" s="1" t="s">
        <v>130</v>
      </c>
      <c r="E8" s="1">
        <v>2</v>
      </c>
      <c r="F8" s="1">
        <v>0</v>
      </c>
      <c r="H8" s="1">
        <v>70</v>
      </c>
      <c r="I8" s="1">
        <v>0</v>
      </c>
      <c r="J8" s="1" t="s">
        <v>124</v>
      </c>
      <c r="M8" s="1">
        <v>3</v>
      </c>
      <c r="N8" s="1">
        <v>3</v>
      </c>
      <c r="O8" s="7">
        <v>4</v>
      </c>
      <c r="P8" s="7">
        <v>6</v>
      </c>
      <c r="Q8" s="1">
        <f>'砸金蛋|SmashEgg'!$P$12*N8+'砸金蛋|SmashEgg'!$P$22*(O8+P8)</f>
        <v>1025121.09784</v>
      </c>
      <c r="R8" s="1">
        <f t="shared" si="0"/>
        <v>125121.09784</v>
      </c>
      <c r="S8" s="1">
        <v>4</v>
      </c>
      <c r="T8" s="152">
        <v>500000</v>
      </c>
    </row>
    <row r="9" spans="1:20">
      <c r="A9" s="1">
        <v>5</v>
      </c>
      <c r="B9" s="1">
        <v>27</v>
      </c>
      <c r="C9" s="31" t="s">
        <v>131</v>
      </c>
      <c r="D9" s="1" t="s">
        <v>132</v>
      </c>
      <c r="E9" s="1">
        <v>0</v>
      </c>
      <c r="F9" s="1">
        <v>1</v>
      </c>
      <c r="G9" s="1">
        <v>0</v>
      </c>
      <c r="H9" s="1">
        <v>60</v>
      </c>
      <c r="I9" s="1">
        <v>0</v>
      </c>
      <c r="J9" s="76" t="s">
        <v>133</v>
      </c>
      <c r="M9" s="1">
        <v>4</v>
      </c>
      <c r="N9" s="1">
        <v>3</v>
      </c>
      <c r="O9" s="7">
        <v>5</v>
      </c>
      <c r="P9" s="7">
        <v>7</v>
      </c>
      <c r="Q9" s="1">
        <f>'砸金蛋|SmashEgg'!$P$12*N9+'砸金蛋|SmashEgg'!$P$22*(O9+P9)</f>
        <v>1037322.82584</v>
      </c>
      <c r="R9" s="1">
        <f t="shared" si="0"/>
        <v>137322.82584</v>
      </c>
      <c r="S9" s="1">
        <v>5</v>
      </c>
      <c r="T9" s="152">
        <v>500000</v>
      </c>
    </row>
    <row r="10" spans="1:20">
      <c r="A10" s="1">
        <v>6</v>
      </c>
      <c r="B10" s="1">
        <v>27</v>
      </c>
      <c r="C10" s="31" t="s">
        <v>131</v>
      </c>
      <c r="D10" s="1" t="s">
        <v>132</v>
      </c>
      <c r="E10" s="1">
        <v>0</v>
      </c>
      <c r="F10" s="1">
        <v>1</v>
      </c>
      <c r="G10" s="1">
        <v>1</v>
      </c>
      <c r="H10" s="1">
        <v>60</v>
      </c>
      <c r="I10" s="1">
        <v>0</v>
      </c>
      <c r="J10" s="76" t="s">
        <v>134</v>
      </c>
      <c r="M10" s="1">
        <v>5</v>
      </c>
      <c r="N10" s="1">
        <v>3</v>
      </c>
      <c r="O10" s="7">
        <v>6</v>
      </c>
      <c r="P10" s="7">
        <v>8</v>
      </c>
      <c r="Q10" s="1">
        <f>'砸金蛋|SmashEgg'!$P$12*N10+'砸金蛋|SmashEgg'!$P$22*(O10+P10)</f>
        <v>1049524.55384</v>
      </c>
      <c r="R10" s="1">
        <f t="shared" si="0"/>
        <v>149524.55384</v>
      </c>
      <c r="S10" s="1">
        <v>6</v>
      </c>
      <c r="T10" s="152">
        <v>500000</v>
      </c>
    </row>
    <row r="11" spans="1:20">
      <c r="A11" s="1">
        <v>7</v>
      </c>
      <c r="B11" s="1">
        <v>27</v>
      </c>
      <c r="C11" s="31" t="s">
        <v>131</v>
      </c>
      <c r="D11" s="1" t="s">
        <v>132</v>
      </c>
      <c r="E11" s="1">
        <v>0</v>
      </c>
      <c r="F11" s="1">
        <v>1</v>
      </c>
      <c r="G11" s="1">
        <v>2</v>
      </c>
      <c r="H11" s="1">
        <v>60</v>
      </c>
      <c r="I11" s="1">
        <v>0</v>
      </c>
      <c r="J11" s="76" t="s">
        <v>135</v>
      </c>
      <c r="M11" s="1">
        <v>6</v>
      </c>
      <c r="N11" s="1">
        <v>3</v>
      </c>
      <c r="O11" s="7">
        <v>7</v>
      </c>
      <c r="P11" s="7">
        <v>9</v>
      </c>
      <c r="Q11" s="1">
        <f>'砸金蛋|SmashEgg'!$P$12*N11+'砸金蛋|SmashEgg'!$P$22*(O11+P11)</f>
        <v>1061726.28184</v>
      </c>
      <c r="R11" s="1">
        <f t="shared" si="0"/>
        <v>161726.28184</v>
      </c>
      <c r="S11" s="1">
        <v>7</v>
      </c>
      <c r="T11" s="152">
        <v>500000</v>
      </c>
    </row>
    <row r="12" spans="1:20">
      <c r="A12" s="1">
        <v>8</v>
      </c>
      <c r="B12" s="1">
        <v>27</v>
      </c>
      <c r="C12" s="31" t="s">
        <v>131</v>
      </c>
      <c r="D12" s="1" t="s">
        <v>132</v>
      </c>
      <c r="E12" s="1">
        <v>0</v>
      </c>
      <c r="F12" s="1">
        <v>1</v>
      </c>
      <c r="G12" s="1">
        <v>3</v>
      </c>
      <c r="H12" s="1">
        <v>60</v>
      </c>
      <c r="I12" s="1">
        <v>0</v>
      </c>
      <c r="J12" s="76" t="s">
        <v>136</v>
      </c>
      <c r="M12" s="1">
        <v>7</v>
      </c>
      <c r="N12" s="1">
        <v>3</v>
      </c>
      <c r="O12" s="7">
        <v>8</v>
      </c>
      <c r="P12" s="7">
        <v>10</v>
      </c>
      <c r="Q12" s="1">
        <f>'砸金蛋|SmashEgg'!$P$12*N12+'砸金蛋|SmashEgg'!$P$22*(O12+P12)</f>
        <v>1073928.00984</v>
      </c>
      <c r="R12" s="1">
        <f t="shared" si="0"/>
        <v>173928.00984</v>
      </c>
      <c r="S12" s="1">
        <v>8</v>
      </c>
      <c r="T12" s="152">
        <v>500000</v>
      </c>
    </row>
    <row r="13" spans="1:20">
      <c r="A13" s="1">
        <v>9</v>
      </c>
      <c r="B13" s="1">
        <v>27</v>
      </c>
      <c r="C13" s="31" t="s">
        <v>131</v>
      </c>
      <c r="D13" s="1" t="s">
        <v>132</v>
      </c>
      <c r="E13" s="1">
        <v>0</v>
      </c>
      <c r="F13" s="1">
        <v>1</v>
      </c>
      <c r="G13" s="1">
        <v>4</v>
      </c>
      <c r="H13" s="1">
        <v>60</v>
      </c>
      <c r="I13" s="1">
        <v>0</v>
      </c>
      <c r="J13" s="76" t="s">
        <v>137</v>
      </c>
      <c r="M13" s="1">
        <v>8</v>
      </c>
      <c r="N13" s="1">
        <v>3</v>
      </c>
      <c r="O13" s="7">
        <v>9</v>
      </c>
      <c r="P13" s="7">
        <v>11</v>
      </c>
      <c r="Q13" s="1">
        <f>'砸金蛋|SmashEgg'!$P$12*N13+'砸金蛋|SmashEgg'!$P$22*(O13+P13)</f>
        <v>1086129.73784</v>
      </c>
      <c r="R13" s="1">
        <f t="shared" si="0"/>
        <v>186129.73784</v>
      </c>
      <c r="S13" s="1">
        <v>9</v>
      </c>
      <c r="T13" s="152">
        <v>500000</v>
      </c>
    </row>
    <row r="14" spans="1:20">
      <c r="A14" s="1">
        <v>10</v>
      </c>
      <c r="B14" s="1">
        <v>27</v>
      </c>
      <c r="C14" s="31" t="s">
        <v>131</v>
      </c>
      <c r="D14" s="1" t="s">
        <v>132</v>
      </c>
      <c r="E14" s="1">
        <v>0</v>
      </c>
      <c r="F14" s="1">
        <v>1</v>
      </c>
      <c r="G14" s="1">
        <v>5</v>
      </c>
      <c r="H14" s="1">
        <v>60</v>
      </c>
      <c r="I14" s="1">
        <v>0</v>
      </c>
      <c r="J14" s="76" t="s">
        <v>138</v>
      </c>
      <c r="M14" s="1">
        <v>9</v>
      </c>
      <c r="N14" s="1">
        <v>3</v>
      </c>
      <c r="O14" s="7">
        <v>10</v>
      </c>
      <c r="P14" s="7">
        <v>12</v>
      </c>
      <c r="Q14" s="1">
        <f>'砸金蛋|SmashEgg'!$P$12*N14+'砸金蛋|SmashEgg'!$P$22*(O14+P14)</f>
        <v>1098331.46584</v>
      </c>
      <c r="R14" s="1">
        <f t="shared" si="0"/>
        <v>198331.46584</v>
      </c>
      <c r="S14" s="1">
        <v>10</v>
      </c>
      <c r="T14" s="152">
        <v>500000</v>
      </c>
    </row>
    <row r="15" spans="1:20">
      <c r="A15" s="1">
        <v>11</v>
      </c>
      <c r="B15" s="1">
        <v>27</v>
      </c>
      <c r="C15" s="31" t="s">
        <v>131</v>
      </c>
      <c r="D15" s="1" t="s">
        <v>132</v>
      </c>
      <c r="E15" s="1">
        <v>0</v>
      </c>
      <c r="F15" s="1">
        <v>1</v>
      </c>
      <c r="G15" s="1">
        <v>6</v>
      </c>
      <c r="H15" s="1">
        <v>60</v>
      </c>
      <c r="I15" s="1">
        <v>0</v>
      </c>
      <c r="J15" s="76" t="s">
        <v>139</v>
      </c>
      <c r="M15" s="1">
        <v>10</v>
      </c>
      <c r="N15" s="1">
        <v>3</v>
      </c>
      <c r="O15" s="7">
        <v>12</v>
      </c>
      <c r="P15" s="7">
        <v>15</v>
      </c>
      <c r="Q15" s="1">
        <f>'砸金蛋|SmashEgg'!$P$12*N15+'砸金蛋|SmashEgg'!$P$22*(O15+P15)</f>
        <v>1128835.78584</v>
      </c>
      <c r="R15" s="1">
        <f t="shared" si="0"/>
        <v>228835.78584</v>
      </c>
      <c r="S15" s="1">
        <v>15</v>
      </c>
      <c r="T15" s="152">
        <v>500000</v>
      </c>
    </row>
    <row r="16" spans="1:20">
      <c r="A16" s="1">
        <v>12</v>
      </c>
      <c r="B16" s="1">
        <v>27</v>
      </c>
      <c r="C16" s="31" t="s">
        <v>131</v>
      </c>
      <c r="D16" s="1" t="s">
        <v>132</v>
      </c>
      <c r="E16" s="1">
        <v>0</v>
      </c>
      <c r="F16" s="1">
        <v>1</v>
      </c>
      <c r="G16" s="1">
        <v>7</v>
      </c>
      <c r="H16" s="1">
        <v>60</v>
      </c>
      <c r="I16" s="1">
        <v>0</v>
      </c>
      <c r="J16" s="76" t="s">
        <v>140</v>
      </c>
      <c r="S16" s="1">
        <v>20</v>
      </c>
      <c r="T16" s="152">
        <v>500000</v>
      </c>
    </row>
    <row r="17" spans="1:20">
      <c r="A17" s="1">
        <v>13</v>
      </c>
      <c r="B17" s="1">
        <v>27</v>
      </c>
      <c r="C17" s="31" t="s">
        <v>131</v>
      </c>
      <c r="D17" s="1" t="s">
        <v>132</v>
      </c>
      <c r="E17" s="1">
        <v>0</v>
      </c>
      <c r="F17" s="1">
        <v>1</v>
      </c>
      <c r="G17" s="1">
        <v>8</v>
      </c>
      <c r="H17" s="1">
        <v>60</v>
      </c>
      <c r="I17" s="1">
        <v>0</v>
      </c>
      <c r="J17" s="76" t="s">
        <v>141</v>
      </c>
      <c r="S17" s="1">
        <v>25</v>
      </c>
      <c r="T17" s="152">
        <v>500000</v>
      </c>
    </row>
    <row r="18" spans="1:20">
      <c r="A18" s="1">
        <v>14</v>
      </c>
      <c r="B18" s="1">
        <v>27</v>
      </c>
      <c r="C18" s="31" t="s">
        <v>131</v>
      </c>
      <c r="D18" s="1" t="s">
        <v>132</v>
      </c>
      <c r="E18" s="1">
        <v>0</v>
      </c>
      <c r="F18" s="1">
        <v>1</v>
      </c>
      <c r="G18" s="1">
        <v>9</v>
      </c>
      <c r="H18" s="1">
        <v>60</v>
      </c>
      <c r="I18" s="1">
        <v>0</v>
      </c>
      <c r="J18" s="76" t="s">
        <v>142</v>
      </c>
      <c r="S18" s="1">
        <v>30</v>
      </c>
      <c r="T18" s="152">
        <v>500000</v>
      </c>
    </row>
    <row r="19" spans="1:20">
      <c r="A19" s="1">
        <v>15</v>
      </c>
      <c r="B19" s="1">
        <v>27</v>
      </c>
      <c r="C19" s="31" t="s">
        <v>131</v>
      </c>
      <c r="D19" s="1" t="s">
        <v>132</v>
      </c>
      <c r="E19" s="1">
        <v>0</v>
      </c>
      <c r="F19" s="1">
        <v>1</v>
      </c>
      <c r="G19" s="1">
        <v>10</v>
      </c>
      <c r="H19" s="1">
        <v>60</v>
      </c>
      <c r="I19" s="1">
        <v>0</v>
      </c>
      <c r="J19" s="76" t="s">
        <v>143</v>
      </c>
      <c r="S19" s="1">
        <v>35</v>
      </c>
      <c r="T19" s="152">
        <v>500000</v>
      </c>
    </row>
    <row r="20" spans="3:20">
      <c r="C20" s="31"/>
      <c r="S20" s="1">
        <v>40</v>
      </c>
      <c r="T20" s="152">
        <v>500000</v>
      </c>
    </row>
    <row r="21" spans="19:20">
      <c r="S21" s="1">
        <v>45</v>
      </c>
      <c r="T21" s="152">
        <v>500000</v>
      </c>
    </row>
    <row r="22" spans="19:20">
      <c r="S22" s="7">
        <v>50</v>
      </c>
      <c r="T22" s="152">
        <v>500000</v>
      </c>
    </row>
    <row r="23" spans="19:20">
      <c r="S23" s="1">
        <v>60</v>
      </c>
      <c r="T23" s="152">
        <v>1000000</v>
      </c>
    </row>
    <row r="24" spans="19:20">
      <c r="S24" s="1">
        <v>70</v>
      </c>
      <c r="T24" s="152">
        <v>1000000</v>
      </c>
    </row>
    <row r="25" spans="19:20">
      <c r="S25" s="1">
        <v>80</v>
      </c>
      <c r="T25" s="152">
        <v>1000000</v>
      </c>
    </row>
    <row r="26" spans="3:20">
      <c r="C26" s="2"/>
      <c r="S26" s="1">
        <v>90</v>
      </c>
      <c r="T26" s="152">
        <v>1000000</v>
      </c>
    </row>
    <row r="27" spans="3:20">
      <c r="C27" s="2"/>
      <c r="S27" s="7">
        <v>100</v>
      </c>
      <c r="T27" s="152">
        <v>1000000</v>
      </c>
    </row>
    <row r="28" spans="19:20">
      <c r="S28" s="1">
        <v>150</v>
      </c>
      <c r="T28" s="152">
        <v>3000000</v>
      </c>
    </row>
    <row r="29" ht="16.2" spans="19:20">
      <c r="S29" s="5">
        <v>200</v>
      </c>
      <c r="T29" s="152">
        <v>3000000</v>
      </c>
    </row>
    <row r="30" spans="19:20">
      <c r="S30" s="1">
        <v>250</v>
      </c>
      <c r="T30" s="152">
        <v>3000000</v>
      </c>
    </row>
    <row r="31" spans="19:20">
      <c r="S31" s="7">
        <v>300</v>
      </c>
      <c r="T31" s="152">
        <v>3000000</v>
      </c>
    </row>
    <row r="32" spans="19:20">
      <c r="S32" s="1">
        <v>350</v>
      </c>
      <c r="T32" s="152">
        <v>5000000</v>
      </c>
    </row>
    <row r="33" spans="19:20">
      <c r="S33" s="1">
        <v>400</v>
      </c>
      <c r="T33" s="152">
        <v>5000000</v>
      </c>
    </row>
    <row r="34" spans="19:20">
      <c r="S34" s="1">
        <v>450</v>
      </c>
      <c r="T34" s="152">
        <v>5000000</v>
      </c>
    </row>
    <row r="35" ht="16.2" spans="19:20">
      <c r="S35" s="154">
        <v>500</v>
      </c>
      <c r="T35" s="152">
        <v>5000000</v>
      </c>
    </row>
    <row r="36" spans="19:20">
      <c r="S36" s="1">
        <v>600</v>
      </c>
      <c r="T36" s="152">
        <v>10000000</v>
      </c>
    </row>
    <row r="37" spans="19:20">
      <c r="S37" s="1">
        <v>700</v>
      </c>
      <c r="T37" s="152">
        <v>10000000</v>
      </c>
    </row>
    <row r="38" spans="19:20">
      <c r="S38" s="1">
        <v>800</v>
      </c>
      <c r="T38" s="152">
        <v>10000000</v>
      </c>
    </row>
    <row r="39" spans="19:20">
      <c r="S39" s="1">
        <v>900</v>
      </c>
      <c r="T39" s="152">
        <v>10000000</v>
      </c>
    </row>
    <row r="40" ht="16.2" spans="19:20">
      <c r="S40" s="154">
        <v>1000</v>
      </c>
      <c r="T40" s="152">
        <v>10000000</v>
      </c>
    </row>
    <row r="41" spans="19:20">
      <c r="S41" s="1">
        <v>1500</v>
      </c>
      <c r="T41" s="152">
        <v>20000000</v>
      </c>
    </row>
    <row r="42" spans="19:20">
      <c r="S42" s="7">
        <v>2000</v>
      </c>
      <c r="T42" s="152">
        <v>20000000</v>
      </c>
    </row>
    <row r="43" spans="19:20">
      <c r="S43" s="1">
        <v>2500</v>
      </c>
      <c r="T43" s="152">
        <v>30000000</v>
      </c>
    </row>
    <row r="44" spans="19:20">
      <c r="S44" s="7">
        <v>3000</v>
      </c>
      <c r="T44" s="152">
        <v>30000000</v>
      </c>
    </row>
    <row r="45" ht="16.2" spans="19:20">
      <c r="S45" s="5">
        <v>3500</v>
      </c>
      <c r="T45" s="152">
        <v>50000000</v>
      </c>
    </row>
    <row r="46" spans="19:20">
      <c r="S46" s="1">
        <v>4000</v>
      </c>
      <c r="T46" s="152">
        <v>50000000</v>
      </c>
    </row>
    <row r="47" spans="19:20">
      <c r="S47" s="1">
        <v>4500</v>
      </c>
      <c r="T47" s="152">
        <v>50000000</v>
      </c>
    </row>
    <row r="48" spans="19:20">
      <c r="S48" s="7">
        <v>5000</v>
      </c>
      <c r="T48" s="152">
        <v>50000000</v>
      </c>
    </row>
    <row r="49" spans="19:20">
      <c r="S49" s="1">
        <v>6000</v>
      </c>
      <c r="T49" s="152">
        <v>70000000</v>
      </c>
    </row>
    <row r="50" spans="19:20">
      <c r="S50" s="7">
        <v>7000</v>
      </c>
      <c r="T50" s="152">
        <v>70000000</v>
      </c>
    </row>
    <row r="51" spans="19:20">
      <c r="S51" s="1">
        <v>8000</v>
      </c>
      <c r="T51" s="152">
        <v>100000000</v>
      </c>
    </row>
    <row r="52" spans="19:20">
      <c r="S52" s="1">
        <v>9000</v>
      </c>
      <c r="T52" s="152">
        <v>100000000</v>
      </c>
    </row>
    <row r="53" spans="19:20">
      <c r="S53" s="7">
        <v>10000</v>
      </c>
      <c r="T53" s="152">
        <v>100000000</v>
      </c>
    </row>
  </sheetData>
  <conditionalFormatting sqref="C2">
    <cfRule type="containsText" dxfId="0" priority="9" operator="between" text=" ">
      <formula>NOT(ISERROR(SEARCH(" ",C2)))</formula>
    </cfRule>
  </conditionalFormatting>
  <conditionalFormatting sqref="I2">
    <cfRule type="containsText" dxfId="0" priority="26" operator="between" text=" ">
      <formula>NOT(ISERROR(SEARCH(" ",I2)))</formula>
    </cfRule>
  </conditionalFormatting>
  <conditionalFormatting sqref="C3">
    <cfRule type="containsText" dxfId="0" priority="8" operator="between" text=" ">
      <formula>NOT(ISERROR(SEARCH(" ",C3)))</formula>
    </cfRule>
  </conditionalFormatting>
  <conditionalFormatting sqref="A4">
    <cfRule type="containsText" dxfId="0" priority="31" operator="between" text=" ">
      <formula>NOT(ISERROR(SEARCH(" ",A4)))</formula>
    </cfRule>
  </conditionalFormatting>
  <conditionalFormatting sqref="C4">
    <cfRule type="containsText" dxfId="0" priority="7" operator="between" text=" ">
      <formula>NOT(ISERROR(SEARCH(" ",C4)))</formula>
    </cfRule>
  </conditionalFormatting>
  <conditionalFormatting sqref="H4">
    <cfRule type="containsText" dxfId="0" priority="22" operator="between" text=" ">
      <formula>NOT(ISERROR(SEARCH(" ",H4)))</formula>
    </cfRule>
  </conditionalFormatting>
  <conditionalFormatting sqref="J4">
    <cfRule type="containsText" dxfId="0" priority="18" operator="between" text=" ">
      <formula>NOT(ISERROR(SEARCH(" ",J4)))</formula>
    </cfRule>
  </conditionalFormatting>
  <conditionalFormatting sqref="C5">
    <cfRule type="containsText" dxfId="0" priority="4" operator="between" text=" ">
      <formula>NOT(ISERROR(SEARCH(" ",C5)))</formula>
    </cfRule>
  </conditionalFormatting>
  <conditionalFormatting sqref="H19">
    <cfRule type="containsText" dxfId="0" priority="3" operator="between" text=" ">
      <formula>NOT(ISERROR(SEARCH(" ",H19)))</formula>
    </cfRule>
  </conditionalFormatting>
  <conditionalFormatting sqref="C20">
    <cfRule type="containsText" dxfId="0" priority="10" operator="between" text=" ">
      <formula>NOT(ISERROR(SEARCH(" ",C20)))</formula>
    </cfRule>
  </conditionalFormatting>
  <conditionalFormatting sqref="A2:A3">
    <cfRule type="containsText" dxfId="0" priority="32" operator="between" text=" ">
      <formula>NOT(ISERROR(SEARCH(" ",A2)))</formula>
    </cfRule>
  </conditionalFormatting>
  <conditionalFormatting sqref="B1:B3">
    <cfRule type="containsText" dxfId="0" priority="17" operator="between" text=" ">
      <formula>NOT(ISERROR(SEARCH(" ",B1)))</formula>
    </cfRule>
  </conditionalFormatting>
  <conditionalFormatting sqref="D1:D4">
    <cfRule type="containsText" dxfId="0" priority="19" operator="between" text=" ">
      <formula>NOT(ISERROR(SEARCH(" ",D1)))</formula>
    </cfRule>
  </conditionalFormatting>
  <conditionalFormatting sqref="J1:J3">
    <cfRule type="containsText" dxfId="0" priority="25" operator="between" text=" ">
      <formula>NOT(ISERROR(SEARCH(" ",J1)))</formula>
    </cfRule>
  </conditionalFormatting>
  <conditionalFormatting sqref="S5:S53">
    <cfRule type="containsText" dxfId="0" priority="16" operator="between" text=" ">
      <formula>NOT(ISERROR(SEARCH(" ",S5)))</formula>
    </cfRule>
  </conditionalFormatting>
  <conditionalFormatting sqref="T5:T53">
    <cfRule type="containsText" dxfId="0" priority="1" operator="between" text=" ">
      <formula>NOT(ISERROR(SEARCH(" ",T5)))</formula>
    </cfRule>
  </conditionalFormatting>
  <conditionalFormatting sqref="A1 B4 I1 I3:I4 F4:G4 H5:H18">
    <cfRule type="containsText" dxfId="0" priority="33" operator="between" text=" ">
      <formula>NOT(ISERROR(SEARCH(" ",A1)))</formula>
    </cfRule>
  </conditionalFormatting>
  <conditionalFormatting sqref="E1 E3:E4">
    <cfRule type="containsText" dxfId="0" priority="20" operator="between" text=" ">
      <formula>NOT(ISERROR(SEARCH(" ",E1)))</formula>
    </cfRule>
  </conditionalFormatting>
  <conditionalFormatting sqref="F3:G3 F1:G1">
    <cfRule type="containsText" dxfId="0" priority="24" operator="between" text=" ">
      <formula>NOT(ISERROR(SEARCH(" ",F1)))</formula>
    </cfRule>
  </conditionalFormatting>
  <conditionalFormatting sqref="C6 C8">
    <cfRule type="containsText" dxfId="0" priority="11" operator="between" text=" ">
      <formula>NOT(ISERROR(SEARCH(" ",C6)))</formula>
    </cfRule>
  </conditionalFormatting>
  <conditionalFormatting sqref="C26:C27 C9:C19">
    <cfRule type="containsText" dxfId="0" priority="14" operator="between" text=" ">
      <formula>NOT(ISERROR(SEARCH(" ",C9)))</formula>
    </cfRule>
  </conditionalFormatting>
  <pageMargins left="0.7" right="0.7" top="0.75" bottom="0.75" header="0.3" footer="0.3"/>
  <pageSetup paperSize="9" orientation="portrait" horizontalDpi="300" verticalDpi="300"/>
  <headerFooter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R39"/>
  <sheetViews>
    <sheetView workbookViewId="0">
      <selection activeCell="C5" sqref="C5"/>
    </sheetView>
  </sheetViews>
  <sheetFormatPr defaultColWidth="9" defaultRowHeight="14.4"/>
  <cols>
    <col min="1" max="1" width="5.66666666666667" style="129" customWidth="1"/>
    <col min="2" max="2" width="7.44444444444444" customWidth="1"/>
    <col min="3" max="3" width="20.7777777777778" customWidth="1"/>
    <col min="4" max="4" width="7.44444444444444" customWidth="1"/>
    <col min="5" max="5" width="20.7777777777778" customWidth="1"/>
    <col min="6" max="6" width="7.44444444444444" customWidth="1"/>
    <col min="7" max="7" width="20.7777777777778" customWidth="1"/>
    <col min="8" max="8" width="7.44444444444444" customWidth="1"/>
    <col min="9" max="9" width="20.7777777777778" customWidth="1"/>
    <col min="12" max="12" width="7.11111111111111" customWidth="1"/>
    <col min="13" max="14" width="5.44444444444444" customWidth="1"/>
    <col min="15" max="15" width="7.88888888888889" customWidth="1"/>
    <col min="16" max="16" width="9.11111111111111" customWidth="1"/>
    <col min="17" max="17" width="8.88888888888889" customWidth="1"/>
    <col min="18" max="18" width="7.11111111111111" customWidth="1"/>
    <col min="19" max="19" width="5.44444444444444" customWidth="1"/>
    <col min="20" max="20" width="5.22222222222222" customWidth="1"/>
    <col min="21" max="22" width="7.88888888888889" customWidth="1"/>
    <col min="23" max="23" width="6.22222222222222" customWidth="1"/>
    <col min="24" max="24" width="7.11111111111111" customWidth="1"/>
    <col min="25" max="25" width="5.44444444444444" customWidth="1"/>
    <col min="26" max="26" width="5.88888888888889" customWidth="1"/>
    <col min="27" max="28" width="7.88888888888889" customWidth="1"/>
    <col min="29" max="29" width="7.11111111111111" customWidth="1"/>
    <col min="30" max="30" width="5.44444444444444" customWidth="1"/>
    <col min="31" max="31" width="5.88888888888889" customWidth="1"/>
    <col min="32" max="33" width="7.88888888888889" customWidth="1"/>
    <col min="36" max="36" width="12.2222222222222" customWidth="1"/>
    <col min="37" max="37" width="11.6666666666667" customWidth="1"/>
    <col min="38" max="39" width="13.4444444444444" customWidth="1"/>
  </cols>
  <sheetData>
    <row r="1" ht="15.6" spans="1:36">
      <c r="A1" s="51" t="s">
        <v>0</v>
      </c>
      <c r="B1" s="51" t="s">
        <v>1</v>
      </c>
      <c r="C1" s="130" t="s">
        <v>0</v>
      </c>
      <c r="D1" s="51" t="s">
        <v>1</v>
      </c>
      <c r="E1" s="130" t="s">
        <v>58</v>
      </c>
      <c r="F1" s="51" t="s">
        <v>1</v>
      </c>
      <c r="G1" s="130" t="s">
        <v>58</v>
      </c>
      <c r="H1" s="51" t="s">
        <v>1</v>
      </c>
      <c r="I1" s="130" t="s">
        <v>58</v>
      </c>
      <c r="AJ1" s="83" t="s">
        <v>144</v>
      </c>
    </row>
    <row r="2" ht="15.6" spans="1:36">
      <c r="A2" s="52" t="s">
        <v>9</v>
      </c>
      <c r="B2" s="52" t="s">
        <v>10</v>
      </c>
      <c r="C2" s="52" t="s">
        <v>10</v>
      </c>
      <c r="D2" s="52" t="s">
        <v>10</v>
      </c>
      <c r="E2" s="52" t="s">
        <v>10</v>
      </c>
      <c r="F2" s="52" t="s">
        <v>10</v>
      </c>
      <c r="G2" s="52" t="s">
        <v>10</v>
      </c>
      <c r="H2" s="52" t="s">
        <v>10</v>
      </c>
      <c r="I2" s="52" t="s">
        <v>10</v>
      </c>
      <c r="N2" s="67" t="s">
        <v>145</v>
      </c>
      <c r="O2" s="132"/>
      <c r="AJ2" s="37" t="s">
        <v>146</v>
      </c>
    </row>
    <row r="3" ht="15" spans="1:36">
      <c r="A3" s="52" t="s">
        <v>31</v>
      </c>
      <c r="B3" s="52" t="s">
        <v>147</v>
      </c>
      <c r="C3" s="52" t="s">
        <v>148</v>
      </c>
      <c r="D3" s="52" t="s">
        <v>149</v>
      </c>
      <c r="E3" s="52" t="s">
        <v>150</v>
      </c>
      <c r="F3" s="52" t="s">
        <v>151</v>
      </c>
      <c r="G3" s="52" t="s">
        <v>152</v>
      </c>
      <c r="H3" s="130" t="s">
        <v>153</v>
      </c>
      <c r="I3" s="52" t="s">
        <v>154</v>
      </c>
      <c r="AJ3" s="37" t="s">
        <v>155</v>
      </c>
    </row>
    <row r="4" ht="60" spans="1:44">
      <c r="A4" s="52" t="s">
        <v>156</v>
      </c>
      <c r="B4" s="111" t="s">
        <v>157</v>
      </c>
      <c r="C4" s="111" t="s">
        <v>158</v>
      </c>
      <c r="D4" s="131" t="s">
        <v>159</v>
      </c>
      <c r="E4" s="131" t="s">
        <v>160</v>
      </c>
      <c r="F4" s="54" t="s">
        <v>161</v>
      </c>
      <c r="G4" s="53" t="s">
        <v>162</v>
      </c>
      <c r="H4" s="131" t="s">
        <v>163</v>
      </c>
      <c r="I4" s="54" t="s">
        <v>164</v>
      </c>
      <c r="L4" s="74" t="s">
        <v>86</v>
      </c>
      <c r="M4" s="75" t="s">
        <v>25</v>
      </c>
      <c r="N4" s="75" t="s">
        <v>26</v>
      </c>
      <c r="O4" s="79" t="s">
        <v>165</v>
      </c>
      <c r="P4" s="79" t="s">
        <v>166</v>
      </c>
      <c r="Q4" s="79" t="s">
        <v>167</v>
      </c>
      <c r="R4" s="74" t="s">
        <v>86</v>
      </c>
      <c r="S4" s="75" t="s">
        <v>25</v>
      </c>
      <c r="T4" s="75" t="s">
        <v>26</v>
      </c>
      <c r="U4" s="79" t="s">
        <v>165</v>
      </c>
      <c r="V4" s="79" t="s">
        <v>166</v>
      </c>
      <c r="W4" s="79" t="s">
        <v>167</v>
      </c>
      <c r="X4" s="74" t="s">
        <v>86</v>
      </c>
      <c r="Y4" s="75" t="s">
        <v>25</v>
      </c>
      <c r="Z4" s="75" t="s">
        <v>26</v>
      </c>
      <c r="AA4" s="79" t="s">
        <v>165</v>
      </c>
      <c r="AB4" s="79" t="s">
        <v>166</v>
      </c>
      <c r="AC4" s="74" t="s">
        <v>86</v>
      </c>
      <c r="AD4" s="75" t="s">
        <v>25</v>
      </c>
      <c r="AE4" s="75" t="s">
        <v>26</v>
      </c>
      <c r="AF4" s="79" t="s">
        <v>165</v>
      </c>
      <c r="AG4" s="79" t="s">
        <v>166</v>
      </c>
      <c r="AH4" s="143" t="s">
        <v>168</v>
      </c>
      <c r="AI4" s="144"/>
      <c r="AJ4" s="39" t="s">
        <v>169</v>
      </c>
      <c r="AK4" s="40" t="s">
        <v>29</v>
      </c>
      <c r="AL4" s="41" t="s">
        <v>170</v>
      </c>
      <c r="AM4" s="41" t="s">
        <v>87</v>
      </c>
      <c r="AN4" s="40" t="s">
        <v>25</v>
      </c>
      <c r="AO4" s="50" t="s">
        <v>31</v>
      </c>
      <c r="AP4" s="94" t="s">
        <v>171</v>
      </c>
      <c r="AQ4" s="1"/>
      <c r="AR4" s="1"/>
    </row>
    <row r="5" ht="16.2" spans="1:44">
      <c r="A5" s="1">
        <v>1</v>
      </c>
      <c r="B5" s="60" t="str">
        <f>M5&amp;"|"&amp;N5</f>
        <v>1|2</v>
      </c>
      <c r="C5" s="60" t="str">
        <f>M5&amp;"|"&amp;N5&amp;"|"&amp;O5&amp;","&amp;M5&amp;"|"&amp;N5&amp;"|"&amp;P5</f>
        <v>1|2|10000,1|2|30000</v>
      </c>
      <c r="D5" s="60" t="str">
        <f>S5&amp;"|"&amp;T5</f>
        <v>1|1</v>
      </c>
      <c r="E5" s="60" t="str">
        <f>S5&amp;"|"&amp;T5&amp;"|"&amp;U5&amp;","&amp;S5&amp;"|"&amp;T5&amp;"|"&amp;V5</f>
        <v>1|1|2,1|1|3</v>
      </c>
      <c r="F5" s="60" t="str">
        <f>Y5&amp;"|"&amp;Z5</f>
        <v>2|1001</v>
      </c>
      <c r="G5" s="60" t="str">
        <f>Y5&amp;"|"&amp;Z5&amp;"|"&amp;AA5&amp;","&amp;Y5&amp;"|"&amp;Z5&amp;"|"&amp;AB5</f>
        <v>2|1001|2,2|1001|3</v>
      </c>
      <c r="H5" s="60" t="str">
        <f>AD5&amp;"|"&amp;AE5</f>
        <v>2|1204</v>
      </c>
      <c r="I5" s="60" t="str">
        <f>AD5&amp;"|"&amp;AE5&amp;"|"&amp;AF5&amp;","&amp;AD5&amp;"|"&amp;AE5&amp;"|"&amp;AG5</f>
        <v>2|1204|100,2|1204|200</v>
      </c>
      <c r="K5">
        <f>Q5*6</f>
        <v>120000</v>
      </c>
      <c r="L5" s="133" t="s">
        <v>32</v>
      </c>
      <c r="M5" s="43">
        <f>VLOOKUP(L5,AJ:AO,5,0)</f>
        <v>1</v>
      </c>
      <c r="N5" s="43">
        <f>VLOOKUP(L5,AJ:AO,6,0)</f>
        <v>2</v>
      </c>
      <c r="O5" s="134">
        <v>10000</v>
      </c>
      <c r="P5" s="135">
        <v>30000</v>
      </c>
      <c r="Q5" s="139">
        <f>AVERAGE(O5:P5)</f>
        <v>20000</v>
      </c>
      <c r="R5" s="133" t="s">
        <v>35</v>
      </c>
      <c r="S5" s="43">
        <f>VLOOKUP(R5,AJ:AT,5,0)</f>
        <v>1</v>
      </c>
      <c r="T5" s="43">
        <f>VLOOKUP(R5,AJ:AT,6,0)</f>
        <v>1</v>
      </c>
      <c r="U5" s="134">
        <v>2</v>
      </c>
      <c r="V5" s="135">
        <v>3</v>
      </c>
      <c r="W5" s="139">
        <f t="shared" ref="W5:W11" si="0">AVERAGE(U5:V5)</f>
        <v>2.5</v>
      </c>
      <c r="X5" s="133" t="s">
        <v>38</v>
      </c>
      <c r="Y5" s="43">
        <f>VLOOKUP(X5,AJ:AO,5,0)</f>
        <v>2</v>
      </c>
      <c r="Z5" s="43">
        <f>VLOOKUP(X5,AJ:AO,6,0)</f>
        <v>1001</v>
      </c>
      <c r="AA5" s="134">
        <v>2</v>
      </c>
      <c r="AB5" s="135">
        <v>3</v>
      </c>
      <c r="AC5" s="133" t="s">
        <v>172</v>
      </c>
      <c r="AD5" s="43">
        <f>VLOOKUP(AC5,AJ:AO,5,0)</f>
        <v>2</v>
      </c>
      <c r="AE5" s="43">
        <f>VLOOKUP(AC5,AJ:AO,6,0)</f>
        <v>1204</v>
      </c>
      <c r="AF5" s="142">
        <v>100</v>
      </c>
      <c r="AG5" s="145">
        <v>200</v>
      </c>
      <c r="AH5" s="89">
        <f>IF(AC5="福卡",AVERAGE(AF5:AG5)*6,0)</f>
        <v>900</v>
      </c>
      <c r="AI5" s="89" t="s">
        <v>173</v>
      </c>
      <c r="AJ5" s="42" t="s">
        <v>33</v>
      </c>
      <c r="AK5" s="43">
        <v>1</v>
      </c>
      <c r="AL5" s="43">
        <f>AK5*10</f>
        <v>10</v>
      </c>
      <c r="AM5" s="44">
        <f>AL5/$AL$7</f>
        <v>100000</v>
      </c>
      <c r="AN5" s="43">
        <v>1</v>
      </c>
      <c r="AO5" s="13">
        <v>0</v>
      </c>
      <c r="AP5" s="146">
        <v>1</v>
      </c>
      <c r="AQ5" s="1"/>
      <c r="AR5" s="1"/>
    </row>
    <row r="6" ht="16.2" spans="1:44">
      <c r="A6" s="1">
        <v>2</v>
      </c>
      <c r="B6" s="60" t="str">
        <f t="shared" ref="B6:B11" si="1">M6&amp;"|"&amp;N6</f>
        <v>1|2</v>
      </c>
      <c r="C6" s="60" t="str">
        <f t="shared" ref="C6:C11" si="2">M6&amp;"|"&amp;N6&amp;"|"&amp;O6&amp;","&amp;M6&amp;"|"&amp;N6&amp;"|"&amp;P6</f>
        <v>1|2|5000,1|2|15000</v>
      </c>
      <c r="D6" s="60" t="str">
        <f t="shared" ref="D6:D11" si="3">S6&amp;"|"&amp;T6</f>
        <v>1|1</v>
      </c>
      <c r="E6" s="60" t="str">
        <f t="shared" ref="E6:E11" si="4">S6&amp;"|"&amp;T6&amp;"|"&amp;U6&amp;","&amp;S6&amp;"|"&amp;T6&amp;"|"&amp;V6</f>
        <v>1|1|1,1|1|2</v>
      </c>
      <c r="F6" s="60" t="str">
        <f t="shared" ref="F6:F11" si="5">Y6&amp;"|"&amp;Z6</f>
        <v>2|1001</v>
      </c>
      <c r="G6" s="60" t="str">
        <f t="shared" ref="G6:G11" si="6">Y6&amp;"|"&amp;Z6&amp;"|"&amp;AA6&amp;","&amp;Y6&amp;"|"&amp;Z6&amp;"|"&amp;AB6</f>
        <v>2|1001|1,2|1001|2</v>
      </c>
      <c r="H6" s="60" t="str">
        <f t="shared" ref="H6:H11" si="7">AD6&amp;"|"&amp;AE6</f>
        <v>2|1204</v>
      </c>
      <c r="I6" s="60" t="str">
        <f t="shared" ref="I6:I11" si="8">AD6&amp;"|"&amp;AE6&amp;"|"&amp;AF6&amp;","&amp;AD6&amp;"|"&amp;AE6&amp;"|"&amp;AG6</f>
        <v>2|1204|50,2|1204|150</v>
      </c>
      <c r="K6">
        <f t="shared" ref="K6:K11" si="9">Q6*6</f>
        <v>60000</v>
      </c>
      <c r="L6" s="133" t="s">
        <v>32</v>
      </c>
      <c r="M6" s="43">
        <f t="shared" ref="M6:M11" si="10">VLOOKUP(L6,AJ:AO,5,0)</f>
        <v>1</v>
      </c>
      <c r="N6" s="43">
        <f t="shared" ref="N6:N11" si="11">VLOOKUP(L6,AJ:AO,6,0)</f>
        <v>2</v>
      </c>
      <c r="O6" s="134">
        <v>5000</v>
      </c>
      <c r="P6" s="135">
        <v>15000</v>
      </c>
      <c r="Q6" s="140">
        <f t="shared" ref="Q6:Q11" si="12">AVERAGE(O6:P6)</f>
        <v>10000</v>
      </c>
      <c r="R6" s="133" t="s">
        <v>35</v>
      </c>
      <c r="S6" s="43">
        <f t="shared" ref="S6:S11" si="13">VLOOKUP(R6,AJ:AT,5,0)</f>
        <v>1</v>
      </c>
      <c r="T6" s="43">
        <f t="shared" ref="T6:T11" si="14">VLOOKUP(R6,AJ:AT,6,0)</f>
        <v>1</v>
      </c>
      <c r="U6" s="134">
        <v>1</v>
      </c>
      <c r="V6" s="135">
        <v>2</v>
      </c>
      <c r="W6" s="140">
        <f t="shared" si="0"/>
        <v>1.5</v>
      </c>
      <c r="X6" s="133" t="s">
        <v>38</v>
      </c>
      <c r="Y6" s="43">
        <f t="shared" ref="Y6:Y11" si="15">VLOOKUP(X6,AJ:AO,5,0)</f>
        <v>2</v>
      </c>
      <c r="Z6" s="43">
        <f t="shared" ref="Z6:Z11" si="16">VLOOKUP(X6,AJ:AO,6,0)</f>
        <v>1001</v>
      </c>
      <c r="AA6" s="134">
        <v>1</v>
      </c>
      <c r="AB6" s="135">
        <v>2</v>
      </c>
      <c r="AC6" s="133" t="s">
        <v>172</v>
      </c>
      <c r="AD6" s="43">
        <f t="shared" ref="AD6:AD11" si="17">VLOOKUP(AC6,AJ:AO,5,0)</f>
        <v>2</v>
      </c>
      <c r="AE6" s="43">
        <f t="shared" ref="AE6:AE11" si="18">VLOOKUP(AC6,AJ:AO,6,0)</f>
        <v>1204</v>
      </c>
      <c r="AF6" s="142">
        <v>50</v>
      </c>
      <c r="AG6" s="145">
        <v>150</v>
      </c>
      <c r="AH6" s="89">
        <f t="shared" ref="AH6:AH11" si="19">IF(AC6="福卡",AVERAGE(AF6:AG6)*6,0)</f>
        <v>600</v>
      </c>
      <c r="AI6" s="89" t="s">
        <v>174</v>
      </c>
      <c r="AJ6" s="42" t="s">
        <v>35</v>
      </c>
      <c r="AK6" s="45">
        <f>1/20</f>
        <v>0.05</v>
      </c>
      <c r="AL6" s="45">
        <v>1</v>
      </c>
      <c r="AM6" s="45">
        <f>AL6/$AL$7</f>
        <v>10000</v>
      </c>
      <c r="AN6" s="43">
        <v>1</v>
      </c>
      <c r="AO6" s="13">
        <v>1</v>
      </c>
      <c r="AP6" s="147">
        <v>2.5</v>
      </c>
      <c r="AQ6" s="1"/>
      <c r="AR6" s="1"/>
    </row>
    <row r="7" ht="16.2" spans="1:44">
      <c r="A7" s="1">
        <v>3</v>
      </c>
      <c r="B7" s="60" t="str">
        <f t="shared" si="1"/>
        <v>1|2</v>
      </c>
      <c r="C7" s="60" t="str">
        <f t="shared" si="2"/>
        <v>1|2|4000,1|2|14000</v>
      </c>
      <c r="D7" s="60" t="str">
        <f t="shared" si="3"/>
        <v>1|1</v>
      </c>
      <c r="E7" s="60" t="str">
        <f t="shared" si="4"/>
        <v>1|1|1,1|1|2</v>
      </c>
      <c r="F7" s="60" t="str">
        <f t="shared" si="5"/>
        <v>2|1001</v>
      </c>
      <c r="G7" s="60" t="str">
        <f t="shared" si="6"/>
        <v>2|1001|1,2|1001|2</v>
      </c>
      <c r="H7" s="60" t="str">
        <f t="shared" si="7"/>
        <v>2|1002</v>
      </c>
      <c r="I7" s="60" t="str">
        <f t="shared" si="8"/>
        <v>2|1002|1,2|1002|2</v>
      </c>
      <c r="K7">
        <f t="shared" si="9"/>
        <v>54000</v>
      </c>
      <c r="L7" s="133" t="s">
        <v>32</v>
      </c>
      <c r="M7" s="43">
        <f t="shared" si="10"/>
        <v>1</v>
      </c>
      <c r="N7" s="43">
        <f t="shared" si="11"/>
        <v>2</v>
      </c>
      <c r="O7" s="134">
        <v>4000</v>
      </c>
      <c r="P7" s="135">
        <v>14000</v>
      </c>
      <c r="Q7" s="140">
        <f t="shared" si="12"/>
        <v>9000</v>
      </c>
      <c r="R7" s="133" t="s">
        <v>35</v>
      </c>
      <c r="S7" s="43">
        <f t="shared" si="13"/>
        <v>1</v>
      </c>
      <c r="T7" s="43">
        <f t="shared" si="14"/>
        <v>1</v>
      </c>
      <c r="U7" s="134">
        <v>1</v>
      </c>
      <c r="V7" s="135">
        <v>2</v>
      </c>
      <c r="W7" s="140">
        <f t="shared" si="0"/>
        <v>1.5</v>
      </c>
      <c r="X7" s="133" t="s">
        <v>38</v>
      </c>
      <c r="Y7" s="43">
        <f t="shared" si="15"/>
        <v>2</v>
      </c>
      <c r="Z7" s="43">
        <f t="shared" si="16"/>
        <v>1001</v>
      </c>
      <c r="AA7" s="134">
        <v>1</v>
      </c>
      <c r="AB7" s="135">
        <v>2</v>
      </c>
      <c r="AC7" s="133" t="s">
        <v>40</v>
      </c>
      <c r="AD7" s="43">
        <f t="shared" si="17"/>
        <v>2</v>
      </c>
      <c r="AE7" s="43">
        <f t="shared" si="18"/>
        <v>1002</v>
      </c>
      <c r="AF7" s="134">
        <v>1</v>
      </c>
      <c r="AG7" s="135">
        <v>2</v>
      </c>
      <c r="AH7" s="89">
        <f t="shared" si="19"/>
        <v>0</v>
      </c>
      <c r="AI7" s="89">
        <v>4</v>
      </c>
      <c r="AJ7" s="42" t="s">
        <v>32</v>
      </c>
      <c r="AK7" s="46">
        <f>1/200000</f>
        <v>5e-6</v>
      </c>
      <c r="AL7" s="47">
        <f>1/10000</f>
        <v>0.0001</v>
      </c>
      <c r="AM7" s="47">
        <v>1</v>
      </c>
      <c r="AN7" s="43">
        <v>1</v>
      </c>
      <c r="AO7" s="13">
        <v>2</v>
      </c>
      <c r="AP7" s="146">
        <v>1</v>
      </c>
      <c r="AQ7" s="1"/>
      <c r="AR7" s="1"/>
    </row>
    <row r="8" ht="16.2" spans="1:44">
      <c r="A8" s="1">
        <v>4</v>
      </c>
      <c r="B8" s="60" t="str">
        <f t="shared" si="1"/>
        <v>1|2</v>
      </c>
      <c r="C8" s="60" t="str">
        <f t="shared" si="2"/>
        <v>1|2|3000,1|2|13000</v>
      </c>
      <c r="D8" s="60" t="str">
        <f t="shared" si="3"/>
        <v>1|1</v>
      </c>
      <c r="E8" s="60" t="str">
        <f t="shared" si="4"/>
        <v>1|1|1,1|1|1</v>
      </c>
      <c r="F8" s="60" t="str">
        <f t="shared" si="5"/>
        <v>2|1001</v>
      </c>
      <c r="G8" s="60" t="str">
        <f t="shared" si="6"/>
        <v>2|1001|1,2|1001|1</v>
      </c>
      <c r="H8" s="60" t="str">
        <f t="shared" si="7"/>
        <v>2|1002</v>
      </c>
      <c r="I8" s="60" t="str">
        <f t="shared" si="8"/>
        <v>2|1002|1,2|1002|2</v>
      </c>
      <c r="K8">
        <f t="shared" si="9"/>
        <v>48000</v>
      </c>
      <c r="L8" s="133" t="s">
        <v>32</v>
      </c>
      <c r="M8" s="43">
        <f t="shared" si="10"/>
        <v>1</v>
      </c>
      <c r="N8" s="43">
        <f t="shared" si="11"/>
        <v>2</v>
      </c>
      <c r="O8" s="134">
        <v>3000</v>
      </c>
      <c r="P8" s="135">
        <v>13000</v>
      </c>
      <c r="Q8" s="140">
        <f t="shared" si="12"/>
        <v>8000</v>
      </c>
      <c r="R8" s="133" t="s">
        <v>35</v>
      </c>
      <c r="S8" s="43">
        <f t="shared" si="13"/>
        <v>1</v>
      </c>
      <c r="T8" s="43">
        <f t="shared" si="14"/>
        <v>1</v>
      </c>
      <c r="U8" s="134">
        <v>1</v>
      </c>
      <c r="V8" s="135">
        <v>1</v>
      </c>
      <c r="W8" s="140">
        <f t="shared" si="0"/>
        <v>1</v>
      </c>
      <c r="X8" s="133" t="s">
        <v>38</v>
      </c>
      <c r="Y8" s="43">
        <f t="shared" si="15"/>
        <v>2</v>
      </c>
      <c r="Z8" s="43">
        <f t="shared" si="16"/>
        <v>1001</v>
      </c>
      <c r="AA8" s="134">
        <v>1</v>
      </c>
      <c r="AB8" s="135">
        <v>1</v>
      </c>
      <c r="AC8" s="133" t="s">
        <v>40</v>
      </c>
      <c r="AD8" s="43">
        <f t="shared" si="17"/>
        <v>2</v>
      </c>
      <c r="AE8" s="43">
        <f t="shared" si="18"/>
        <v>1002</v>
      </c>
      <c r="AF8" s="134">
        <v>1</v>
      </c>
      <c r="AG8" s="135">
        <v>2</v>
      </c>
      <c r="AH8" s="89">
        <f t="shared" si="19"/>
        <v>0</v>
      </c>
      <c r="AI8" s="89">
        <v>5</v>
      </c>
      <c r="AJ8" s="42" t="s">
        <v>38</v>
      </c>
      <c r="AK8" s="43">
        <f>AL8/20</f>
        <v>0.1</v>
      </c>
      <c r="AL8" s="43">
        <v>2</v>
      </c>
      <c r="AM8" s="44">
        <f>AL8/$AL$7</f>
        <v>20000</v>
      </c>
      <c r="AN8" s="43">
        <v>2</v>
      </c>
      <c r="AO8" s="13">
        <v>1001</v>
      </c>
      <c r="AP8" s="147">
        <v>2.5</v>
      </c>
      <c r="AQ8" s="1"/>
      <c r="AR8" s="1"/>
    </row>
    <row r="9" ht="16.2" spans="1:44">
      <c r="A9" s="1">
        <v>5</v>
      </c>
      <c r="B9" s="60" t="str">
        <f t="shared" si="1"/>
        <v>1|2</v>
      </c>
      <c r="C9" s="60" t="str">
        <f t="shared" si="2"/>
        <v>1|2|2000,1|2|12000</v>
      </c>
      <c r="D9" s="60" t="str">
        <f t="shared" si="3"/>
        <v>1|1</v>
      </c>
      <c r="E9" s="60" t="str">
        <f t="shared" si="4"/>
        <v>1|1|1,1|1|1</v>
      </c>
      <c r="F9" s="60" t="str">
        <f t="shared" si="5"/>
        <v>2|1001</v>
      </c>
      <c r="G9" s="60" t="str">
        <f t="shared" si="6"/>
        <v>2|1001|1,2|1001|1</v>
      </c>
      <c r="H9" s="60" t="str">
        <f t="shared" si="7"/>
        <v>2|1002</v>
      </c>
      <c r="I9" s="60" t="str">
        <f t="shared" si="8"/>
        <v>2|1002|1,2|1002|2</v>
      </c>
      <c r="K9">
        <f t="shared" si="9"/>
        <v>42000</v>
      </c>
      <c r="L9" s="133" t="s">
        <v>32</v>
      </c>
      <c r="M9" s="43">
        <f t="shared" si="10"/>
        <v>1</v>
      </c>
      <c r="N9" s="43">
        <f t="shared" si="11"/>
        <v>2</v>
      </c>
      <c r="O9" s="134">
        <v>2000</v>
      </c>
      <c r="P9" s="135">
        <v>12000</v>
      </c>
      <c r="Q9" s="140">
        <f t="shared" si="12"/>
        <v>7000</v>
      </c>
      <c r="R9" s="133" t="s">
        <v>35</v>
      </c>
      <c r="S9" s="43">
        <f t="shared" si="13"/>
        <v>1</v>
      </c>
      <c r="T9" s="43">
        <f t="shared" si="14"/>
        <v>1</v>
      </c>
      <c r="U9" s="134">
        <v>1</v>
      </c>
      <c r="V9" s="135">
        <v>1</v>
      </c>
      <c r="W9" s="140">
        <f t="shared" si="0"/>
        <v>1</v>
      </c>
      <c r="X9" s="133" t="s">
        <v>38</v>
      </c>
      <c r="Y9" s="43">
        <f t="shared" si="15"/>
        <v>2</v>
      </c>
      <c r="Z9" s="43">
        <f t="shared" si="16"/>
        <v>1001</v>
      </c>
      <c r="AA9" s="134">
        <v>1</v>
      </c>
      <c r="AB9" s="135">
        <v>1</v>
      </c>
      <c r="AC9" s="133" t="s">
        <v>40</v>
      </c>
      <c r="AD9" s="43">
        <f t="shared" si="17"/>
        <v>2</v>
      </c>
      <c r="AE9" s="43">
        <f t="shared" si="18"/>
        <v>1002</v>
      </c>
      <c r="AF9" s="134">
        <v>1</v>
      </c>
      <c r="AG9" s="135">
        <v>2</v>
      </c>
      <c r="AH9" s="89">
        <f t="shared" si="19"/>
        <v>0</v>
      </c>
      <c r="AI9" s="89">
        <v>6</v>
      </c>
      <c r="AJ9" s="42" t="s">
        <v>40</v>
      </c>
      <c r="AK9" s="43">
        <f t="shared" ref="AK9:AK11" si="20">AL9/20</f>
        <v>0.25</v>
      </c>
      <c r="AL9" s="43">
        <v>5</v>
      </c>
      <c r="AM9" s="44">
        <f>AL9/$AL$7</f>
        <v>50000</v>
      </c>
      <c r="AN9" s="43">
        <v>2</v>
      </c>
      <c r="AO9" s="13">
        <v>1002</v>
      </c>
      <c r="AP9" s="146">
        <v>1</v>
      </c>
      <c r="AQ9" s="1"/>
      <c r="AR9" s="1"/>
    </row>
    <row r="10" ht="16.2" spans="1:44">
      <c r="A10" s="1">
        <v>6</v>
      </c>
      <c r="B10" s="60" t="str">
        <f t="shared" si="1"/>
        <v>1|2</v>
      </c>
      <c r="C10" s="60" t="str">
        <f t="shared" si="2"/>
        <v>1|2|1000,1|2|11000</v>
      </c>
      <c r="D10" s="60" t="str">
        <f t="shared" si="3"/>
        <v>1|1</v>
      </c>
      <c r="E10" s="60" t="str">
        <f t="shared" si="4"/>
        <v>1|1|1,1|1|1</v>
      </c>
      <c r="F10" s="60" t="str">
        <f t="shared" si="5"/>
        <v>2|1001</v>
      </c>
      <c r="G10" s="60" t="str">
        <f t="shared" si="6"/>
        <v>2|1001|1,2|1001|1</v>
      </c>
      <c r="H10" s="60" t="str">
        <f t="shared" si="7"/>
        <v>2|1204</v>
      </c>
      <c r="I10" s="60" t="str">
        <f t="shared" si="8"/>
        <v>2|1204|50,2|1204|100</v>
      </c>
      <c r="K10">
        <f t="shared" si="9"/>
        <v>36000</v>
      </c>
      <c r="L10" s="133" t="s">
        <v>32</v>
      </c>
      <c r="M10" s="43">
        <f t="shared" si="10"/>
        <v>1</v>
      </c>
      <c r="N10" s="43">
        <f t="shared" si="11"/>
        <v>2</v>
      </c>
      <c r="O10" s="134">
        <v>1000</v>
      </c>
      <c r="P10" s="135">
        <v>11000</v>
      </c>
      <c r="Q10" s="140">
        <f t="shared" si="12"/>
        <v>6000</v>
      </c>
      <c r="R10" s="133" t="s">
        <v>35</v>
      </c>
      <c r="S10" s="43">
        <f t="shared" si="13"/>
        <v>1</v>
      </c>
      <c r="T10" s="43">
        <f t="shared" si="14"/>
        <v>1</v>
      </c>
      <c r="U10" s="134">
        <v>1</v>
      </c>
      <c r="V10" s="135">
        <v>1</v>
      </c>
      <c r="W10" s="140">
        <f t="shared" si="0"/>
        <v>1</v>
      </c>
      <c r="X10" s="133" t="s">
        <v>38</v>
      </c>
      <c r="Y10" s="43">
        <f t="shared" si="15"/>
        <v>2</v>
      </c>
      <c r="Z10" s="43">
        <f t="shared" si="16"/>
        <v>1001</v>
      </c>
      <c r="AA10" s="134">
        <v>1</v>
      </c>
      <c r="AB10" s="135">
        <v>1</v>
      </c>
      <c r="AC10" s="133" t="s">
        <v>172</v>
      </c>
      <c r="AD10" s="43">
        <f t="shared" si="17"/>
        <v>2</v>
      </c>
      <c r="AE10" s="43">
        <f t="shared" si="18"/>
        <v>1204</v>
      </c>
      <c r="AF10" s="142">
        <v>50</v>
      </c>
      <c r="AG10" s="145">
        <v>100</v>
      </c>
      <c r="AH10" s="89">
        <f t="shared" si="19"/>
        <v>450</v>
      </c>
      <c r="AI10" s="89" t="s">
        <v>175</v>
      </c>
      <c r="AJ10" s="42" t="s">
        <v>42</v>
      </c>
      <c r="AK10" s="43">
        <f t="shared" si="20"/>
        <v>0.5</v>
      </c>
      <c r="AL10" s="45">
        <v>10</v>
      </c>
      <c r="AM10" s="44">
        <f>AL10/$AL$7</f>
        <v>100000</v>
      </c>
      <c r="AN10" s="43">
        <v>2</v>
      </c>
      <c r="AO10" s="13">
        <v>1003</v>
      </c>
      <c r="AP10" s="147">
        <v>2.5</v>
      </c>
      <c r="AQ10" s="1"/>
      <c r="AR10" s="1"/>
    </row>
    <row r="11" ht="16.2" spans="1:44">
      <c r="A11" s="1">
        <v>7</v>
      </c>
      <c r="B11" s="60" t="str">
        <f t="shared" si="1"/>
        <v>1|2</v>
      </c>
      <c r="C11" s="60" t="str">
        <f t="shared" si="2"/>
        <v>1|2|1000,1|2|10000</v>
      </c>
      <c r="D11" s="60" t="str">
        <f t="shared" si="3"/>
        <v>1|1</v>
      </c>
      <c r="E11" s="60" t="str">
        <f t="shared" si="4"/>
        <v>1|1|1,1|1|1</v>
      </c>
      <c r="F11" s="60" t="str">
        <f t="shared" si="5"/>
        <v>2|1001</v>
      </c>
      <c r="G11" s="60" t="str">
        <f t="shared" si="6"/>
        <v>2|1001|1,2|1001|1</v>
      </c>
      <c r="H11" s="60" t="str">
        <f t="shared" si="7"/>
        <v>2|1002</v>
      </c>
      <c r="I11" s="60" t="str">
        <f t="shared" si="8"/>
        <v>2|1002|1,2|1002|1</v>
      </c>
      <c r="K11">
        <f t="shared" si="9"/>
        <v>33000</v>
      </c>
      <c r="L11" s="136" t="s">
        <v>32</v>
      </c>
      <c r="M11" s="49">
        <f t="shared" si="10"/>
        <v>1</v>
      </c>
      <c r="N11" s="49">
        <f t="shared" si="11"/>
        <v>2</v>
      </c>
      <c r="O11" s="137">
        <v>1000</v>
      </c>
      <c r="P11" s="138">
        <v>10000</v>
      </c>
      <c r="Q11" s="141">
        <f t="shared" si="12"/>
        <v>5500</v>
      </c>
      <c r="R11" s="136" t="s">
        <v>35</v>
      </c>
      <c r="S11" s="49">
        <f t="shared" si="13"/>
        <v>1</v>
      </c>
      <c r="T11" s="49">
        <f t="shared" si="14"/>
        <v>1</v>
      </c>
      <c r="U11" s="137">
        <v>1</v>
      </c>
      <c r="V11" s="138">
        <v>1</v>
      </c>
      <c r="W11" s="141">
        <f t="shared" si="0"/>
        <v>1</v>
      </c>
      <c r="X11" s="136" t="s">
        <v>38</v>
      </c>
      <c r="Y11" s="49">
        <f t="shared" si="15"/>
        <v>2</v>
      </c>
      <c r="Z11" s="49">
        <f t="shared" si="16"/>
        <v>1001</v>
      </c>
      <c r="AA11" s="137">
        <v>1</v>
      </c>
      <c r="AB11" s="138">
        <v>1</v>
      </c>
      <c r="AC11" s="136" t="s">
        <v>40</v>
      </c>
      <c r="AD11" s="49">
        <f t="shared" si="17"/>
        <v>2</v>
      </c>
      <c r="AE11" s="49">
        <f t="shared" si="18"/>
        <v>1002</v>
      </c>
      <c r="AF11" s="137">
        <v>1</v>
      </c>
      <c r="AG11" s="138">
        <v>1</v>
      </c>
      <c r="AH11" s="89">
        <f t="shared" si="19"/>
        <v>0</v>
      </c>
      <c r="AI11" s="89"/>
      <c r="AJ11" s="42" t="s">
        <v>43</v>
      </c>
      <c r="AK11" s="43">
        <f t="shared" si="20"/>
        <v>0.1</v>
      </c>
      <c r="AL11" s="43">
        <v>2</v>
      </c>
      <c r="AM11" s="44">
        <f>AL11/$AL$7</f>
        <v>20000</v>
      </c>
      <c r="AN11" s="43">
        <v>2</v>
      </c>
      <c r="AO11" s="13">
        <v>1004</v>
      </c>
      <c r="AP11" s="146">
        <v>1</v>
      </c>
      <c r="AQ11" s="1"/>
      <c r="AR11" s="1"/>
    </row>
    <row r="12" ht="15.6" spans="11:44">
      <c r="K12">
        <f>SUM(K5:K11)</f>
        <v>393000</v>
      </c>
      <c r="L12" s="89"/>
      <c r="M12" s="89"/>
      <c r="N12" s="89"/>
      <c r="O12" s="89"/>
      <c r="P12" s="89"/>
      <c r="Q12" s="89"/>
      <c r="R12" s="89"/>
      <c r="S12" s="89"/>
      <c r="T12" s="89"/>
      <c r="U12" s="89"/>
      <c r="V12" s="89"/>
      <c r="W12" s="89"/>
      <c r="X12" s="89"/>
      <c r="Y12" s="89"/>
      <c r="Z12" s="89"/>
      <c r="AA12" s="89"/>
      <c r="AB12" s="89"/>
      <c r="AC12" s="89"/>
      <c r="AD12" s="89"/>
      <c r="AE12" s="89"/>
      <c r="AF12" s="89"/>
      <c r="AG12" s="89"/>
      <c r="AH12" s="89">
        <f>SUM(AH5:AH11)</f>
        <v>1950</v>
      </c>
      <c r="AI12" s="2"/>
      <c r="AJ12" s="42" t="s">
        <v>172</v>
      </c>
      <c r="AK12" s="45">
        <f>AK5/1000</f>
        <v>0.001</v>
      </c>
      <c r="AL12" s="43">
        <f>AM12/10000</f>
        <v>0.5</v>
      </c>
      <c r="AM12" s="44">
        <f>5000/1</f>
        <v>5000</v>
      </c>
      <c r="AN12" s="43">
        <v>2</v>
      </c>
      <c r="AO12" s="13">
        <v>1204</v>
      </c>
      <c r="AP12" s="146">
        <v>1</v>
      </c>
      <c r="AQ12" s="1"/>
      <c r="AR12" s="1"/>
    </row>
    <row r="13" ht="15.6" spans="12:44">
      <c r="L13" s="89"/>
      <c r="M13" s="89"/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89"/>
      <c r="Z13" s="89"/>
      <c r="AA13" s="89"/>
      <c r="AB13" s="89"/>
      <c r="AC13" s="89"/>
      <c r="AD13" s="89"/>
      <c r="AE13" s="89"/>
      <c r="AF13" s="89"/>
      <c r="AG13" s="89"/>
      <c r="AH13" s="89"/>
      <c r="AI13" s="2"/>
      <c r="AJ13" s="42" t="s">
        <v>34</v>
      </c>
      <c r="AK13" s="43">
        <f>1000000/200000</f>
        <v>5</v>
      </c>
      <c r="AL13" s="43">
        <f>AK13*20</f>
        <v>100</v>
      </c>
      <c r="AM13" s="44">
        <f>AL13/$AL$7</f>
        <v>1000000</v>
      </c>
      <c r="AN13" s="43">
        <v>2</v>
      </c>
      <c r="AO13" s="13">
        <v>1005</v>
      </c>
      <c r="AP13" s="146">
        <v>1</v>
      </c>
      <c r="AQ13" s="1"/>
      <c r="AR13" s="1"/>
    </row>
    <row r="14" ht="15.6" spans="12:44">
      <c r="L14" s="89"/>
      <c r="M14" s="89"/>
      <c r="N14" s="89"/>
      <c r="O14" s="89"/>
      <c r="P14" s="89"/>
      <c r="Q14" s="89"/>
      <c r="R14" s="89"/>
      <c r="S14" s="89"/>
      <c r="T14" s="89"/>
      <c r="U14" s="89"/>
      <c r="V14" s="89"/>
      <c r="W14" s="89"/>
      <c r="X14" s="89"/>
      <c r="Y14" s="89"/>
      <c r="Z14" s="89"/>
      <c r="AA14" s="89"/>
      <c r="AB14" s="89"/>
      <c r="AC14" s="89"/>
      <c r="AD14" s="89"/>
      <c r="AE14" s="89"/>
      <c r="AF14" s="89"/>
      <c r="AG14" s="89"/>
      <c r="AH14" s="89"/>
      <c r="AI14" s="2"/>
      <c r="AJ14" s="42" t="s">
        <v>37</v>
      </c>
      <c r="AK14" s="43">
        <f>2000000/200000</f>
        <v>10</v>
      </c>
      <c r="AL14" s="43">
        <f t="shared" ref="AL14:AL31" si="21">AK14*20</f>
        <v>200</v>
      </c>
      <c r="AM14" s="44">
        <f t="shared" ref="AM14:AM31" si="22">AL14/$AL$7</f>
        <v>2000000</v>
      </c>
      <c r="AN14" s="43">
        <v>2</v>
      </c>
      <c r="AO14" s="13">
        <v>1006</v>
      </c>
      <c r="AP14" s="146">
        <v>1</v>
      </c>
      <c r="AQ14" s="1"/>
      <c r="AR14" s="1"/>
    </row>
    <row r="15" ht="15.6" spans="12:44">
      <c r="L15" s="89"/>
      <c r="M15" s="89"/>
      <c r="N15" s="89"/>
      <c r="O15" s="89"/>
      <c r="P15" s="89"/>
      <c r="Q15" s="89"/>
      <c r="R15" s="89"/>
      <c r="S15" s="89"/>
      <c r="T15" s="89"/>
      <c r="U15" s="89"/>
      <c r="V15" s="89"/>
      <c r="W15" s="89"/>
      <c r="X15" s="89"/>
      <c r="Y15" s="89"/>
      <c r="Z15" s="89"/>
      <c r="AA15" s="89"/>
      <c r="AB15" s="89"/>
      <c r="AC15" s="89"/>
      <c r="AD15" s="89"/>
      <c r="AE15" s="89"/>
      <c r="AF15" s="89"/>
      <c r="AG15" s="89"/>
      <c r="AH15" s="89"/>
      <c r="AI15" s="2"/>
      <c r="AJ15" s="42" t="s">
        <v>39</v>
      </c>
      <c r="AK15" s="43">
        <f>5000000/200000</f>
        <v>25</v>
      </c>
      <c r="AL15" s="43">
        <f t="shared" si="21"/>
        <v>500</v>
      </c>
      <c r="AM15" s="44">
        <f t="shared" si="22"/>
        <v>5000000</v>
      </c>
      <c r="AN15" s="43">
        <v>2</v>
      </c>
      <c r="AO15" s="13">
        <v>1007</v>
      </c>
      <c r="AP15" s="146">
        <v>1</v>
      </c>
      <c r="AQ15" s="1"/>
      <c r="AR15" s="1"/>
    </row>
    <row r="16" ht="15.6" spans="12:44">
      <c r="L16" s="89"/>
      <c r="M16" s="89"/>
      <c r="N16" s="89"/>
      <c r="O16" s="89"/>
      <c r="P16" s="89"/>
      <c r="Q16" s="89"/>
      <c r="R16" s="89"/>
      <c r="S16" s="89"/>
      <c r="T16" s="89"/>
      <c r="U16" s="89"/>
      <c r="V16" s="89"/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2"/>
      <c r="AJ16" s="42" t="s">
        <v>44</v>
      </c>
      <c r="AK16" s="43">
        <f>10000000/200000</f>
        <v>50</v>
      </c>
      <c r="AL16" s="43">
        <f t="shared" si="21"/>
        <v>1000</v>
      </c>
      <c r="AM16" s="44">
        <f t="shared" si="22"/>
        <v>10000000</v>
      </c>
      <c r="AN16" s="43">
        <v>2</v>
      </c>
      <c r="AO16" s="13">
        <v>1008</v>
      </c>
      <c r="AP16" s="146">
        <v>1</v>
      </c>
      <c r="AQ16" s="1"/>
      <c r="AR16" s="1"/>
    </row>
    <row r="17" ht="15.6" spans="12:44">
      <c r="L17" s="89"/>
      <c r="M17" s="89"/>
      <c r="N17" s="89"/>
      <c r="O17" s="89"/>
      <c r="P17" s="89"/>
      <c r="Q17" s="89"/>
      <c r="R17" s="89"/>
      <c r="S17" s="89"/>
      <c r="T17" s="89"/>
      <c r="U17" s="89"/>
      <c r="V17" s="89"/>
      <c r="W17" s="89"/>
      <c r="X17" s="89"/>
      <c r="Y17" s="89"/>
      <c r="Z17" s="89"/>
      <c r="AA17" s="89"/>
      <c r="AB17" s="89"/>
      <c r="AC17" s="89"/>
      <c r="AD17" s="89"/>
      <c r="AE17" s="89"/>
      <c r="AF17" s="89"/>
      <c r="AG17" s="89"/>
      <c r="AH17" s="89"/>
      <c r="AI17" s="2"/>
      <c r="AJ17" s="42" t="s">
        <v>90</v>
      </c>
      <c r="AK17" s="43">
        <v>5</v>
      </c>
      <c r="AL17" s="43">
        <f t="shared" si="21"/>
        <v>100</v>
      </c>
      <c r="AM17" s="44">
        <f t="shared" si="22"/>
        <v>1000000</v>
      </c>
      <c r="AN17" s="43">
        <v>2</v>
      </c>
      <c r="AO17" s="13">
        <v>1206</v>
      </c>
      <c r="AP17" s="146">
        <v>1</v>
      </c>
      <c r="AQ17" s="1"/>
      <c r="AR17" s="1"/>
    </row>
    <row r="18" ht="15.6" spans="12:44">
      <c r="L18" s="89"/>
      <c r="M18" s="89"/>
      <c r="N18" s="89"/>
      <c r="O18" s="89"/>
      <c r="P18" s="89"/>
      <c r="Q18" s="89"/>
      <c r="R18" s="89"/>
      <c r="S18" s="89"/>
      <c r="T18" s="89"/>
      <c r="U18" s="89"/>
      <c r="V18" s="89"/>
      <c r="W18" s="89"/>
      <c r="X18" s="89"/>
      <c r="Y18" s="89"/>
      <c r="Z18" s="89"/>
      <c r="AA18" s="89"/>
      <c r="AB18" s="89"/>
      <c r="AC18" s="89"/>
      <c r="AD18" s="89"/>
      <c r="AE18" s="89"/>
      <c r="AF18" s="89"/>
      <c r="AG18" s="89"/>
      <c r="AH18" s="89"/>
      <c r="AI18" s="2"/>
      <c r="AJ18" s="42" t="s">
        <v>49</v>
      </c>
      <c r="AK18" s="43">
        <v>2</v>
      </c>
      <c r="AL18" s="43">
        <f t="shared" si="21"/>
        <v>40</v>
      </c>
      <c r="AM18" s="44">
        <f t="shared" si="22"/>
        <v>400000</v>
      </c>
      <c r="AN18" s="43">
        <v>2</v>
      </c>
      <c r="AO18" s="13">
        <v>1205</v>
      </c>
      <c r="AP18" s="146">
        <v>1</v>
      </c>
      <c r="AQ18" s="1"/>
      <c r="AR18" s="1"/>
    </row>
    <row r="19" ht="15.6" spans="12:44">
      <c r="L19" s="8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  <c r="AA19" s="89"/>
      <c r="AB19" s="89"/>
      <c r="AC19" s="89"/>
      <c r="AD19" s="89"/>
      <c r="AE19" s="89"/>
      <c r="AF19" s="89"/>
      <c r="AG19" s="89"/>
      <c r="AH19" s="89"/>
      <c r="AI19" s="2"/>
      <c r="AJ19" s="48" t="s">
        <v>50</v>
      </c>
      <c r="AK19" s="49">
        <v>200</v>
      </c>
      <c r="AL19" s="43">
        <f t="shared" si="21"/>
        <v>4000</v>
      </c>
      <c r="AM19" s="44">
        <f t="shared" si="22"/>
        <v>40000000</v>
      </c>
      <c r="AN19" s="49">
        <v>2</v>
      </c>
      <c r="AO19" s="16">
        <v>1208</v>
      </c>
      <c r="AP19" s="146">
        <v>1</v>
      </c>
      <c r="AQ19" s="1"/>
      <c r="AR19" s="1"/>
    </row>
    <row r="20" ht="15.6" spans="12:44">
      <c r="L20" s="89"/>
      <c r="M20" s="89"/>
      <c r="N20" s="89"/>
      <c r="O20" s="89"/>
      <c r="P20" s="89"/>
      <c r="Q20" s="89"/>
      <c r="R20" s="89"/>
      <c r="S20" s="89"/>
      <c r="T20" s="89"/>
      <c r="U20" s="89"/>
      <c r="W20" s="89"/>
      <c r="X20" s="89"/>
      <c r="Y20" s="89"/>
      <c r="Z20" s="89"/>
      <c r="AA20" s="89"/>
      <c r="AB20" s="89"/>
      <c r="AC20" s="89"/>
      <c r="AD20" s="89"/>
      <c r="AE20" s="89"/>
      <c r="AF20" s="89"/>
      <c r="AG20" s="89"/>
      <c r="AH20" s="89"/>
      <c r="AI20" s="2"/>
      <c r="AJ20" s="2" t="s">
        <v>51</v>
      </c>
      <c r="AK20" s="2">
        <v>30</v>
      </c>
      <c r="AL20" s="43">
        <f t="shared" si="21"/>
        <v>600</v>
      </c>
      <c r="AM20" s="44">
        <f t="shared" si="22"/>
        <v>6000000</v>
      </c>
      <c r="AN20" s="2">
        <v>2</v>
      </c>
      <c r="AO20" s="2">
        <v>1209</v>
      </c>
      <c r="AP20" s="146">
        <v>1</v>
      </c>
      <c r="AQ20" s="1"/>
      <c r="AR20" s="1"/>
    </row>
    <row r="21" ht="15.6" spans="12:44">
      <c r="L21" s="89"/>
      <c r="M21" s="89"/>
      <c r="N21" s="89"/>
      <c r="O21" s="89"/>
      <c r="P21" s="89"/>
      <c r="Q21" s="89"/>
      <c r="R21" s="89"/>
      <c r="S21" s="89"/>
      <c r="T21" s="89"/>
      <c r="U21" s="89"/>
      <c r="W21" s="89"/>
      <c r="X21" s="89"/>
      <c r="Y21" s="89"/>
      <c r="Z21" s="89"/>
      <c r="AA21" s="89"/>
      <c r="AB21" s="89"/>
      <c r="AC21" s="89"/>
      <c r="AD21" s="89"/>
      <c r="AE21" s="89"/>
      <c r="AF21" s="89"/>
      <c r="AG21" s="89"/>
      <c r="AH21" s="89"/>
      <c r="AI21" s="2"/>
      <c r="AJ21" s="2" t="s">
        <v>52</v>
      </c>
      <c r="AK21" s="2">
        <v>50</v>
      </c>
      <c r="AL21" s="43">
        <f t="shared" si="21"/>
        <v>1000</v>
      </c>
      <c r="AM21" s="44">
        <f t="shared" si="22"/>
        <v>10000000</v>
      </c>
      <c r="AN21" s="2">
        <v>2</v>
      </c>
      <c r="AO21" s="2">
        <v>1210</v>
      </c>
      <c r="AP21" s="146">
        <v>1</v>
      </c>
      <c r="AQ21" s="1"/>
      <c r="AR21" s="1"/>
    </row>
    <row r="22" ht="15.6" spans="12:44">
      <c r="L22" s="89"/>
      <c r="M22" s="89"/>
      <c r="N22" s="89"/>
      <c r="O22" s="89"/>
      <c r="P22" s="89"/>
      <c r="Q22" s="89"/>
      <c r="R22" s="89"/>
      <c r="S22" s="89"/>
      <c r="T22" s="89"/>
      <c r="U22" s="89"/>
      <c r="W22" s="89"/>
      <c r="X22" s="89"/>
      <c r="Y22" s="89"/>
      <c r="Z22" s="89"/>
      <c r="AA22" s="89"/>
      <c r="AB22" s="89"/>
      <c r="AC22" s="89"/>
      <c r="AD22" s="89"/>
      <c r="AE22" s="89"/>
      <c r="AF22" s="89"/>
      <c r="AG22" s="89"/>
      <c r="AH22" s="89"/>
      <c r="AI22" s="2"/>
      <c r="AJ22" s="2" t="s">
        <v>53</v>
      </c>
      <c r="AK22" s="2">
        <v>1</v>
      </c>
      <c r="AL22" s="43">
        <f t="shared" si="21"/>
        <v>20</v>
      </c>
      <c r="AM22" s="44">
        <f t="shared" si="22"/>
        <v>200000</v>
      </c>
      <c r="AN22" s="2">
        <v>1</v>
      </c>
      <c r="AO22" s="2">
        <v>6</v>
      </c>
      <c r="AP22" s="146">
        <v>1</v>
      </c>
      <c r="AQ22" s="1"/>
      <c r="AR22" s="1"/>
    </row>
    <row r="23" ht="15.6" spans="12:44">
      <c r="L23" s="89"/>
      <c r="M23" s="89"/>
      <c r="N23" s="89"/>
      <c r="O23" s="89"/>
      <c r="P23" s="89"/>
      <c r="Q23" s="89"/>
      <c r="R23" s="89"/>
      <c r="S23" s="89"/>
      <c r="T23" s="89"/>
      <c r="U23" s="89"/>
      <c r="W23" s="89"/>
      <c r="X23" s="89"/>
      <c r="Y23" s="89"/>
      <c r="Z23" s="89"/>
      <c r="AA23" s="89"/>
      <c r="AB23" s="89"/>
      <c r="AC23" s="89"/>
      <c r="AD23" s="89"/>
      <c r="AE23" s="89"/>
      <c r="AF23" s="89"/>
      <c r="AG23" s="89"/>
      <c r="AH23" s="89"/>
      <c r="AI23" s="2"/>
      <c r="AJ23" s="2" t="s">
        <v>54</v>
      </c>
      <c r="AK23" s="2">
        <v>1</v>
      </c>
      <c r="AL23" s="43">
        <f t="shared" si="21"/>
        <v>20</v>
      </c>
      <c r="AM23" s="44">
        <f t="shared" si="22"/>
        <v>200000</v>
      </c>
      <c r="AN23" s="2">
        <v>2</v>
      </c>
      <c r="AO23" s="2">
        <v>1301</v>
      </c>
      <c r="AP23" s="146">
        <v>1</v>
      </c>
      <c r="AQ23" s="1"/>
      <c r="AR23" s="1"/>
    </row>
    <row r="24" ht="15.6" spans="12:44">
      <c r="L24" s="89"/>
      <c r="M24" s="89"/>
      <c r="N24" s="89"/>
      <c r="O24" s="89"/>
      <c r="P24" s="89"/>
      <c r="Q24" s="89"/>
      <c r="R24" s="89"/>
      <c r="S24" s="89"/>
      <c r="T24" s="89"/>
      <c r="U24" s="89"/>
      <c r="W24" s="89"/>
      <c r="X24" s="89"/>
      <c r="Y24" s="89"/>
      <c r="Z24" s="89"/>
      <c r="AA24" s="89"/>
      <c r="AB24" s="89"/>
      <c r="AC24" s="89"/>
      <c r="AD24" s="89"/>
      <c r="AE24" s="89"/>
      <c r="AF24" s="89"/>
      <c r="AG24" s="89"/>
      <c r="AH24" s="89"/>
      <c r="AI24" s="2"/>
      <c r="AJ24" s="2" t="s">
        <v>55</v>
      </c>
      <c r="AK24" s="2">
        <v>1</v>
      </c>
      <c r="AL24" s="43">
        <f t="shared" si="21"/>
        <v>20</v>
      </c>
      <c r="AM24" s="44">
        <f t="shared" si="22"/>
        <v>200000</v>
      </c>
      <c r="AN24" s="2">
        <v>2</v>
      </c>
      <c r="AO24" s="2">
        <v>1302</v>
      </c>
      <c r="AP24" s="146">
        <v>1</v>
      </c>
      <c r="AQ24" s="1"/>
      <c r="AR24" s="1"/>
    </row>
    <row r="25" ht="15.6" spans="12:44">
      <c r="L25" s="89"/>
      <c r="M25" s="89"/>
      <c r="N25" s="89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89"/>
      <c r="AB25" s="89"/>
      <c r="AC25" s="89"/>
      <c r="AD25" s="89"/>
      <c r="AE25" s="89"/>
      <c r="AF25" s="89"/>
      <c r="AG25" s="89"/>
      <c r="AH25" s="89"/>
      <c r="AI25" s="2"/>
      <c r="AJ25" s="2" t="s">
        <v>56</v>
      </c>
      <c r="AK25" s="2">
        <v>1</v>
      </c>
      <c r="AL25" s="43">
        <f t="shared" si="21"/>
        <v>20</v>
      </c>
      <c r="AM25" s="44">
        <f t="shared" si="22"/>
        <v>200000</v>
      </c>
      <c r="AN25" s="2">
        <v>2</v>
      </c>
      <c r="AO25" s="2">
        <v>1303</v>
      </c>
      <c r="AP25" s="146">
        <v>1</v>
      </c>
      <c r="AQ25" s="1"/>
      <c r="AR25" s="1"/>
    </row>
    <row r="26" ht="15.6" spans="12:44"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89"/>
      <c r="AB26" s="89"/>
      <c r="AC26" s="89"/>
      <c r="AD26" s="89"/>
      <c r="AE26" s="89"/>
      <c r="AF26" s="89"/>
      <c r="AG26" s="89"/>
      <c r="AH26" s="89"/>
      <c r="AI26" s="2"/>
      <c r="AJ26" s="2" t="s">
        <v>57</v>
      </c>
      <c r="AK26" s="2">
        <v>1</v>
      </c>
      <c r="AL26" s="43">
        <f t="shared" si="21"/>
        <v>20</v>
      </c>
      <c r="AM26" s="44">
        <f t="shared" si="22"/>
        <v>200000</v>
      </c>
      <c r="AN26" s="2">
        <v>2</v>
      </c>
      <c r="AO26" s="2">
        <v>1304</v>
      </c>
      <c r="AP26" s="146">
        <v>1</v>
      </c>
      <c r="AQ26" s="1"/>
      <c r="AR26" s="1"/>
    </row>
    <row r="27" ht="15.6" spans="12:44"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  <c r="AA27" s="89"/>
      <c r="AB27" s="89"/>
      <c r="AC27" s="89"/>
      <c r="AD27" s="89"/>
      <c r="AE27" s="89"/>
      <c r="AF27" s="89"/>
      <c r="AG27" s="89"/>
      <c r="AH27" s="89"/>
      <c r="AI27" s="2"/>
      <c r="AJ27" s="2" t="s">
        <v>92</v>
      </c>
      <c r="AK27" s="2">
        <v>40</v>
      </c>
      <c r="AL27" s="43">
        <f t="shared" si="21"/>
        <v>800</v>
      </c>
      <c r="AM27" s="44">
        <f t="shared" si="22"/>
        <v>8000000</v>
      </c>
      <c r="AN27" s="2">
        <v>2</v>
      </c>
      <c r="AO27" s="2">
        <v>1500</v>
      </c>
      <c r="AP27" s="146">
        <v>1</v>
      </c>
      <c r="AQ27" s="1"/>
      <c r="AR27" s="1"/>
    </row>
    <row r="28" ht="15.6" spans="12:44">
      <c r="L28" s="89"/>
      <c r="M28" s="89"/>
      <c r="N28" s="89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89"/>
      <c r="AB28" s="89"/>
      <c r="AC28" s="89"/>
      <c r="AD28" s="89"/>
      <c r="AE28" s="89"/>
      <c r="AF28" s="89"/>
      <c r="AG28" s="89"/>
      <c r="AH28" s="89"/>
      <c r="AI28" s="2"/>
      <c r="AJ28" s="2" t="s">
        <v>94</v>
      </c>
      <c r="AK28" s="2">
        <v>80</v>
      </c>
      <c r="AL28" s="43">
        <f t="shared" si="21"/>
        <v>1600</v>
      </c>
      <c r="AM28" s="44">
        <f t="shared" si="22"/>
        <v>16000000</v>
      </c>
      <c r="AN28" s="2">
        <v>2</v>
      </c>
      <c r="AO28" s="2">
        <v>1503</v>
      </c>
      <c r="AP28" s="146">
        <v>1</v>
      </c>
      <c r="AQ28" s="1"/>
      <c r="AR28" s="1"/>
    </row>
    <row r="29" ht="15.6" spans="12:44">
      <c r="L29" s="89"/>
      <c r="M29" s="89"/>
      <c r="N29" s="89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89"/>
      <c r="AB29" s="89"/>
      <c r="AC29" s="89"/>
      <c r="AD29" s="89"/>
      <c r="AE29" s="89"/>
      <c r="AF29" s="89"/>
      <c r="AG29" s="89"/>
      <c r="AH29" s="89"/>
      <c r="AI29" s="2"/>
      <c r="AJ29" s="2" t="s">
        <v>95</v>
      </c>
      <c r="AK29" s="2">
        <v>110</v>
      </c>
      <c r="AL29" s="43">
        <f t="shared" si="21"/>
        <v>2200</v>
      </c>
      <c r="AM29" s="44">
        <f t="shared" si="22"/>
        <v>22000000</v>
      </c>
      <c r="AN29" s="2">
        <v>2</v>
      </c>
      <c r="AO29" s="2">
        <v>1504</v>
      </c>
      <c r="AP29" s="146">
        <v>1</v>
      </c>
      <c r="AQ29" s="1"/>
      <c r="AR29" s="1"/>
    </row>
    <row r="30" ht="15.6" spans="12:44">
      <c r="L30" s="89"/>
      <c r="M30" s="89"/>
      <c r="N30" s="89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89"/>
      <c r="AB30" s="89"/>
      <c r="AC30" s="89"/>
      <c r="AD30" s="89"/>
      <c r="AE30" s="89"/>
      <c r="AF30" s="89"/>
      <c r="AG30" s="89"/>
      <c r="AH30" s="89"/>
      <c r="AI30" s="2"/>
      <c r="AJ30" s="43" t="s">
        <v>90</v>
      </c>
      <c r="AK30" s="43">
        <v>5</v>
      </c>
      <c r="AL30" s="43">
        <f t="shared" si="21"/>
        <v>100</v>
      </c>
      <c r="AM30" s="44">
        <f t="shared" si="22"/>
        <v>1000000</v>
      </c>
      <c r="AN30" s="43">
        <v>2</v>
      </c>
      <c r="AO30" s="43">
        <v>1206</v>
      </c>
      <c r="AP30" s="146">
        <v>1</v>
      </c>
      <c r="AQ30" s="1"/>
      <c r="AR30" s="1"/>
    </row>
    <row r="31" ht="15.6" spans="12:44">
      <c r="L31" s="89"/>
      <c r="M31" s="89"/>
      <c r="N31" s="89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89"/>
      <c r="AB31" s="89"/>
      <c r="AC31" s="89"/>
      <c r="AD31" s="89"/>
      <c r="AE31" s="89"/>
      <c r="AF31" s="89"/>
      <c r="AG31" s="89"/>
      <c r="AH31" s="89"/>
      <c r="AI31" s="2"/>
      <c r="AJ31" s="43" t="s">
        <v>96</v>
      </c>
      <c r="AK31" s="44">
        <v>1</v>
      </c>
      <c r="AL31" s="43">
        <f t="shared" si="21"/>
        <v>20</v>
      </c>
      <c r="AM31" s="44">
        <f t="shared" si="22"/>
        <v>200000</v>
      </c>
      <c r="AN31" s="44">
        <v>2</v>
      </c>
      <c r="AO31" s="43">
        <v>1211</v>
      </c>
      <c r="AP31" s="146">
        <v>1</v>
      </c>
      <c r="AQ31" s="1"/>
      <c r="AR31" s="1"/>
    </row>
    <row r="32" ht="15.6" spans="12:44">
      <c r="L32" s="89"/>
      <c r="M32" s="89"/>
      <c r="N32" s="89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89"/>
      <c r="AB32" s="89"/>
      <c r="AC32" s="89"/>
      <c r="AD32" s="89"/>
      <c r="AE32" s="89"/>
      <c r="AF32" s="89"/>
      <c r="AG32" s="89"/>
      <c r="AH32" s="89"/>
      <c r="AI32" s="2"/>
      <c r="AJ32" s="2" t="s">
        <v>176</v>
      </c>
      <c r="AK32" s="2">
        <f>AM32/200000</f>
        <v>0.5</v>
      </c>
      <c r="AL32" s="2">
        <f>AM32/10000</f>
        <v>10</v>
      </c>
      <c r="AM32" s="2">
        <v>100000</v>
      </c>
      <c r="AN32" s="2">
        <v>2</v>
      </c>
      <c r="AO32" s="2">
        <v>1603</v>
      </c>
      <c r="AP32" s="146">
        <v>1</v>
      </c>
      <c r="AQ32" s="1"/>
      <c r="AR32" s="1"/>
    </row>
    <row r="33" ht="15.6" spans="12:44">
      <c r="L33" s="89"/>
      <c r="M33" s="89"/>
      <c r="N33" s="89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89"/>
      <c r="AB33" s="89"/>
      <c r="AC33" s="89"/>
      <c r="AD33" s="89"/>
      <c r="AE33" s="89"/>
      <c r="AF33" s="89"/>
      <c r="AG33" s="89"/>
      <c r="AH33" s="89"/>
      <c r="AI33" s="2"/>
      <c r="AJ33" s="2" t="s">
        <v>177</v>
      </c>
      <c r="AK33" s="1">
        <f>AM33/200000</f>
        <v>1.5</v>
      </c>
      <c r="AL33" s="1">
        <f>AM33/10000</f>
        <v>30</v>
      </c>
      <c r="AM33" s="1">
        <v>300000</v>
      </c>
      <c r="AN33" s="1">
        <v>2</v>
      </c>
      <c r="AO33" s="2">
        <v>2001</v>
      </c>
      <c r="AP33" s="146">
        <v>0.5</v>
      </c>
      <c r="AQ33" s="1"/>
      <c r="AR33" s="1"/>
    </row>
    <row r="34" ht="15.6" spans="12:44"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  <c r="AC34" s="89"/>
      <c r="AD34" s="89"/>
      <c r="AE34" s="89"/>
      <c r="AF34" s="89"/>
      <c r="AG34" s="89"/>
      <c r="AH34" s="89"/>
      <c r="AI34" s="2"/>
      <c r="AJ34" s="31" t="s">
        <v>178</v>
      </c>
      <c r="AK34" s="1">
        <f t="shared" ref="AK34:AK37" si="23">AM34/200000</f>
        <v>0.25</v>
      </c>
      <c r="AL34" s="1">
        <f t="shared" ref="AL34:AL37" si="24">AM34/10000</f>
        <v>5</v>
      </c>
      <c r="AM34" s="2">
        <v>50000</v>
      </c>
      <c r="AN34" s="1">
        <v>2</v>
      </c>
      <c r="AO34" s="2">
        <v>1015</v>
      </c>
      <c r="AP34" s="146">
        <v>1</v>
      </c>
      <c r="AQ34" s="1"/>
      <c r="AR34" s="1"/>
    </row>
    <row r="35" ht="15.6" spans="12:44">
      <c r="L35" s="89"/>
      <c r="M35" s="89"/>
      <c r="N35" s="89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89"/>
      <c r="AB35" s="89"/>
      <c r="AC35" s="89"/>
      <c r="AD35" s="89"/>
      <c r="AE35" s="89"/>
      <c r="AF35" s="89"/>
      <c r="AG35" s="89"/>
      <c r="AH35" s="89"/>
      <c r="AI35" s="2"/>
      <c r="AJ35" s="31" t="s">
        <v>179</v>
      </c>
      <c r="AK35" s="1">
        <f t="shared" si="23"/>
        <v>0.5</v>
      </c>
      <c r="AL35" s="1">
        <f t="shared" si="24"/>
        <v>10</v>
      </c>
      <c r="AM35" s="2">
        <v>100000</v>
      </c>
      <c r="AN35" s="1">
        <v>2</v>
      </c>
      <c r="AO35" s="2">
        <v>1016</v>
      </c>
      <c r="AP35" s="146">
        <v>1</v>
      </c>
      <c r="AQ35" s="1"/>
      <c r="AR35" s="1"/>
    </row>
    <row r="36" ht="15.6" spans="12:44">
      <c r="L36" s="89"/>
      <c r="M36" s="89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89"/>
      <c r="AB36" s="89"/>
      <c r="AC36" s="89"/>
      <c r="AD36" s="89"/>
      <c r="AE36" s="89"/>
      <c r="AF36" s="89"/>
      <c r="AG36" s="89"/>
      <c r="AH36" s="89"/>
      <c r="AI36" s="2"/>
      <c r="AJ36" s="31" t="s">
        <v>180</v>
      </c>
      <c r="AK36" s="1">
        <f t="shared" si="23"/>
        <v>1.25</v>
      </c>
      <c r="AL36" s="1">
        <f t="shared" si="24"/>
        <v>25</v>
      </c>
      <c r="AM36" s="2">
        <v>250000</v>
      </c>
      <c r="AN36" s="1">
        <v>2</v>
      </c>
      <c r="AO36" s="2">
        <v>1017</v>
      </c>
      <c r="AP36" s="146">
        <v>1</v>
      </c>
      <c r="AQ36" s="1"/>
      <c r="AR36" s="1"/>
    </row>
    <row r="37" ht="15.6" spans="12:44"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  <c r="AA37" s="89"/>
      <c r="AB37" s="89"/>
      <c r="AC37" s="89"/>
      <c r="AD37" s="89"/>
      <c r="AE37" s="89"/>
      <c r="AF37" s="89"/>
      <c r="AG37" s="89"/>
      <c r="AH37" s="89"/>
      <c r="AI37" s="2"/>
      <c r="AJ37" s="31" t="s">
        <v>181</v>
      </c>
      <c r="AK37" s="1">
        <f t="shared" si="23"/>
        <v>2.5</v>
      </c>
      <c r="AL37" s="1">
        <f t="shared" si="24"/>
        <v>50</v>
      </c>
      <c r="AM37" s="2">
        <v>500000</v>
      </c>
      <c r="AN37" s="1">
        <v>2</v>
      </c>
      <c r="AO37" s="2">
        <v>1018</v>
      </c>
      <c r="AP37" s="146">
        <v>1</v>
      </c>
      <c r="AQ37" s="1"/>
      <c r="AR37" s="1"/>
    </row>
    <row r="38" ht="15.6" spans="12:44"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89"/>
      <c r="AB38" s="89"/>
      <c r="AC38" s="89"/>
      <c r="AD38" s="89"/>
      <c r="AE38" s="89"/>
      <c r="AF38" s="89"/>
      <c r="AG38" s="89"/>
      <c r="AH38" s="89"/>
      <c r="AI38" s="2"/>
      <c r="AJ38" s="2"/>
      <c r="AK38" s="2"/>
      <c r="AL38" s="2"/>
      <c r="AM38" s="2"/>
      <c r="AN38" s="2"/>
      <c r="AO38" s="2"/>
      <c r="AP38" s="2"/>
      <c r="AQ38" s="1"/>
      <c r="AR38" s="1"/>
    </row>
    <row r="39" ht="15.6" spans="12:44">
      <c r="L39" s="89"/>
      <c r="M39" s="89"/>
      <c r="N39" s="89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89"/>
      <c r="AB39" s="89"/>
      <c r="AC39" s="89"/>
      <c r="AD39" s="89"/>
      <c r="AE39" s="89"/>
      <c r="AF39" s="89"/>
      <c r="AG39" s="89"/>
      <c r="AH39" s="89"/>
      <c r="AI39" s="2"/>
      <c r="AJ39" s="2"/>
      <c r="AK39" s="2"/>
      <c r="AL39" s="2"/>
      <c r="AM39" s="2"/>
      <c r="AN39" s="2"/>
      <c r="AO39" s="2"/>
      <c r="AP39" s="2"/>
      <c r="AQ39" s="1"/>
      <c r="AR39" s="1"/>
    </row>
  </sheetData>
  <conditionalFormatting sqref="D1">
    <cfRule type="containsText" dxfId="0" priority="52" operator="between" text=" ">
      <formula>NOT(ISERROR(SEARCH(" ",D1)))</formula>
    </cfRule>
  </conditionalFormatting>
  <conditionalFormatting sqref="F1">
    <cfRule type="containsText" dxfId="0" priority="51" operator="between" text=" ">
      <formula>NOT(ISERROR(SEARCH(" ",F1)))</formula>
    </cfRule>
  </conditionalFormatting>
  <conditionalFormatting sqref="H1">
    <cfRule type="containsText" dxfId="0" priority="50" operator="between" text=" ">
      <formula>NOT(ISERROR(SEARCH(" ",H1)))</formula>
    </cfRule>
  </conditionalFormatting>
  <conditionalFormatting sqref="AJ1">
    <cfRule type="containsText" dxfId="0" priority="5" operator="between" text=" ">
      <formula>NOT(ISERROR(SEARCH(" ",AJ1)))</formula>
    </cfRule>
  </conditionalFormatting>
  <conditionalFormatting sqref="C2">
    <cfRule type="containsText" dxfId="0" priority="74" operator="between" text=" ">
      <formula>NOT(ISERROR(SEARCH(" ",C2)))</formula>
    </cfRule>
  </conditionalFormatting>
  <conditionalFormatting sqref="E2">
    <cfRule type="containsText" dxfId="0" priority="49" operator="between" text=" ">
      <formula>NOT(ISERROR(SEARCH(" ",E2)))</formula>
    </cfRule>
  </conditionalFormatting>
  <conditionalFormatting sqref="F2">
    <cfRule type="containsText" dxfId="0" priority="48" operator="between" text=" ">
      <formula>NOT(ISERROR(SEARCH(" ",F2)))</formula>
    </cfRule>
  </conditionalFormatting>
  <conditionalFormatting sqref="G2">
    <cfRule type="containsText" dxfId="0" priority="47" operator="between" text=" ">
      <formula>NOT(ISERROR(SEARCH(" ",G2)))</formula>
    </cfRule>
  </conditionalFormatting>
  <conditionalFormatting sqref="H2">
    <cfRule type="containsText" dxfId="0" priority="46" operator="between" text=" ">
      <formula>NOT(ISERROR(SEARCH(" ",H2)))</formula>
    </cfRule>
  </conditionalFormatting>
  <conditionalFormatting sqref="I2">
    <cfRule type="containsText" dxfId="0" priority="45" operator="between" text=" ">
      <formula>NOT(ISERROR(SEARCH(" ",I2)))</formula>
    </cfRule>
  </conditionalFormatting>
  <conditionalFormatting sqref="C3">
    <cfRule type="containsText" dxfId="0" priority="73" operator="between" text=" ">
      <formula>NOT(ISERROR(SEARCH(" ",C3)))</formula>
    </cfRule>
  </conditionalFormatting>
  <conditionalFormatting sqref="F3:G3">
    <cfRule type="containsText" dxfId="0" priority="79" operator="between" text=" ">
      <formula>NOT(ISERROR(SEARCH(" ",F3)))</formula>
    </cfRule>
  </conditionalFormatting>
  <conditionalFormatting sqref="A4">
    <cfRule type="containsText" dxfId="0" priority="80" operator="between" text=" ">
      <formula>NOT(ISERROR(SEARCH(" ",A4)))</formula>
    </cfRule>
  </conditionalFormatting>
  <conditionalFormatting sqref="C4">
    <cfRule type="containsText" dxfId="0" priority="72" operator="between" text=" ">
      <formula>NOT(ISERROR(SEARCH(" ",C4)))</formula>
    </cfRule>
  </conditionalFormatting>
  <conditionalFormatting sqref="H4">
    <cfRule type="containsText" dxfId="0" priority="78" operator="between" text=" ">
      <formula>NOT(ISERROR(SEARCH(" ",H4)))</formula>
    </cfRule>
  </conditionalFormatting>
  <conditionalFormatting sqref="O5:P5">
    <cfRule type="containsText" dxfId="0" priority="21" operator="between" text=" ">
      <formula>NOT(ISERROR(SEARCH(" ",O5)))</formula>
    </cfRule>
  </conditionalFormatting>
  <conditionalFormatting sqref="U5:V5">
    <cfRule type="containsText" dxfId="0" priority="18" operator="between" text=" ">
      <formula>NOT(ISERROR(SEARCH(" ",U5)))</formula>
    </cfRule>
  </conditionalFormatting>
  <conditionalFormatting sqref="M7:N7">
    <cfRule type="containsText" dxfId="0" priority="60" operator="between" text=" ">
      <formula>NOT(ISERROR(SEARCH(" ",M7)))</formula>
    </cfRule>
  </conditionalFormatting>
  <conditionalFormatting sqref="S7:T7">
    <cfRule type="containsText" dxfId="0" priority="42" operator="between" text=" ">
      <formula>NOT(ISERROR(SEARCH(" ",S7)))</formula>
    </cfRule>
  </conditionalFormatting>
  <conditionalFormatting sqref="Y7:Z7">
    <cfRule type="containsText" dxfId="0" priority="36" operator="between" text=" ">
      <formula>NOT(ISERROR(SEARCH(" ",Y7)))</formula>
    </cfRule>
  </conditionalFormatting>
  <conditionalFormatting sqref="AD7:AE7">
    <cfRule type="containsText" dxfId="0" priority="30" operator="between" text=" ">
      <formula>NOT(ISERROR(SEARCH(" ",AD7)))</formula>
    </cfRule>
  </conditionalFormatting>
  <conditionalFormatting sqref="M8:N8">
    <cfRule type="containsText" dxfId="0" priority="59" operator="between" text=" ">
      <formula>NOT(ISERROR(SEARCH(" ",M8)))</formula>
    </cfRule>
  </conditionalFormatting>
  <conditionalFormatting sqref="S8:T8">
    <cfRule type="containsText" dxfId="0" priority="41" operator="between" text=" ">
      <formula>NOT(ISERROR(SEARCH(" ",S8)))</formula>
    </cfRule>
  </conditionalFormatting>
  <conditionalFormatting sqref="Y8:Z8">
    <cfRule type="containsText" dxfId="0" priority="35" operator="between" text=" ">
      <formula>NOT(ISERROR(SEARCH(" ",Y8)))</formula>
    </cfRule>
  </conditionalFormatting>
  <conditionalFormatting sqref="AD8:AE8">
    <cfRule type="containsText" dxfId="0" priority="29" operator="between" text=" ">
      <formula>NOT(ISERROR(SEARCH(" ",AD8)))</formula>
    </cfRule>
  </conditionalFormatting>
  <conditionalFormatting sqref="AM8">
    <cfRule type="containsText" dxfId="0" priority="15" operator="between" text=" ">
      <formula>NOT(ISERROR(SEARCH(" ",AM8)))</formula>
    </cfRule>
  </conditionalFormatting>
  <conditionalFormatting sqref="M9:N9">
    <cfRule type="containsText" dxfId="0" priority="58" operator="between" text=" ">
      <formula>NOT(ISERROR(SEARCH(" ",M9)))</formula>
    </cfRule>
  </conditionalFormatting>
  <conditionalFormatting sqref="O9:P9">
    <cfRule type="containsText" dxfId="0" priority="22" operator="between" text=" ">
      <formula>NOT(ISERROR(SEARCH(" ",O9)))</formula>
    </cfRule>
  </conditionalFormatting>
  <conditionalFormatting sqref="S9:T9">
    <cfRule type="containsText" dxfId="0" priority="40" operator="between" text=" ">
      <formula>NOT(ISERROR(SEARCH(" ",S9)))</formula>
    </cfRule>
  </conditionalFormatting>
  <conditionalFormatting sqref="U9:V9">
    <cfRule type="containsText" dxfId="0" priority="19" operator="between" text=" ">
      <formula>NOT(ISERROR(SEARCH(" ",U9)))</formula>
    </cfRule>
  </conditionalFormatting>
  <conditionalFormatting sqref="Y9:Z9">
    <cfRule type="containsText" dxfId="0" priority="34" operator="between" text=" ">
      <formula>NOT(ISERROR(SEARCH(" ",Y9)))</formula>
    </cfRule>
  </conditionalFormatting>
  <conditionalFormatting sqref="AD9:AE9">
    <cfRule type="containsText" dxfId="0" priority="28" operator="between" text=" ">
      <formula>NOT(ISERROR(SEARCH(" ",AD9)))</formula>
    </cfRule>
  </conditionalFormatting>
  <conditionalFormatting sqref="AM9">
    <cfRule type="containsText" dxfId="0" priority="14" operator="between" text=" ">
      <formula>NOT(ISERROR(SEARCH(" ",AM9)))</formula>
    </cfRule>
  </conditionalFormatting>
  <conditionalFormatting sqref="M10:N10">
    <cfRule type="containsText" dxfId="0" priority="57" operator="between" text=" ">
      <formula>NOT(ISERROR(SEARCH(" ",M10)))</formula>
    </cfRule>
  </conditionalFormatting>
  <conditionalFormatting sqref="S10:T10">
    <cfRule type="containsText" dxfId="0" priority="39" operator="between" text=" ">
      <formula>NOT(ISERROR(SEARCH(" ",S10)))</formula>
    </cfRule>
  </conditionalFormatting>
  <conditionalFormatting sqref="Y10:Z10">
    <cfRule type="containsText" dxfId="0" priority="33" operator="between" text=" ">
      <formula>NOT(ISERROR(SEARCH(" ",Y10)))</formula>
    </cfRule>
  </conditionalFormatting>
  <conditionalFormatting sqref="AD10:AE10">
    <cfRule type="containsText" dxfId="0" priority="27" operator="between" text=" ">
      <formula>NOT(ISERROR(SEARCH(" ",AD10)))</formula>
    </cfRule>
  </conditionalFormatting>
  <conditionalFormatting sqref="AM10">
    <cfRule type="containsText" dxfId="0" priority="13" operator="between" text=" ">
      <formula>NOT(ISERROR(SEARCH(" ",AM10)))</formula>
    </cfRule>
  </conditionalFormatting>
  <conditionalFormatting sqref="AM11">
    <cfRule type="containsText" dxfId="0" priority="12" operator="between" text=" ">
      <formula>NOT(ISERROR(SEARCH(" ",AM11)))</formula>
    </cfRule>
  </conditionalFormatting>
  <conditionalFormatting sqref="AM12">
    <cfRule type="containsText" dxfId="0" priority="9" operator="between" text=" ">
      <formula>NOT(ISERROR(SEARCH(" ",AM12)))</formula>
    </cfRule>
  </conditionalFormatting>
  <conditionalFormatting sqref="AO12">
    <cfRule type="containsText" dxfId="0" priority="67" operator="between" text=" ">
      <formula>NOT(ISERROR(SEARCH(" ",AO12)))</formula>
    </cfRule>
  </conditionalFormatting>
  <conditionalFormatting sqref="AJ17:AK17">
    <cfRule type="containsText" dxfId="0" priority="64" operator="between" text=" ">
      <formula>NOT(ISERROR(SEARCH(" ",AJ17)))</formula>
    </cfRule>
  </conditionalFormatting>
  <conditionalFormatting sqref="AJ18:AK18">
    <cfRule type="containsText" dxfId="0" priority="63" operator="between" text=" ">
      <formula>NOT(ISERROR(SEARCH(" ",AJ18)))</formula>
    </cfRule>
  </conditionalFormatting>
  <conditionalFormatting sqref="AO19">
    <cfRule type="containsText" dxfId="0" priority="62" operator="between" text=" ">
      <formula>NOT(ISERROR(SEARCH(" ",AO19)))</formula>
    </cfRule>
  </conditionalFormatting>
  <conditionalFormatting sqref="AJ31">
    <cfRule type="containsText" dxfId="0" priority="54" operator="between" text=" ">
      <formula>NOT(ISERROR(SEARCH(" ",AJ31)))</formula>
    </cfRule>
  </conditionalFormatting>
  <conditionalFormatting sqref="AJ33">
    <cfRule type="containsText" dxfId="0" priority="6" operator="between" text=" ">
      <formula>NOT(ISERROR(SEARCH(" ",AJ33)))</formula>
    </cfRule>
  </conditionalFormatting>
  <conditionalFormatting sqref="AO33">
    <cfRule type="containsText" dxfId="0" priority="8" operator="between" text=" ">
      <formula>NOT(ISERROR(SEARCH(" ",AO33)))</formula>
    </cfRule>
  </conditionalFormatting>
  <conditionalFormatting sqref="A2:A3">
    <cfRule type="containsText" dxfId="0" priority="81" operator="between" text=" ">
      <formula>NOT(ISERROR(SEARCH(" ",A2)))</formula>
    </cfRule>
  </conditionalFormatting>
  <conditionalFormatting sqref="B1:B3">
    <cfRule type="containsText" dxfId="0" priority="75" operator="between" text=" ">
      <formula>NOT(ISERROR(SEARCH(" ",B1)))</formula>
    </cfRule>
  </conditionalFormatting>
  <conditionalFormatting sqref="D2:D4">
    <cfRule type="containsText" dxfId="0" priority="76" operator="between" text=" ">
      <formula>NOT(ISERROR(SEARCH(" ",D2)))</formula>
    </cfRule>
  </conditionalFormatting>
  <conditionalFormatting sqref="E3:E4">
    <cfRule type="containsText" dxfId="0" priority="77" operator="between" text=" ">
      <formula>NOT(ISERROR(SEARCH(" ",E3)))</formula>
    </cfRule>
  </conditionalFormatting>
  <conditionalFormatting sqref="L5:L11">
    <cfRule type="containsText" dxfId="0" priority="44" operator="between" text=" ">
      <formula>NOT(ISERROR(SEARCH(" ",L5)))</formula>
    </cfRule>
  </conditionalFormatting>
  <conditionalFormatting sqref="Q5:Q11">
    <cfRule type="containsText" dxfId="0" priority="53" operator="between" text=" ">
      <formula>NOT(ISERROR(SEARCH(" ",Q5)))</formula>
    </cfRule>
  </conditionalFormatting>
  <conditionalFormatting sqref="R5:R11">
    <cfRule type="containsText" dxfId="0" priority="38" operator="between" text=" ">
      <formula>NOT(ISERROR(SEARCH(" ",R5)))</formula>
    </cfRule>
  </conditionalFormatting>
  <conditionalFormatting sqref="W5:W11">
    <cfRule type="containsText" dxfId="0" priority="24" operator="between" text=" ">
      <formula>NOT(ISERROR(SEARCH(" ",W5)))</formula>
    </cfRule>
  </conditionalFormatting>
  <conditionalFormatting sqref="X5:X11">
    <cfRule type="containsText" dxfId="0" priority="32" operator="between" text=" ">
      <formula>NOT(ISERROR(SEARCH(" ",X5)))</formula>
    </cfRule>
  </conditionalFormatting>
  <conditionalFormatting sqref="AC5:AC11">
    <cfRule type="containsText" dxfId="0" priority="26" operator="between" text=" ">
      <formula>NOT(ISERROR(SEARCH(" ",AC5)))</formula>
    </cfRule>
  </conditionalFormatting>
  <conditionalFormatting sqref="AH5:AH12">
    <cfRule type="cellIs" dxfId="1" priority="25" operator="greaterThan">
      <formula>0</formula>
    </cfRule>
  </conditionalFormatting>
  <conditionalFormatting sqref="AJ34:AJ37">
    <cfRule type="containsText" dxfId="0" priority="4" operator="between" text=" ">
      <formula>NOT(ISERROR(SEARCH(" ",AJ34)))</formula>
    </cfRule>
  </conditionalFormatting>
  <conditionalFormatting sqref="AL8:AL11">
    <cfRule type="containsText" dxfId="0" priority="68" operator="between" text=" ">
      <formula>NOT(ISERROR(SEARCH(" ",AL8)))</formula>
    </cfRule>
  </conditionalFormatting>
  <conditionalFormatting sqref="AL13:AL31">
    <cfRule type="containsText" dxfId="0" priority="65" operator="between" text=" ">
      <formula>NOT(ISERROR(SEARCH(" ",AL13)))</formula>
    </cfRule>
  </conditionalFormatting>
  <conditionalFormatting sqref="AM13:AM31">
    <cfRule type="containsText" dxfId="0" priority="11" operator="between" text=" ">
      <formula>NOT(ISERROR(SEARCH(" ",AM13)))</formula>
    </cfRule>
  </conditionalFormatting>
  <conditionalFormatting sqref="AO8:AO11">
    <cfRule type="containsText" dxfId="0" priority="69" operator="between" text=" ">
      <formula>NOT(ISERROR(SEARCH(" ",AO8)))</formula>
    </cfRule>
  </conditionalFormatting>
  <conditionalFormatting sqref="AO13:AO16">
    <cfRule type="containsText" dxfId="0" priority="66" operator="between" text=" ">
      <formula>NOT(ISERROR(SEARCH(" ",AO13)))</formula>
    </cfRule>
  </conditionalFormatting>
  <conditionalFormatting sqref="AO30:AO31">
    <cfRule type="containsText" dxfId="0" priority="55" operator="between" text=" ">
      <formula>NOT(ISERROR(SEARCH(" ",AO30)))</formula>
    </cfRule>
  </conditionalFormatting>
  <conditionalFormatting sqref="AO34:AO37">
    <cfRule type="duplicateValues" dxfId="2" priority="2"/>
    <cfRule type="containsText" dxfId="0" priority="3" operator="between" text=" ">
      <formula>NOT(ISERROR(SEARCH(" ",AO34)))</formula>
    </cfRule>
  </conditionalFormatting>
  <conditionalFormatting sqref="AP34:AP37">
    <cfRule type="containsText" dxfId="0" priority="1" operator="between" text=" ">
      <formula>NOT(ISERROR(SEARCH(" ",AP34)))</formula>
    </cfRule>
  </conditionalFormatting>
  <conditionalFormatting sqref="A1 B4 I3:I4 F4:G4">
    <cfRule type="containsText" dxfId="0" priority="82" operator="between" text=" ">
      <formula>NOT(ISERROR(SEARCH(" ",A1)))</formula>
    </cfRule>
  </conditionalFormatting>
  <conditionalFormatting sqref="AI27:AI37 AI4 AI12:AI24 AJ4:AO7 AJ13:AK16 AN19 AN20:AO29 AJ12:AL12 AN12 AP18:AP33 AJ8:AK11 AJ19:AK29">
    <cfRule type="containsText" dxfId="0" priority="71" operator="between" text=" ">
      <formula>NOT(ISERROR(SEARCH(" ",AI4)))</formula>
    </cfRule>
  </conditionalFormatting>
  <conditionalFormatting sqref="M5:N6 M11:N11">
    <cfRule type="containsText" dxfId="0" priority="61" operator="between" text=" ">
      <formula>NOT(ISERROR(SEARCH(" ",M5)))</formula>
    </cfRule>
  </conditionalFormatting>
  <conditionalFormatting sqref="S5:T6 S11:T11">
    <cfRule type="containsText" dxfId="0" priority="43" operator="between" text=" ">
      <formula>NOT(ISERROR(SEARCH(" ",S5)))</formula>
    </cfRule>
  </conditionalFormatting>
  <conditionalFormatting sqref="Y5:Z6 Y11:Z11">
    <cfRule type="containsText" dxfId="0" priority="37" operator="between" text=" ">
      <formula>NOT(ISERROR(SEARCH(" ",Y5)))</formula>
    </cfRule>
  </conditionalFormatting>
  <conditionalFormatting sqref="AA5:AB11">
    <cfRule type="containsText" dxfId="0" priority="17" operator="between" text=" ">
      <formula>NOT(ISERROR(SEARCH(" ",AA5)))</formula>
    </cfRule>
  </conditionalFormatting>
  <conditionalFormatting sqref="AD5:AE6 AD11:AE11">
    <cfRule type="containsText" dxfId="0" priority="31" operator="between" text=" ">
      <formula>NOT(ISERROR(SEARCH(" ",AD5)))</formula>
    </cfRule>
  </conditionalFormatting>
  <conditionalFormatting sqref="AF5:AG11">
    <cfRule type="containsText" dxfId="0" priority="16" operator="between" text=" ">
      <formula>NOT(ISERROR(SEARCH(" ",AF5)))</formula>
    </cfRule>
  </conditionalFormatting>
  <conditionalFormatting sqref="O6:P8 O10:P11">
    <cfRule type="containsText" dxfId="0" priority="23" operator="between" text=" ">
      <formula>NOT(ISERROR(SEARCH(" ",O6)))</formula>
    </cfRule>
  </conditionalFormatting>
  <conditionalFormatting sqref="U6:V8 U10:V11">
    <cfRule type="containsText" dxfId="0" priority="20" operator="between" text=" ">
      <formula>NOT(ISERROR(SEARCH(" ",U6)))</formula>
    </cfRule>
  </conditionalFormatting>
  <conditionalFormatting sqref="AN8:AN11 AI38:AI39 AI25:AI26 AN13:AN16 AN17:AO18">
    <cfRule type="containsText" dxfId="0" priority="70" operator="between" text=" ">
      <formula>NOT(ISERROR(SEARCH(" ",AI8)))</formula>
    </cfRule>
  </conditionalFormatting>
  <conditionalFormatting sqref="AJ30:AK30 AK31 AN30:AN31">
    <cfRule type="containsText" dxfId="0" priority="56" operator="between" text=" ">
      <formula>NOT(ISERROR(SEARCH(" ",AJ30)))</formula>
    </cfRule>
  </conditionalFormatting>
  <pageMargins left="0.7" right="0.7" top="0.75" bottom="0.75" header="0.3" footer="0.3"/>
  <pageSetup paperSize="9" orientation="portrait"/>
  <headerFooter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X103"/>
  <sheetViews>
    <sheetView workbookViewId="0">
      <pane xSplit="8" ySplit="4" topLeftCell="AC5" activePane="bottomRight" state="frozen"/>
      <selection/>
      <selection pane="topRight"/>
      <selection pane="bottomLeft"/>
      <selection pane="bottomRight" activeCell="A5" sqref="A5"/>
    </sheetView>
  </sheetViews>
  <sheetFormatPr defaultColWidth="9" defaultRowHeight="15.6"/>
  <cols>
    <col min="1" max="1" width="9" style="89"/>
    <col min="2" max="2" width="9.11111111111111" style="89" customWidth="1"/>
    <col min="3" max="4" width="24.4444444444444" style="89" customWidth="1"/>
    <col min="5" max="5" width="9.11111111111111" style="89" customWidth="1"/>
    <col min="6" max="6" width="17.4444444444444" style="89" customWidth="1"/>
    <col min="7" max="8" width="23.7777777777778" style="89" customWidth="1"/>
    <col min="9" max="9" width="9" style="89"/>
    <col min="10" max="10" width="13.8888888888889" style="89" customWidth="1"/>
    <col min="11" max="11" width="9" style="89"/>
    <col min="12" max="13" width="11.4444444444444" style="89" customWidth="1"/>
    <col min="14" max="14" width="12.4444444444444" style="115" customWidth="1"/>
    <col min="15" max="15" width="9.77777777777778" style="89" customWidth="1"/>
    <col min="16" max="16" width="9.11111111111111" style="30" customWidth="1"/>
    <col min="17" max="17" width="14.1111111111111" style="30" customWidth="1"/>
    <col min="18" max="18" width="9.11111111111111" style="30" customWidth="1"/>
    <col min="19" max="19" width="14.1111111111111" style="30" customWidth="1"/>
    <col min="20" max="20" width="9.11111111111111" style="30" customWidth="1"/>
    <col min="21" max="21" width="14.1111111111111" style="30" customWidth="1"/>
    <col min="22" max="23" width="9.11111111111111" style="30" customWidth="1"/>
    <col min="24" max="24" width="14.1111111111111" style="30" customWidth="1"/>
    <col min="25" max="25" width="9.11111111111111" style="30" customWidth="1"/>
    <col min="26" max="26" width="14.1111111111111" style="30" customWidth="1"/>
    <col min="27" max="27" width="9.11111111111111" style="30" customWidth="1"/>
    <col min="28" max="28" width="14.1111111111111" style="30" customWidth="1"/>
    <col min="29" max="31" width="9.11111111111111" style="30" customWidth="1"/>
    <col min="32" max="33" width="9.22222222222222" style="30" customWidth="1"/>
    <col min="34" max="34" width="9.11111111111111" style="30" customWidth="1"/>
    <col min="35" max="36" width="14.1111111111111" style="30" customWidth="1"/>
    <col min="37" max="37" width="9.11111111111111" style="30" customWidth="1"/>
    <col min="38" max="38" width="14.1111111111111" style="30" customWidth="1"/>
    <col min="39" max="39" width="9.11111111111111" style="30" customWidth="1"/>
    <col min="40" max="40" width="14.1111111111111" style="30" customWidth="1"/>
    <col min="41" max="41" width="9.11111111111111" style="30" customWidth="1"/>
    <col min="42" max="42" width="14.1111111111111" style="30" customWidth="1"/>
    <col min="43" max="44" width="9" style="89"/>
    <col min="45" max="45" width="9.11111111111111" style="30" customWidth="1"/>
    <col min="46" max="46" width="14.1111111111111" style="30" customWidth="1"/>
    <col min="47" max="47" width="9.11111111111111" style="30" customWidth="1"/>
    <col min="48" max="48" width="14.1111111111111" style="30" customWidth="1"/>
    <col min="49" max="49" width="9.11111111111111" style="30" customWidth="1"/>
    <col min="50" max="50" width="14.1111111111111" style="30" customWidth="1"/>
    <col min="51" max="16384" width="9" style="89"/>
  </cols>
  <sheetData>
    <row r="1" customHeight="1" spans="1:50">
      <c r="A1" s="52" t="s">
        <v>58</v>
      </c>
      <c r="B1" s="52" t="s">
        <v>58</v>
      </c>
      <c r="C1" s="52" t="s">
        <v>58</v>
      </c>
      <c r="D1" s="52" t="s">
        <v>58</v>
      </c>
      <c r="E1" s="52" t="s">
        <v>58</v>
      </c>
      <c r="F1" s="52" t="s">
        <v>58</v>
      </c>
      <c r="G1" s="52" t="s">
        <v>58</v>
      </c>
      <c r="H1" s="52" t="s">
        <v>58</v>
      </c>
      <c r="O1" s="119" t="s">
        <v>182</v>
      </c>
      <c r="P1" s="119"/>
      <c r="Q1" s="30" t="s">
        <v>183</v>
      </c>
      <c r="R1" s="118" t="str">
        <f>"第"&amp;R2&amp;"次免费"</f>
        <v>第1次免费</v>
      </c>
      <c r="S1" s="30" t="s">
        <v>184</v>
      </c>
      <c r="T1" s="118" t="str">
        <f>"第"&amp;T2&amp;"次免费"</f>
        <v>第2次免费</v>
      </c>
      <c r="U1" s="30" t="s">
        <v>184</v>
      </c>
      <c r="W1" s="122" t="s">
        <v>185</v>
      </c>
      <c r="X1" s="30" t="s">
        <v>186</v>
      </c>
      <c r="Y1" s="118" t="str">
        <f>"第"&amp;Y2&amp;"次星钻"</f>
        <v>第1次星钻</v>
      </c>
      <c r="Z1" s="30" t="s">
        <v>184</v>
      </c>
      <c r="AA1" s="118" t="str">
        <f>"第"&amp;AA2&amp;"次星钻"</f>
        <v>第2次星钻</v>
      </c>
      <c r="AB1" s="30" t="s">
        <v>184</v>
      </c>
      <c r="AE1" s="125" t="s">
        <v>187</v>
      </c>
      <c r="AF1" s="125"/>
      <c r="AI1" s="126" t="s">
        <v>188</v>
      </c>
      <c r="AJ1" s="127">
        <v>143240000</v>
      </c>
      <c r="AL1" s="30" t="s">
        <v>189</v>
      </c>
      <c r="AM1" s="118" t="str">
        <f>"第"&amp;AM2&amp;"次星钻"</f>
        <v>第1次星钻</v>
      </c>
      <c r="AN1" s="30" t="s">
        <v>184</v>
      </c>
      <c r="AO1" s="118" t="str">
        <f>"第"&amp;AO2&amp;"次星钻"</f>
        <v>第2次星钻</v>
      </c>
      <c r="AP1" s="30" t="s">
        <v>184</v>
      </c>
      <c r="AR1" s="125" t="s">
        <v>190</v>
      </c>
      <c r="AS1" s="125"/>
      <c r="AT1" s="30" t="s">
        <v>191</v>
      </c>
      <c r="AU1" s="118" t="str">
        <f>"第"&amp;AU2&amp;"次福卡"</f>
        <v>第1次福卡</v>
      </c>
      <c r="AV1" s="30" t="s">
        <v>184</v>
      </c>
      <c r="AW1" s="118" t="str">
        <f>"第"&amp;AW2&amp;"次福卡"</f>
        <v>第2次福卡</v>
      </c>
      <c r="AX1" s="30" t="s">
        <v>184</v>
      </c>
    </row>
    <row r="2" spans="1:50">
      <c r="A2" s="97" t="s">
        <v>9</v>
      </c>
      <c r="B2" s="97" t="s">
        <v>10</v>
      </c>
      <c r="C2" s="97" t="s">
        <v>10</v>
      </c>
      <c r="D2" s="97" t="s">
        <v>10</v>
      </c>
      <c r="E2" s="97" t="s">
        <v>10</v>
      </c>
      <c r="F2" s="97" t="s">
        <v>10</v>
      </c>
      <c r="G2" s="97" t="s">
        <v>10</v>
      </c>
      <c r="H2" s="97" t="s">
        <v>10</v>
      </c>
      <c r="J2" s="89" t="s">
        <v>192</v>
      </c>
      <c r="K2" s="89">
        <f>Q3/40</f>
        <v>0.5</v>
      </c>
      <c r="O2" s="119"/>
      <c r="P2" s="119"/>
      <c r="Q2" s="123">
        <f>ROUND(Q3*$K$3,0)</f>
        <v>200000</v>
      </c>
      <c r="R2" s="30">
        <v>1</v>
      </c>
      <c r="S2" s="123">
        <f>ROUND(S3*$K$3,0)</f>
        <v>396000</v>
      </c>
      <c r="T2" s="30">
        <v>2</v>
      </c>
      <c r="U2" s="123">
        <f>ROUND(U3*$K$3,0)</f>
        <v>200000</v>
      </c>
      <c r="W2" s="122"/>
      <c r="X2" s="123">
        <f>ROUND(X3*$K$3,0)</f>
        <v>396000</v>
      </c>
      <c r="Y2" s="30">
        <v>1</v>
      </c>
      <c r="Z2" s="123">
        <f>ROUND(Z3*$K$3,0)</f>
        <v>396000</v>
      </c>
      <c r="AA2" s="30">
        <v>2</v>
      </c>
      <c r="AB2" s="123">
        <f>ROUND(AB3*$K$3,0)</f>
        <v>396000</v>
      </c>
      <c r="AE2" s="125"/>
      <c r="AF2" s="125"/>
      <c r="AI2" s="123">
        <f>ROUND(AI3*$K$3,0)</f>
        <v>1926250</v>
      </c>
      <c r="AJ2" s="127">
        <v>82350000</v>
      </c>
      <c r="AL2" s="123">
        <f>ROUND(AL3*$K$3,0)</f>
        <v>3564000</v>
      </c>
      <c r="AM2" s="30">
        <v>1</v>
      </c>
      <c r="AN2" s="123">
        <f>ROUND(AN3*$K$3,0)</f>
        <v>3564000</v>
      </c>
      <c r="AO2" s="30">
        <v>2</v>
      </c>
      <c r="AP2" s="123">
        <f>ROUND(AP3*$K$3,0)</f>
        <v>3564000</v>
      </c>
      <c r="AR2" s="125"/>
      <c r="AS2" s="125"/>
      <c r="AT2" s="123">
        <f>ROUND(AT3*$K$3,0)</f>
        <v>2673000</v>
      </c>
      <c r="AU2" s="30">
        <v>1</v>
      </c>
      <c r="AV2" s="123">
        <f>ROUND(AV3*$K$3,0)</f>
        <v>2673000</v>
      </c>
      <c r="AW2" s="30">
        <v>2</v>
      </c>
      <c r="AX2" s="123">
        <f>ROUND(AX3*$K$3,0)</f>
        <v>2673000</v>
      </c>
    </row>
    <row r="3" ht="31.2" spans="1:50">
      <c r="A3" s="97" t="s">
        <v>193</v>
      </c>
      <c r="B3" s="97" t="s">
        <v>194</v>
      </c>
      <c r="C3" s="97" t="s">
        <v>195</v>
      </c>
      <c r="D3" s="97" t="s">
        <v>196</v>
      </c>
      <c r="E3" s="97" t="s">
        <v>197</v>
      </c>
      <c r="F3" s="97" t="s">
        <v>198</v>
      </c>
      <c r="G3" s="97" t="s">
        <v>199</v>
      </c>
      <c r="H3" s="97" t="s">
        <v>200</v>
      </c>
      <c r="J3" s="89" t="s">
        <v>201</v>
      </c>
      <c r="K3" s="89">
        <v>10000</v>
      </c>
      <c r="O3" s="96" t="s">
        <v>202</v>
      </c>
      <c r="P3" s="30" t="s">
        <v>203</v>
      </c>
      <c r="Q3" s="30">
        <f>SUMPRODUCT(Q$5:Q$103,$O$5:$O$103)</f>
        <v>20</v>
      </c>
      <c r="R3" s="30" t="s">
        <v>203</v>
      </c>
      <c r="S3" s="30">
        <f>SUMPRODUCT(S$5:S$103,$O$5:$O$103)</f>
        <v>39.6</v>
      </c>
      <c r="T3" s="30" t="s">
        <v>203</v>
      </c>
      <c r="U3" s="30">
        <f>SUMPRODUCT(U$5:U$103,$O$5:$O$103)</f>
        <v>20</v>
      </c>
      <c r="W3" s="30" t="s">
        <v>203</v>
      </c>
      <c r="X3" s="30">
        <f>SUMPRODUCT(X$5:X$103,$O$5:$O$103)</f>
        <v>39.6</v>
      </c>
      <c r="Y3" s="30" t="s">
        <v>203</v>
      </c>
      <c r="Z3" s="30">
        <f>SUMPRODUCT(Z$5:Z$103,$O$5:$O$103)</f>
        <v>39.6</v>
      </c>
      <c r="AA3" s="30" t="s">
        <v>203</v>
      </c>
      <c r="AB3" s="30">
        <f>SUMPRODUCT(AB$5:AB$103,$O$5:$O$103)</f>
        <v>39.6</v>
      </c>
      <c r="AH3" s="30" t="s">
        <v>203</v>
      </c>
      <c r="AI3" s="30">
        <f>SUMPRODUCT(AI$5:AI$103,$AG$5:$AG$103)</f>
        <v>192.625</v>
      </c>
      <c r="AJ3" s="127">
        <f>AJ1/AB2</f>
        <v>361.717171717172</v>
      </c>
      <c r="AK3" s="30" t="s">
        <v>203</v>
      </c>
      <c r="AL3" s="30">
        <f>SUMPRODUCT(AL$5:AL$103,$AG$5:$AG$103)</f>
        <v>356.400006537657</v>
      </c>
      <c r="AM3" s="30" t="s">
        <v>203</v>
      </c>
      <c r="AN3" s="30">
        <f>SUMPRODUCT(AN$5:AN$103,$AG$5:$AG$103)</f>
        <v>356.400006537657</v>
      </c>
      <c r="AO3" s="30" t="s">
        <v>203</v>
      </c>
      <c r="AP3" s="30">
        <f>SUMPRODUCT(AP$5:AP$103,$AG$5:$AG$103)</f>
        <v>356.400006537657</v>
      </c>
      <c r="AS3" s="30" t="s">
        <v>203</v>
      </c>
      <c r="AT3" s="30">
        <f>SUMPRODUCT(AT$5:AT$103,$AG$5:$AG$103)</f>
        <v>267.300006343467</v>
      </c>
      <c r="AU3" s="30" t="s">
        <v>203</v>
      </c>
      <c r="AV3" s="30">
        <f>SUMPRODUCT(AV$5:AV$103,$AG$5:$AG$103)</f>
        <v>267.300006343467</v>
      </c>
      <c r="AW3" s="30" t="s">
        <v>203</v>
      </c>
      <c r="AX3" s="30">
        <f>SUMPRODUCT(AX$5:AX$103,$AG$5:$AG$103)</f>
        <v>267.300006343467</v>
      </c>
    </row>
    <row r="4" ht="39.6" spans="1:50">
      <c r="A4" s="116" t="s">
        <v>204</v>
      </c>
      <c r="B4" s="116" t="s">
        <v>205</v>
      </c>
      <c r="C4" s="117" t="s">
        <v>206</v>
      </c>
      <c r="D4" s="117" t="s">
        <v>207</v>
      </c>
      <c r="E4" s="116" t="s">
        <v>208</v>
      </c>
      <c r="F4" s="117" t="s">
        <v>209</v>
      </c>
      <c r="G4" s="117" t="s">
        <v>210</v>
      </c>
      <c r="H4" s="117" t="s">
        <v>211</v>
      </c>
      <c r="J4" s="89" t="s">
        <v>212</v>
      </c>
      <c r="K4" s="89">
        <v>20</v>
      </c>
      <c r="L4" s="89">
        <f>K4*10</f>
        <v>200</v>
      </c>
      <c r="M4" s="89">
        <v>180</v>
      </c>
      <c r="P4" s="30" t="s">
        <v>213</v>
      </c>
      <c r="Q4" s="30" t="s">
        <v>214</v>
      </c>
      <c r="R4" s="30" t="s">
        <v>213</v>
      </c>
      <c r="S4" s="30" t="s">
        <v>214</v>
      </c>
      <c r="T4" s="30" t="s">
        <v>213</v>
      </c>
      <c r="U4" s="30" t="s">
        <v>214</v>
      </c>
      <c r="W4" s="30" t="s">
        <v>213</v>
      </c>
      <c r="X4" s="30" t="s">
        <v>214</v>
      </c>
      <c r="Y4" s="30" t="s">
        <v>213</v>
      </c>
      <c r="Z4" s="30" t="s">
        <v>214</v>
      </c>
      <c r="AA4" s="30" t="s">
        <v>213</v>
      </c>
      <c r="AB4" s="30" t="s">
        <v>214</v>
      </c>
      <c r="AH4" s="30" t="s">
        <v>213</v>
      </c>
      <c r="AI4" s="30" t="s">
        <v>214</v>
      </c>
      <c r="AJ4" s="127">
        <f>AJ2/AL2</f>
        <v>23.1060606060606</v>
      </c>
      <c r="AK4" s="30" t="s">
        <v>213</v>
      </c>
      <c r="AL4" s="30" t="s">
        <v>214</v>
      </c>
      <c r="AM4" s="30" t="s">
        <v>213</v>
      </c>
      <c r="AN4" s="30" t="s">
        <v>214</v>
      </c>
      <c r="AO4" s="30" t="s">
        <v>213</v>
      </c>
      <c r="AP4" s="30" t="s">
        <v>214</v>
      </c>
      <c r="AS4" s="30" t="s">
        <v>213</v>
      </c>
      <c r="AT4" s="30" t="s">
        <v>214</v>
      </c>
      <c r="AU4" s="30" t="s">
        <v>213</v>
      </c>
      <c r="AV4" s="30" t="s">
        <v>214</v>
      </c>
      <c r="AW4" s="30" t="s">
        <v>213</v>
      </c>
      <c r="AX4" s="30" t="s">
        <v>214</v>
      </c>
    </row>
    <row r="5" spans="1:50">
      <c r="A5" s="89">
        <v>1</v>
      </c>
      <c r="B5" s="89" t="str">
        <f>O5&amp;","&amp;O5</f>
        <v>1,1</v>
      </c>
      <c r="C5" s="118" t="str">
        <f t="shared" ref="C5:C36" si="0">"[["&amp;0&amp;","&amp;P5&amp;"],["&amp;R$2&amp;","&amp;R5&amp;"],["&amp;T$2&amp;","&amp;T5&amp;"]]"</f>
        <v>[[0,0],[1,0],[2,0]]</v>
      </c>
      <c r="D5" s="118" t="str">
        <f>"[["&amp;0&amp;","&amp;W5&amp;"],["&amp;Y$2&amp;","&amp;Y5&amp;"],["&amp;AA$2&amp;","&amp;AA5&amp;"]]"</f>
        <v>[[0,0],[1,0],[2,0]]</v>
      </c>
      <c r="E5" s="118" t="str">
        <f>AE5&amp;","&amp;AF5</f>
        <v>10,19</v>
      </c>
      <c r="F5" s="118" t="str">
        <f>"[["&amp;0&amp;","&amp;AH5&amp;"]]"</f>
        <v>[[0,0]]</v>
      </c>
      <c r="G5" s="118" t="str">
        <f t="shared" ref="G5:G36" si="1">"[["&amp;0&amp;","&amp;AK5&amp;"],["&amp;AM$2&amp;","&amp;AM5&amp;"],["&amp;AO$2&amp;","&amp;AO5&amp;"]]"</f>
        <v>[[0,0],[1,0],[2,0]]</v>
      </c>
      <c r="H5" s="118" t="str">
        <f t="shared" ref="H5:H36" si="2">"[["&amp;0&amp;","&amp;AS5&amp;"],["&amp;AU$2&amp;","&amp;AU5&amp;"],["&amp;AW$2&amp;","&amp;AW5&amp;"]]"</f>
        <v>[[0,0],[1,0],[2,0]]</v>
      </c>
      <c r="J5" s="89" t="s">
        <v>215</v>
      </c>
      <c r="K5" s="89">
        <f>K4*K3</f>
        <v>200000</v>
      </c>
      <c r="L5" s="89">
        <f>L4*K5</f>
        <v>40000000</v>
      </c>
      <c r="M5" s="89">
        <f>M4*K5</f>
        <v>36000000</v>
      </c>
      <c r="O5" s="89">
        <v>1</v>
      </c>
      <c r="P5" s="29">
        <v>0</v>
      </c>
      <c r="Q5" s="124">
        <f>P5/SUM(P$5:P$103)</f>
        <v>0</v>
      </c>
      <c r="R5" s="29">
        <v>0</v>
      </c>
      <c r="S5" s="124">
        <f>R5/SUM(R$5:R$103)</f>
        <v>0</v>
      </c>
      <c r="T5" s="29">
        <f>P5</f>
        <v>0</v>
      </c>
      <c r="U5" s="124">
        <f>T5/SUM(T$5:T$103)</f>
        <v>0</v>
      </c>
      <c r="W5" s="29">
        <v>0</v>
      </c>
      <c r="X5" s="124">
        <f>W5/SUM(W$5:W$103)</f>
        <v>0</v>
      </c>
      <c r="Y5" s="29">
        <v>0</v>
      </c>
      <c r="Z5" s="124">
        <f>Y5/SUM(Y$5:Y$103)</f>
        <v>0</v>
      </c>
      <c r="AA5" s="29">
        <f>W5</f>
        <v>0</v>
      </c>
      <c r="AB5" s="124">
        <f>AA5/SUM(AA$5:AA$103)</f>
        <v>0</v>
      </c>
      <c r="AE5" s="30">
        <f t="shared" ref="AE5:AE68" si="3">O5*10</f>
        <v>10</v>
      </c>
      <c r="AF5" s="30">
        <f>AE5+9</f>
        <v>19</v>
      </c>
      <c r="AG5" s="30">
        <f>AVERAGE(AE5:AF5)</f>
        <v>14.5</v>
      </c>
      <c r="AH5" s="29">
        <v>0</v>
      </c>
      <c r="AI5" s="124">
        <f>AH5/SUM(AH$5:AH$103)</f>
        <v>0</v>
      </c>
      <c r="AJ5" s="128">
        <f>AJ4*180</f>
        <v>4159.09090909091</v>
      </c>
      <c r="AK5" s="29">
        <v>0</v>
      </c>
      <c r="AL5" s="124">
        <f>AK5/SUM(AK$5:AK$103)</f>
        <v>0</v>
      </c>
      <c r="AM5" s="29">
        <f>AK5</f>
        <v>0</v>
      </c>
      <c r="AN5" s="124">
        <f>AM5/SUM(AM$5:AM$103)</f>
        <v>0</v>
      </c>
      <c r="AO5" s="29">
        <f>AK5</f>
        <v>0</v>
      </c>
      <c r="AP5" s="124">
        <f>AO5/SUM(AO$5:AO$103)</f>
        <v>0</v>
      </c>
      <c r="AS5" s="29">
        <v>0</v>
      </c>
      <c r="AT5" s="124">
        <f t="shared" ref="AT5:AT36" si="4">AS5/SUM(AS$5:AS$103)</f>
        <v>0</v>
      </c>
      <c r="AU5" s="29">
        <f t="shared" ref="AU5:AU36" si="5">AS5</f>
        <v>0</v>
      </c>
      <c r="AV5" s="124">
        <f>AU5/SUM(AU$5:AU$103)</f>
        <v>0</v>
      </c>
      <c r="AW5" s="29">
        <f t="shared" ref="AW5:AW14" si="6">AS5</f>
        <v>0</v>
      </c>
      <c r="AX5" s="124">
        <f>AW5/SUM(AW$5:AW$103)</f>
        <v>0</v>
      </c>
    </row>
    <row r="6" spans="1:50">
      <c r="A6" s="89">
        <v>2</v>
      </c>
      <c r="B6" s="89" t="str">
        <f t="shared" ref="B6:B69" si="7">O6&amp;","&amp;O6</f>
        <v>2,2</v>
      </c>
      <c r="C6" s="118" t="str">
        <f t="shared" si="0"/>
        <v>[[0,0],[1,0],[2,0]]</v>
      </c>
      <c r="D6" s="118" t="str">
        <f t="shared" ref="D6:D69" si="8">"[["&amp;0&amp;","&amp;W6&amp;"],["&amp;Y$2&amp;","&amp;Y6&amp;"],["&amp;AA$2&amp;","&amp;AA6&amp;"]]"</f>
        <v>[[0,0],[1,0],[2,0]]</v>
      </c>
      <c r="E6" s="118" t="str">
        <f t="shared" ref="E6:E69" si="9">AE6&amp;","&amp;AF6</f>
        <v>20,29</v>
      </c>
      <c r="F6" s="118" t="str">
        <f t="shared" ref="F6:F69" si="10">"[["&amp;0&amp;","&amp;AH6&amp;"]]"</f>
        <v>[[0,0]]</v>
      </c>
      <c r="G6" s="118" t="str">
        <f t="shared" si="1"/>
        <v>[[0,0],[1,0],[2,0]]</v>
      </c>
      <c r="H6" s="118" t="str">
        <f t="shared" si="2"/>
        <v>[[0,0],[1,0],[2,0]]</v>
      </c>
      <c r="J6" s="89" t="s">
        <v>87</v>
      </c>
      <c r="K6" s="89">
        <f>K3*Q3</f>
        <v>200000</v>
      </c>
      <c r="O6" s="89">
        <v>2</v>
      </c>
      <c r="P6" s="29">
        <v>0</v>
      </c>
      <c r="Q6" s="124">
        <f t="shared" ref="Q6:Q69" si="11">P6/SUM(P$5:P$103)</f>
        <v>0</v>
      </c>
      <c r="R6" s="29">
        <v>0</v>
      </c>
      <c r="S6" s="124">
        <f t="shared" ref="S6:U69" si="12">R6/SUM(R$5:R$103)</f>
        <v>0</v>
      </c>
      <c r="T6" s="29">
        <f t="shared" ref="T6:T69" si="13">P6</f>
        <v>0</v>
      </c>
      <c r="U6" s="124">
        <f t="shared" si="12"/>
        <v>0</v>
      </c>
      <c r="W6" s="29">
        <v>0</v>
      </c>
      <c r="X6" s="124">
        <f t="shared" ref="X6:X69" si="14">W6/SUM(W$5:W$103)</f>
        <v>0</v>
      </c>
      <c r="Y6" s="29">
        <v>0</v>
      </c>
      <c r="Z6" s="124">
        <f t="shared" ref="Z6:Z36" si="15">Y6/SUM(Y$5:Y$103)</f>
        <v>0</v>
      </c>
      <c r="AA6" s="29">
        <f t="shared" ref="AA6:AA69" si="16">W6</f>
        <v>0</v>
      </c>
      <c r="AB6" s="124">
        <f t="shared" ref="AB6:AB36" si="17">AA6/SUM(AA$5:AA$103)</f>
        <v>0</v>
      </c>
      <c r="AE6" s="30">
        <f t="shared" si="3"/>
        <v>20</v>
      </c>
      <c r="AF6" s="30">
        <f t="shared" ref="AF6:AF69" si="18">AE6+9</f>
        <v>29</v>
      </c>
      <c r="AG6" s="30">
        <f t="shared" ref="AG6:AG69" si="19">AVERAGE(AE6:AF6)</f>
        <v>24.5</v>
      </c>
      <c r="AH6" s="29">
        <v>0</v>
      </c>
      <c r="AI6" s="124">
        <f t="shared" ref="AI6:AI69" si="20">AH6/SUM(AH$5:AH$103)</f>
        <v>0</v>
      </c>
      <c r="AJ6" s="128">
        <f>AJ3*20</f>
        <v>7234.34343434343</v>
      </c>
      <c r="AK6" s="29">
        <v>0</v>
      </c>
      <c r="AL6" s="124">
        <f t="shared" ref="AL6:AN69" si="21">AK6/SUM(AK$5:AK$103)</f>
        <v>0</v>
      </c>
      <c r="AM6" s="29">
        <f t="shared" ref="AM6:AM69" si="22">AK6</f>
        <v>0</v>
      </c>
      <c r="AN6" s="124">
        <f t="shared" si="21"/>
        <v>0</v>
      </c>
      <c r="AO6" s="29">
        <f t="shared" ref="AO6:AO69" si="23">AK6</f>
        <v>0</v>
      </c>
      <c r="AP6" s="124">
        <f t="shared" ref="AP6:AP59" si="24">AO6/SUM(AO$5:AO$103)</f>
        <v>0</v>
      </c>
      <c r="AS6" s="29">
        <v>0</v>
      </c>
      <c r="AT6" s="124">
        <f t="shared" si="4"/>
        <v>0</v>
      </c>
      <c r="AU6" s="29">
        <f t="shared" si="5"/>
        <v>0</v>
      </c>
      <c r="AV6" s="124">
        <f t="shared" ref="AV6:AV69" si="25">AU6/SUM(AU$5:AU$103)</f>
        <v>0</v>
      </c>
      <c r="AW6" s="29">
        <f t="shared" si="6"/>
        <v>0</v>
      </c>
      <c r="AX6" s="124">
        <f t="shared" ref="AX6:AX69" si="26">AW6/SUM(AW$5:AW$103)</f>
        <v>0</v>
      </c>
    </row>
    <row r="7" spans="1:50">
      <c r="A7" s="89">
        <v>3</v>
      </c>
      <c r="B7" s="89" t="str">
        <f t="shared" si="7"/>
        <v>3,3</v>
      </c>
      <c r="C7" s="118" t="str">
        <f t="shared" si="0"/>
        <v>[[0,0],[1,0],[2,0]]</v>
      </c>
      <c r="D7" s="118" t="str">
        <f t="shared" si="8"/>
        <v>[[0,0],[1,0],[2,0]]</v>
      </c>
      <c r="E7" s="118" t="str">
        <f t="shared" si="9"/>
        <v>30,39</v>
      </c>
      <c r="F7" s="118" t="str">
        <f t="shared" si="10"/>
        <v>[[0,0]]</v>
      </c>
      <c r="G7" s="118" t="str">
        <f t="shared" si="1"/>
        <v>[[0,0],[1,0],[2,0]]</v>
      </c>
      <c r="H7" s="118" t="str">
        <f t="shared" si="2"/>
        <v>[[0,0],[1,0],[2,0]]</v>
      </c>
      <c r="J7" s="89" t="s">
        <v>216</v>
      </c>
      <c r="K7" s="89">
        <f>K5*2</f>
        <v>400000</v>
      </c>
      <c r="O7" s="89">
        <v>3</v>
      </c>
      <c r="P7" s="29">
        <v>0</v>
      </c>
      <c r="Q7" s="124">
        <f t="shared" si="11"/>
        <v>0</v>
      </c>
      <c r="R7" s="29">
        <v>0</v>
      </c>
      <c r="S7" s="124">
        <f t="shared" si="12"/>
        <v>0</v>
      </c>
      <c r="T7" s="29">
        <f t="shared" si="13"/>
        <v>0</v>
      </c>
      <c r="U7" s="124">
        <f t="shared" si="12"/>
        <v>0</v>
      </c>
      <c r="W7" s="29">
        <v>0</v>
      </c>
      <c r="X7" s="124">
        <f t="shared" si="14"/>
        <v>0</v>
      </c>
      <c r="Y7" s="29">
        <v>0</v>
      </c>
      <c r="Z7" s="124">
        <f t="shared" si="15"/>
        <v>0</v>
      </c>
      <c r="AA7" s="29">
        <f t="shared" si="16"/>
        <v>0</v>
      </c>
      <c r="AB7" s="124">
        <f t="shared" si="17"/>
        <v>0</v>
      </c>
      <c r="AE7" s="30">
        <f t="shared" si="3"/>
        <v>30</v>
      </c>
      <c r="AF7" s="30">
        <f t="shared" si="18"/>
        <v>39</v>
      </c>
      <c r="AG7" s="30">
        <f t="shared" si="19"/>
        <v>34.5</v>
      </c>
      <c r="AH7" s="29">
        <v>0</v>
      </c>
      <c r="AI7" s="124">
        <f t="shared" si="20"/>
        <v>0</v>
      </c>
      <c r="AJ7" s="128">
        <f>AJ5+AJ6</f>
        <v>11393.4343434343</v>
      </c>
      <c r="AK7" s="29">
        <v>0</v>
      </c>
      <c r="AL7" s="124">
        <f t="shared" si="21"/>
        <v>0</v>
      </c>
      <c r="AM7" s="29">
        <f t="shared" si="22"/>
        <v>0</v>
      </c>
      <c r="AN7" s="124">
        <f t="shared" si="21"/>
        <v>0</v>
      </c>
      <c r="AO7" s="29">
        <f t="shared" si="23"/>
        <v>0</v>
      </c>
      <c r="AP7" s="124">
        <f t="shared" si="24"/>
        <v>0</v>
      </c>
      <c r="AS7" s="29">
        <v>0</v>
      </c>
      <c r="AT7" s="124">
        <f t="shared" si="4"/>
        <v>0</v>
      </c>
      <c r="AU7" s="29">
        <f t="shared" si="5"/>
        <v>0</v>
      </c>
      <c r="AV7" s="124">
        <f t="shared" si="25"/>
        <v>0</v>
      </c>
      <c r="AW7" s="29">
        <f t="shared" si="6"/>
        <v>0</v>
      </c>
      <c r="AX7" s="124">
        <f t="shared" si="26"/>
        <v>0</v>
      </c>
    </row>
    <row r="8" spans="1:50">
      <c r="A8" s="89">
        <v>4</v>
      </c>
      <c r="B8" s="89" t="str">
        <f t="shared" si="7"/>
        <v>4,4</v>
      </c>
      <c r="C8" s="118" t="str">
        <f t="shared" si="0"/>
        <v>[[0,0],[1,0],[2,0]]</v>
      </c>
      <c r="D8" s="118" t="str">
        <f t="shared" si="8"/>
        <v>[[0,0],[1,0],[2,0]]</v>
      </c>
      <c r="E8" s="118" t="str">
        <f t="shared" si="9"/>
        <v>40,49</v>
      </c>
      <c r="F8" s="118" t="str">
        <f t="shared" si="10"/>
        <v>[[0,0]]</v>
      </c>
      <c r="G8" s="118" t="str">
        <f t="shared" si="1"/>
        <v>[[0,0],[1,0],[2,0]]</v>
      </c>
      <c r="H8" s="118" t="str">
        <f t="shared" si="2"/>
        <v>[[0,0],[1,0],[2,0]]</v>
      </c>
      <c r="O8" s="89">
        <v>4</v>
      </c>
      <c r="P8" s="29">
        <v>0</v>
      </c>
      <c r="Q8" s="124">
        <f t="shared" si="11"/>
        <v>0</v>
      </c>
      <c r="R8" s="29">
        <v>0</v>
      </c>
      <c r="S8" s="124">
        <f t="shared" si="12"/>
        <v>0</v>
      </c>
      <c r="T8" s="29">
        <f t="shared" si="13"/>
        <v>0</v>
      </c>
      <c r="U8" s="124">
        <f t="shared" si="12"/>
        <v>0</v>
      </c>
      <c r="W8" s="29">
        <v>0</v>
      </c>
      <c r="X8" s="124">
        <f t="shared" si="14"/>
        <v>0</v>
      </c>
      <c r="Y8" s="29">
        <v>0</v>
      </c>
      <c r="Z8" s="124">
        <f t="shared" si="15"/>
        <v>0</v>
      </c>
      <c r="AA8" s="29">
        <f t="shared" si="16"/>
        <v>0</v>
      </c>
      <c r="AB8" s="124">
        <f t="shared" si="17"/>
        <v>0</v>
      </c>
      <c r="AE8" s="30">
        <f t="shared" si="3"/>
        <v>40</v>
      </c>
      <c r="AF8" s="30">
        <f t="shared" si="18"/>
        <v>49</v>
      </c>
      <c r="AG8" s="30">
        <f t="shared" si="19"/>
        <v>44.5</v>
      </c>
      <c r="AH8" s="29">
        <v>0</v>
      </c>
      <c r="AI8" s="124">
        <f t="shared" si="20"/>
        <v>0</v>
      </c>
      <c r="AJ8" s="124"/>
      <c r="AK8" s="29">
        <v>0</v>
      </c>
      <c r="AL8" s="124">
        <f t="shared" si="21"/>
        <v>0</v>
      </c>
      <c r="AM8" s="29">
        <f t="shared" si="22"/>
        <v>0</v>
      </c>
      <c r="AN8" s="124">
        <f t="shared" si="21"/>
        <v>0</v>
      </c>
      <c r="AO8" s="29">
        <f t="shared" si="23"/>
        <v>0</v>
      </c>
      <c r="AP8" s="124">
        <f t="shared" si="24"/>
        <v>0</v>
      </c>
      <c r="AS8" s="29">
        <v>0</v>
      </c>
      <c r="AT8" s="124">
        <f t="shared" si="4"/>
        <v>0</v>
      </c>
      <c r="AU8" s="29">
        <f t="shared" si="5"/>
        <v>0</v>
      </c>
      <c r="AV8" s="124">
        <f t="shared" si="25"/>
        <v>0</v>
      </c>
      <c r="AW8" s="29">
        <f t="shared" si="6"/>
        <v>0</v>
      </c>
      <c r="AX8" s="124">
        <f t="shared" si="26"/>
        <v>0</v>
      </c>
    </row>
    <row r="9" spans="1:50">
      <c r="A9" s="89">
        <v>5</v>
      </c>
      <c r="B9" s="89" t="str">
        <f t="shared" si="7"/>
        <v>5,5</v>
      </c>
      <c r="C9" s="118" t="str">
        <f t="shared" si="0"/>
        <v>[[0,0],[1,0],[2,0]]</v>
      </c>
      <c r="D9" s="118" t="str">
        <f t="shared" si="8"/>
        <v>[[0,0],[1,0],[2,0]]</v>
      </c>
      <c r="E9" s="118" t="str">
        <f t="shared" si="9"/>
        <v>50,59</v>
      </c>
      <c r="F9" s="118" t="str">
        <f t="shared" si="10"/>
        <v>[[0,0]]</v>
      </c>
      <c r="G9" s="118" t="str">
        <f t="shared" si="1"/>
        <v>[[0,0],[1,0],[2,0]]</v>
      </c>
      <c r="H9" s="118" t="str">
        <f t="shared" si="2"/>
        <v>[[0,0],[1,0],[2,0]]</v>
      </c>
      <c r="J9" s="120" t="s">
        <v>217</v>
      </c>
      <c r="O9" s="89">
        <v>5</v>
      </c>
      <c r="P9" s="29">
        <v>0</v>
      </c>
      <c r="Q9" s="124">
        <f t="shared" si="11"/>
        <v>0</v>
      </c>
      <c r="R9" s="29">
        <v>0</v>
      </c>
      <c r="S9" s="124">
        <f t="shared" si="12"/>
        <v>0</v>
      </c>
      <c r="T9" s="29">
        <f t="shared" si="13"/>
        <v>0</v>
      </c>
      <c r="U9" s="124">
        <f t="shared" si="12"/>
        <v>0</v>
      </c>
      <c r="W9" s="29">
        <v>0</v>
      </c>
      <c r="X9" s="124">
        <f t="shared" si="14"/>
        <v>0</v>
      </c>
      <c r="Y9" s="29">
        <v>0</v>
      </c>
      <c r="Z9" s="124">
        <f t="shared" si="15"/>
        <v>0</v>
      </c>
      <c r="AA9" s="29">
        <f t="shared" si="16"/>
        <v>0</v>
      </c>
      <c r="AB9" s="124">
        <f t="shared" si="17"/>
        <v>0</v>
      </c>
      <c r="AE9" s="30">
        <f t="shared" si="3"/>
        <v>50</v>
      </c>
      <c r="AF9" s="30">
        <f t="shared" si="18"/>
        <v>59</v>
      </c>
      <c r="AG9" s="30">
        <f t="shared" si="19"/>
        <v>54.5</v>
      </c>
      <c r="AH9" s="29">
        <v>0</v>
      </c>
      <c r="AI9" s="124">
        <f t="shared" si="20"/>
        <v>0</v>
      </c>
      <c r="AJ9" s="124"/>
      <c r="AK9" s="29">
        <v>0</v>
      </c>
      <c r="AL9" s="124">
        <f t="shared" si="21"/>
        <v>0</v>
      </c>
      <c r="AM9" s="29">
        <f t="shared" si="22"/>
        <v>0</v>
      </c>
      <c r="AN9" s="124">
        <f t="shared" si="21"/>
        <v>0</v>
      </c>
      <c r="AO9" s="29">
        <f t="shared" si="23"/>
        <v>0</v>
      </c>
      <c r="AP9" s="124">
        <f t="shared" si="24"/>
        <v>0</v>
      </c>
      <c r="AS9" s="29">
        <v>0</v>
      </c>
      <c r="AT9" s="124">
        <f t="shared" si="4"/>
        <v>0</v>
      </c>
      <c r="AU9" s="29">
        <f t="shared" si="5"/>
        <v>0</v>
      </c>
      <c r="AV9" s="124">
        <f t="shared" si="25"/>
        <v>0</v>
      </c>
      <c r="AW9" s="29">
        <f t="shared" si="6"/>
        <v>0</v>
      </c>
      <c r="AX9" s="124">
        <f t="shared" si="26"/>
        <v>0</v>
      </c>
    </row>
    <row r="10" spans="1:50">
      <c r="A10" s="89">
        <v>6</v>
      </c>
      <c r="B10" s="89" t="str">
        <f t="shared" si="7"/>
        <v>6,6</v>
      </c>
      <c r="C10" s="118" t="str">
        <f t="shared" si="0"/>
        <v>[[0,0],[1,0],[2,0]]</v>
      </c>
      <c r="D10" s="118" t="str">
        <f t="shared" si="8"/>
        <v>[[0,0],[1,0],[2,0]]</v>
      </c>
      <c r="E10" s="118" t="str">
        <f t="shared" si="9"/>
        <v>60,69</v>
      </c>
      <c r="F10" s="118" t="str">
        <f t="shared" si="10"/>
        <v>[[0,0]]</v>
      </c>
      <c r="G10" s="118" t="str">
        <f t="shared" si="1"/>
        <v>[[0,0],[1,0],[2,0]]</v>
      </c>
      <c r="H10" s="118" t="str">
        <f t="shared" si="2"/>
        <v>[[0,0],[1,0],[2,0]]</v>
      </c>
      <c r="J10" s="89" t="s">
        <v>218</v>
      </c>
      <c r="O10" s="89">
        <v>6</v>
      </c>
      <c r="P10" s="29">
        <v>0</v>
      </c>
      <c r="Q10" s="124">
        <f t="shared" si="11"/>
        <v>0</v>
      </c>
      <c r="R10" s="29">
        <v>0</v>
      </c>
      <c r="S10" s="124">
        <f t="shared" si="12"/>
        <v>0</v>
      </c>
      <c r="T10" s="29">
        <f t="shared" si="13"/>
        <v>0</v>
      </c>
      <c r="U10" s="124">
        <f t="shared" si="12"/>
        <v>0</v>
      </c>
      <c r="W10" s="29">
        <v>0</v>
      </c>
      <c r="X10" s="124">
        <f t="shared" si="14"/>
        <v>0</v>
      </c>
      <c r="Y10" s="29">
        <v>0</v>
      </c>
      <c r="Z10" s="124">
        <f t="shared" si="15"/>
        <v>0</v>
      </c>
      <c r="AA10" s="29">
        <f t="shared" si="16"/>
        <v>0</v>
      </c>
      <c r="AB10" s="124">
        <f t="shared" si="17"/>
        <v>0</v>
      </c>
      <c r="AE10" s="30">
        <f t="shared" si="3"/>
        <v>60</v>
      </c>
      <c r="AF10" s="30">
        <f t="shared" si="18"/>
        <v>69</v>
      </c>
      <c r="AG10" s="30">
        <f t="shared" si="19"/>
        <v>64.5</v>
      </c>
      <c r="AH10" s="29">
        <v>0</v>
      </c>
      <c r="AI10" s="124">
        <f t="shared" si="20"/>
        <v>0</v>
      </c>
      <c r="AJ10" s="124"/>
      <c r="AK10" s="29">
        <v>0</v>
      </c>
      <c r="AL10" s="124">
        <f t="shared" si="21"/>
        <v>0</v>
      </c>
      <c r="AM10" s="29">
        <f t="shared" si="22"/>
        <v>0</v>
      </c>
      <c r="AN10" s="124">
        <f t="shared" si="21"/>
        <v>0</v>
      </c>
      <c r="AO10" s="29">
        <f t="shared" si="23"/>
        <v>0</v>
      </c>
      <c r="AP10" s="124">
        <f t="shared" si="24"/>
        <v>0</v>
      </c>
      <c r="AS10" s="29">
        <v>0</v>
      </c>
      <c r="AT10" s="124">
        <f t="shared" si="4"/>
        <v>0</v>
      </c>
      <c r="AU10" s="29">
        <f t="shared" si="5"/>
        <v>0</v>
      </c>
      <c r="AV10" s="124">
        <f t="shared" si="25"/>
        <v>0</v>
      </c>
      <c r="AW10" s="29">
        <f t="shared" si="6"/>
        <v>0</v>
      </c>
      <c r="AX10" s="124">
        <f t="shared" si="26"/>
        <v>0</v>
      </c>
    </row>
    <row r="11" spans="1:50">
      <c r="A11" s="89">
        <v>7</v>
      </c>
      <c r="B11" s="89" t="str">
        <f t="shared" si="7"/>
        <v>7,7</v>
      </c>
      <c r="C11" s="118" t="str">
        <f t="shared" si="0"/>
        <v>[[0,0],[1,0],[2,0]]</v>
      </c>
      <c r="D11" s="118" t="str">
        <f t="shared" si="8"/>
        <v>[[0,0],[1,0],[2,0]]</v>
      </c>
      <c r="E11" s="118" t="str">
        <f t="shared" si="9"/>
        <v>70,79</v>
      </c>
      <c r="F11" s="118" t="str">
        <f t="shared" si="10"/>
        <v>[[0,0]]</v>
      </c>
      <c r="G11" s="118" t="str">
        <f t="shared" si="1"/>
        <v>[[0,0],[1,0],[2,0]]</v>
      </c>
      <c r="H11" s="118" t="str">
        <f t="shared" si="2"/>
        <v>[[0,0],[1,0],[2,0]]</v>
      </c>
      <c r="J11" s="89" t="s">
        <v>219</v>
      </c>
      <c r="O11" s="89">
        <v>7</v>
      </c>
      <c r="P11" s="29">
        <v>0</v>
      </c>
      <c r="Q11" s="124">
        <f t="shared" si="11"/>
        <v>0</v>
      </c>
      <c r="R11" s="29">
        <v>0</v>
      </c>
      <c r="S11" s="124">
        <f t="shared" si="12"/>
        <v>0</v>
      </c>
      <c r="T11" s="29">
        <f t="shared" si="13"/>
        <v>0</v>
      </c>
      <c r="U11" s="124">
        <f t="shared" si="12"/>
        <v>0</v>
      </c>
      <c r="W11" s="29">
        <v>0</v>
      </c>
      <c r="X11" s="124">
        <f t="shared" si="14"/>
        <v>0</v>
      </c>
      <c r="Y11" s="29">
        <v>0</v>
      </c>
      <c r="Z11" s="124">
        <f t="shared" si="15"/>
        <v>0</v>
      </c>
      <c r="AA11" s="29">
        <f t="shared" si="16"/>
        <v>0</v>
      </c>
      <c r="AB11" s="124">
        <f t="shared" si="17"/>
        <v>0</v>
      </c>
      <c r="AE11" s="30">
        <f t="shared" si="3"/>
        <v>70</v>
      </c>
      <c r="AF11" s="30">
        <f t="shared" si="18"/>
        <v>79</v>
      </c>
      <c r="AG11" s="30">
        <f t="shared" si="19"/>
        <v>74.5</v>
      </c>
      <c r="AH11" s="29">
        <v>0</v>
      </c>
      <c r="AI11" s="124">
        <f t="shared" si="20"/>
        <v>0</v>
      </c>
      <c r="AJ11" s="124"/>
      <c r="AK11" s="29">
        <v>0</v>
      </c>
      <c r="AL11" s="124">
        <f t="shared" si="21"/>
        <v>0</v>
      </c>
      <c r="AM11" s="29">
        <f t="shared" si="22"/>
        <v>0</v>
      </c>
      <c r="AN11" s="124">
        <f t="shared" si="21"/>
        <v>0</v>
      </c>
      <c r="AO11" s="29">
        <f t="shared" si="23"/>
        <v>0</v>
      </c>
      <c r="AP11" s="124">
        <f t="shared" si="24"/>
        <v>0</v>
      </c>
      <c r="AS11" s="29">
        <v>0</v>
      </c>
      <c r="AT11" s="124">
        <f t="shared" si="4"/>
        <v>0</v>
      </c>
      <c r="AU11" s="29">
        <f t="shared" si="5"/>
        <v>0</v>
      </c>
      <c r="AV11" s="124">
        <f t="shared" si="25"/>
        <v>0</v>
      </c>
      <c r="AW11" s="29">
        <f t="shared" si="6"/>
        <v>0</v>
      </c>
      <c r="AX11" s="124">
        <f t="shared" si="26"/>
        <v>0</v>
      </c>
    </row>
    <row r="12" spans="1:50">
      <c r="A12" s="89">
        <v>8</v>
      </c>
      <c r="B12" s="89" t="str">
        <f t="shared" si="7"/>
        <v>8,8</v>
      </c>
      <c r="C12" s="118" t="str">
        <f t="shared" si="0"/>
        <v>[[0,0],[1,0],[2,0]]</v>
      </c>
      <c r="D12" s="118" t="str">
        <f t="shared" si="8"/>
        <v>[[0,0],[1,0],[2,0]]</v>
      </c>
      <c r="E12" s="118" t="str">
        <f t="shared" si="9"/>
        <v>80,89</v>
      </c>
      <c r="F12" s="118" t="str">
        <f t="shared" si="10"/>
        <v>[[0,0]]</v>
      </c>
      <c r="G12" s="118" t="str">
        <f t="shared" si="1"/>
        <v>[[0,0],[1,0],[2,0]]</v>
      </c>
      <c r="H12" s="118" t="str">
        <f t="shared" si="2"/>
        <v>[[0,0],[1,0],[2,0]]</v>
      </c>
      <c r="L12" s="115"/>
      <c r="O12" s="89">
        <v>8</v>
      </c>
      <c r="P12" s="29">
        <v>0</v>
      </c>
      <c r="Q12" s="124">
        <f t="shared" si="11"/>
        <v>0</v>
      </c>
      <c r="R12" s="29">
        <v>0</v>
      </c>
      <c r="S12" s="124">
        <f t="shared" si="12"/>
        <v>0</v>
      </c>
      <c r="T12" s="29">
        <f t="shared" si="13"/>
        <v>0</v>
      </c>
      <c r="U12" s="124">
        <f t="shared" si="12"/>
        <v>0</v>
      </c>
      <c r="W12" s="29">
        <v>0</v>
      </c>
      <c r="X12" s="124">
        <f t="shared" si="14"/>
        <v>0</v>
      </c>
      <c r="Y12" s="29">
        <v>0</v>
      </c>
      <c r="Z12" s="124">
        <f t="shared" si="15"/>
        <v>0</v>
      </c>
      <c r="AA12" s="29">
        <f t="shared" si="16"/>
        <v>0</v>
      </c>
      <c r="AB12" s="124">
        <f t="shared" si="17"/>
        <v>0</v>
      </c>
      <c r="AE12" s="30">
        <f t="shared" si="3"/>
        <v>80</v>
      </c>
      <c r="AF12" s="30">
        <f t="shared" si="18"/>
        <v>89</v>
      </c>
      <c r="AG12" s="30">
        <f t="shared" si="19"/>
        <v>84.5</v>
      </c>
      <c r="AH12" s="29">
        <v>0</v>
      </c>
      <c r="AI12" s="124">
        <f t="shared" si="20"/>
        <v>0</v>
      </c>
      <c r="AJ12" s="124"/>
      <c r="AK12" s="29">
        <v>0</v>
      </c>
      <c r="AL12" s="124">
        <f t="shared" si="21"/>
        <v>0</v>
      </c>
      <c r="AM12" s="29">
        <f t="shared" si="22"/>
        <v>0</v>
      </c>
      <c r="AN12" s="124">
        <f t="shared" si="21"/>
        <v>0</v>
      </c>
      <c r="AO12" s="29">
        <f t="shared" si="23"/>
        <v>0</v>
      </c>
      <c r="AP12" s="124">
        <f t="shared" si="24"/>
        <v>0</v>
      </c>
      <c r="AS12" s="29">
        <v>0</v>
      </c>
      <c r="AT12" s="124">
        <f t="shared" si="4"/>
        <v>0</v>
      </c>
      <c r="AU12" s="29">
        <f t="shared" si="5"/>
        <v>0</v>
      </c>
      <c r="AV12" s="124">
        <f t="shared" si="25"/>
        <v>0</v>
      </c>
      <c r="AW12" s="29">
        <f t="shared" si="6"/>
        <v>0</v>
      </c>
      <c r="AX12" s="124">
        <f t="shared" si="26"/>
        <v>0</v>
      </c>
    </row>
    <row r="13" spans="1:50">
      <c r="A13" s="89">
        <v>9</v>
      </c>
      <c r="B13" s="89" t="str">
        <f t="shared" si="7"/>
        <v>9,9</v>
      </c>
      <c r="C13" s="118" t="str">
        <f t="shared" si="0"/>
        <v>[[0,0],[1,0],[2,0]]</v>
      </c>
      <c r="D13" s="118" t="str">
        <f t="shared" si="8"/>
        <v>[[0,0],[1,0],[2,0]]</v>
      </c>
      <c r="E13" s="118" t="str">
        <f t="shared" si="9"/>
        <v>90,99</v>
      </c>
      <c r="F13" s="118" t="str">
        <f t="shared" si="10"/>
        <v>[[0,0]]</v>
      </c>
      <c r="G13" s="118" t="str">
        <f t="shared" si="1"/>
        <v>[[0,0],[1,0],[2,0]]</v>
      </c>
      <c r="H13" s="118" t="str">
        <f t="shared" si="2"/>
        <v>[[0,0],[1,0],[2,0]]</v>
      </c>
      <c r="L13" s="121"/>
      <c r="O13" s="89">
        <v>9</v>
      </c>
      <c r="P13" s="29">
        <v>0</v>
      </c>
      <c r="Q13" s="124">
        <f t="shared" si="11"/>
        <v>0</v>
      </c>
      <c r="R13" s="29">
        <v>0</v>
      </c>
      <c r="S13" s="124">
        <f t="shared" si="12"/>
        <v>0</v>
      </c>
      <c r="T13" s="29">
        <f t="shared" si="13"/>
        <v>0</v>
      </c>
      <c r="U13" s="124">
        <f t="shared" si="12"/>
        <v>0</v>
      </c>
      <c r="W13" s="29">
        <v>0</v>
      </c>
      <c r="X13" s="124">
        <f t="shared" si="14"/>
        <v>0</v>
      </c>
      <c r="Y13" s="29">
        <v>0</v>
      </c>
      <c r="Z13" s="124">
        <f t="shared" si="15"/>
        <v>0</v>
      </c>
      <c r="AA13" s="29">
        <f t="shared" si="16"/>
        <v>0</v>
      </c>
      <c r="AB13" s="124">
        <f t="shared" si="17"/>
        <v>0</v>
      </c>
      <c r="AE13" s="30">
        <f t="shared" si="3"/>
        <v>90</v>
      </c>
      <c r="AF13" s="30">
        <f t="shared" si="18"/>
        <v>99</v>
      </c>
      <c r="AG13" s="30">
        <f t="shared" si="19"/>
        <v>94.5</v>
      </c>
      <c r="AH13" s="29">
        <v>0</v>
      </c>
      <c r="AI13" s="124">
        <f t="shared" si="20"/>
        <v>0</v>
      </c>
      <c r="AJ13" s="124"/>
      <c r="AK13" s="29">
        <v>0</v>
      </c>
      <c r="AL13" s="124">
        <f t="shared" si="21"/>
        <v>0</v>
      </c>
      <c r="AM13" s="29">
        <f t="shared" si="22"/>
        <v>0</v>
      </c>
      <c r="AN13" s="124">
        <f t="shared" si="21"/>
        <v>0</v>
      </c>
      <c r="AO13" s="29">
        <f t="shared" si="23"/>
        <v>0</v>
      </c>
      <c r="AP13" s="124">
        <f t="shared" si="24"/>
        <v>0</v>
      </c>
      <c r="AS13" s="29">
        <v>0</v>
      </c>
      <c r="AT13" s="124">
        <f t="shared" si="4"/>
        <v>0</v>
      </c>
      <c r="AU13" s="29">
        <f t="shared" si="5"/>
        <v>0</v>
      </c>
      <c r="AV13" s="124">
        <f t="shared" si="25"/>
        <v>0</v>
      </c>
      <c r="AW13" s="29">
        <f t="shared" si="6"/>
        <v>0</v>
      </c>
      <c r="AX13" s="124">
        <f t="shared" si="26"/>
        <v>0</v>
      </c>
    </row>
    <row r="14" spans="1:50">
      <c r="A14" s="89">
        <v>10</v>
      </c>
      <c r="B14" s="89" t="str">
        <f t="shared" si="7"/>
        <v>10,10</v>
      </c>
      <c r="C14" s="118" t="str">
        <f t="shared" si="0"/>
        <v>[[0,620],[1,3000],[2,620]]</v>
      </c>
      <c r="D14" s="118" t="str">
        <f t="shared" si="8"/>
        <v>[[0,3000],[1,3000],[2,3000]]</v>
      </c>
      <c r="E14" s="118" t="str">
        <f t="shared" si="9"/>
        <v>100,109</v>
      </c>
      <c r="F14" s="118" t="str">
        <f t="shared" si="10"/>
        <v>[[0,8]]</v>
      </c>
      <c r="G14" s="118" t="str">
        <f t="shared" si="1"/>
        <v>[[0,3920],[1,3920],[2,3920]]</v>
      </c>
      <c r="H14" s="118" t="str">
        <f t="shared" si="2"/>
        <v>[[0,5000],[1,5000],[2,5000]]</v>
      </c>
      <c r="M14" s="115"/>
      <c r="O14" s="89">
        <v>10</v>
      </c>
      <c r="P14" s="29">
        <v>620</v>
      </c>
      <c r="Q14" s="124">
        <f t="shared" si="11"/>
        <v>0.0444699469229666</v>
      </c>
      <c r="R14" s="29">
        <v>3000</v>
      </c>
      <c r="S14" s="124">
        <f t="shared" si="12"/>
        <v>0.0105721283456381</v>
      </c>
      <c r="T14" s="29">
        <f t="shared" si="13"/>
        <v>620</v>
      </c>
      <c r="U14" s="124">
        <f t="shared" si="12"/>
        <v>0.0444699469229666</v>
      </c>
      <c r="W14" s="29">
        <v>3000</v>
      </c>
      <c r="X14" s="124">
        <f t="shared" si="14"/>
        <v>0.0105721283456381</v>
      </c>
      <c r="Y14" s="29">
        <v>3000</v>
      </c>
      <c r="Z14" s="124">
        <f t="shared" si="15"/>
        <v>0.0105721283456381</v>
      </c>
      <c r="AA14" s="29">
        <f t="shared" si="16"/>
        <v>3000</v>
      </c>
      <c r="AB14" s="124">
        <f t="shared" si="17"/>
        <v>0.0105721283456381</v>
      </c>
      <c r="AE14" s="30">
        <f t="shared" si="3"/>
        <v>100</v>
      </c>
      <c r="AF14" s="30">
        <f t="shared" si="18"/>
        <v>109</v>
      </c>
      <c r="AG14" s="30">
        <f t="shared" si="19"/>
        <v>104.5</v>
      </c>
      <c r="AH14" s="29">
        <v>8</v>
      </c>
      <c r="AI14" s="124">
        <f t="shared" si="20"/>
        <v>0.0625</v>
      </c>
      <c r="AJ14" s="124"/>
      <c r="AK14" s="29">
        <v>3920</v>
      </c>
      <c r="AL14" s="124">
        <f t="shared" si="21"/>
        <v>0.0160172594142259</v>
      </c>
      <c r="AM14" s="29">
        <f t="shared" si="22"/>
        <v>3920</v>
      </c>
      <c r="AN14" s="124">
        <f t="shared" si="21"/>
        <v>0.0160172594142259</v>
      </c>
      <c r="AO14" s="29">
        <f t="shared" si="23"/>
        <v>3920</v>
      </c>
      <c r="AP14" s="124">
        <f t="shared" si="24"/>
        <v>0.0160172594142259</v>
      </c>
      <c r="AS14" s="29">
        <v>5000</v>
      </c>
      <c r="AT14" s="124">
        <f t="shared" si="4"/>
        <v>0.0396466688868801</v>
      </c>
      <c r="AU14" s="29">
        <f t="shared" si="5"/>
        <v>5000</v>
      </c>
      <c r="AV14" s="124">
        <f t="shared" si="25"/>
        <v>0.0396466688868801</v>
      </c>
      <c r="AW14" s="29">
        <f t="shared" si="6"/>
        <v>5000</v>
      </c>
      <c r="AX14" s="124">
        <f t="shared" si="26"/>
        <v>0.0396466688868801</v>
      </c>
    </row>
    <row r="15" spans="1:50">
      <c r="A15" s="89">
        <v>11</v>
      </c>
      <c r="B15" s="89" t="str">
        <f t="shared" si="7"/>
        <v>11,11</v>
      </c>
      <c r="C15" s="118" t="str">
        <f t="shared" si="0"/>
        <v>[[0,800],[1,3000],[2,800]]</v>
      </c>
      <c r="D15" s="118" t="str">
        <f t="shared" si="8"/>
        <v>[[0,3000],[1,3000],[2,3000]]</v>
      </c>
      <c r="E15" s="118" t="str">
        <f t="shared" si="9"/>
        <v>110,119</v>
      </c>
      <c r="F15" s="118" t="str">
        <f t="shared" si="10"/>
        <v>[[0,10]]</v>
      </c>
      <c r="G15" s="118" t="str">
        <f t="shared" si="1"/>
        <v>[[0,4000],[1,4000],[2,4000]]</v>
      </c>
      <c r="H15" s="118" t="str">
        <f t="shared" si="2"/>
        <v>[[0,5000],[1,5000],[2,5000]]</v>
      </c>
      <c r="M15" s="115"/>
      <c r="O15" s="89">
        <v>11</v>
      </c>
      <c r="P15" s="29">
        <v>800</v>
      </c>
      <c r="Q15" s="124">
        <f t="shared" si="11"/>
        <v>0.0573805766747956</v>
      </c>
      <c r="R15" s="29">
        <v>3000</v>
      </c>
      <c r="S15" s="124">
        <f t="shared" si="12"/>
        <v>0.0105721283456381</v>
      </c>
      <c r="T15" s="29">
        <f t="shared" si="13"/>
        <v>800</v>
      </c>
      <c r="U15" s="124">
        <f t="shared" si="12"/>
        <v>0.0573805766747956</v>
      </c>
      <c r="W15" s="29">
        <v>3000</v>
      </c>
      <c r="X15" s="124">
        <f t="shared" si="14"/>
        <v>0.0105721283456381</v>
      </c>
      <c r="Y15" s="29">
        <v>3000</v>
      </c>
      <c r="Z15" s="124">
        <f t="shared" si="15"/>
        <v>0.0105721283456381</v>
      </c>
      <c r="AA15" s="29">
        <f t="shared" si="16"/>
        <v>3000</v>
      </c>
      <c r="AB15" s="124">
        <f t="shared" si="17"/>
        <v>0.0105721283456381</v>
      </c>
      <c r="AE15" s="30">
        <f t="shared" si="3"/>
        <v>110</v>
      </c>
      <c r="AF15" s="30">
        <f t="shared" si="18"/>
        <v>119</v>
      </c>
      <c r="AG15" s="30">
        <f t="shared" si="19"/>
        <v>114.5</v>
      </c>
      <c r="AH15" s="29">
        <v>10</v>
      </c>
      <c r="AI15" s="124">
        <f t="shared" si="20"/>
        <v>0.078125</v>
      </c>
      <c r="AJ15" s="124"/>
      <c r="AK15" s="29">
        <v>4000</v>
      </c>
      <c r="AL15" s="124">
        <f t="shared" si="21"/>
        <v>0.0163441422594142</v>
      </c>
      <c r="AM15" s="29">
        <f t="shared" si="22"/>
        <v>4000</v>
      </c>
      <c r="AN15" s="124">
        <f t="shared" si="21"/>
        <v>0.0163441422594142</v>
      </c>
      <c r="AO15" s="29">
        <f t="shared" si="23"/>
        <v>4000</v>
      </c>
      <c r="AP15" s="124">
        <f t="shared" si="24"/>
        <v>0.0163441422594142</v>
      </c>
      <c r="AS15" s="29">
        <v>5000</v>
      </c>
      <c r="AT15" s="124">
        <f t="shared" si="4"/>
        <v>0.0396466688868801</v>
      </c>
      <c r="AU15" s="29">
        <f t="shared" si="5"/>
        <v>5000</v>
      </c>
      <c r="AV15" s="124">
        <f t="shared" si="25"/>
        <v>0.0396466688868801</v>
      </c>
      <c r="AW15" s="29">
        <f t="shared" ref="AW15:AW46" si="27">AS15</f>
        <v>5000</v>
      </c>
      <c r="AX15" s="124">
        <f t="shared" si="26"/>
        <v>0.0396466688868801</v>
      </c>
    </row>
    <row r="16" spans="1:50">
      <c r="A16" s="89">
        <v>12</v>
      </c>
      <c r="B16" s="89" t="str">
        <f t="shared" si="7"/>
        <v>12,12</v>
      </c>
      <c r="C16" s="118" t="str">
        <f t="shared" si="0"/>
        <v>[[0,800],[1,3000],[2,800]]</v>
      </c>
      <c r="D16" s="118" t="str">
        <f t="shared" si="8"/>
        <v>[[0,3000],[1,3000],[2,3000]]</v>
      </c>
      <c r="E16" s="118" t="str">
        <f t="shared" si="9"/>
        <v>120,129</v>
      </c>
      <c r="F16" s="118" t="str">
        <f t="shared" si="10"/>
        <v>[[0,10]]</v>
      </c>
      <c r="G16" s="118" t="str">
        <f t="shared" si="1"/>
        <v>[[0,4000],[1,4000],[2,4000]]</v>
      </c>
      <c r="H16" s="118" t="str">
        <f t="shared" si="2"/>
        <v>[[0,5000],[1,5000],[2,5000]]</v>
      </c>
      <c r="M16" s="115"/>
      <c r="O16" s="89">
        <v>12</v>
      </c>
      <c r="P16" s="29">
        <v>800</v>
      </c>
      <c r="Q16" s="124">
        <f t="shared" si="11"/>
        <v>0.0573805766747956</v>
      </c>
      <c r="R16" s="29">
        <v>3000</v>
      </c>
      <c r="S16" s="124">
        <f t="shared" si="12"/>
        <v>0.0105721283456381</v>
      </c>
      <c r="T16" s="29">
        <f t="shared" si="13"/>
        <v>800</v>
      </c>
      <c r="U16" s="124">
        <f t="shared" si="12"/>
        <v>0.0573805766747956</v>
      </c>
      <c r="W16" s="29">
        <v>3000</v>
      </c>
      <c r="X16" s="124">
        <f t="shared" si="14"/>
        <v>0.0105721283456381</v>
      </c>
      <c r="Y16" s="29">
        <v>3000</v>
      </c>
      <c r="Z16" s="124">
        <f t="shared" si="15"/>
        <v>0.0105721283456381</v>
      </c>
      <c r="AA16" s="29">
        <f t="shared" si="16"/>
        <v>3000</v>
      </c>
      <c r="AB16" s="124">
        <f t="shared" si="17"/>
        <v>0.0105721283456381</v>
      </c>
      <c r="AE16" s="30">
        <f t="shared" si="3"/>
        <v>120</v>
      </c>
      <c r="AF16" s="30">
        <f t="shared" si="18"/>
        <v>129</v>
      </c>
      <c r="AG16" s="30">
        <f t="shared" si="19"/>
        <v>124.5</v>
      </c>
      <c r="AH16" s="29">
        <v>10</v>
      </c>
      <c r="AI16" s="124">
        <f t="shared" si="20"/>
        <v>0.078125</v>
      </c>
      <c r="AJ16" s="124"/>
      <c r="AK16" s="29">
        <v>4000</v>
      </c>
      <c r="AL16" s="124">
        <f t="shared" si="21"/>
        <v>0.0163441422594142</v>
      </c>
      <c r="AM16" s="29">
        <f t="shared" si="22"/>
        <v>4000</v>
      </c>
      <c r="AN16" s="124">
        <f t="shared" si="21"/>
        <v>0.0163441422594142</v>
      </c>
      <c r="AO16" s="29">
        <f t="shared" si="23"/>
        <v>4000</v>
      </c>
      <c r="AP16" s="124">
        <f t="shared" si="24"/>
        <v>0.0163441422594142</v>
      </c>
      <c r="AS16" s="29">
        <v>5000</v>
      </c>
      <c r="AT16" s="124">
        <f t="shared" si="4"/>
        <v>0.0396466688868801</v>
      </c>
      <c r="AU16" s="29">
        <f t="shared" si="5"/>
        <v>5000</v>
      </c>
      <c r="AV16" s="124">
        <f t="shared" si="25"/>
        <v>0.0396466688868801</v>
      </c>
      <c r="AW16" s="29">
        <f t="shared" si="27"/>
        <v>5000</v>
      </c>
      <c r="AX16" s="124">
        <f t="shared" si="26"/>
        <v>0.0396466688868801</v>
      </c>
    </row>
    <row r="17" spans="1:50">
      <c r="A17" s="89">
        <v>13</v>
      </c>
      <c r="B17" s="89" t="str">
        <f t="shared" si="7"/>
        <v>13,13</v>
      </c>
      <c r="C17" s="118" t="str">
        <f t="shared" si="0"/>
        <v>[[0,800],[1,3000],[2,800]]</v>
      </c>
      <c r="D17" s="118" t="str">
        <f t="shared" si="8"/>
        <v>[[0,3000],[1,3000],[2,3000]]</v>
      </c>
      <c r="E17" s="118" t="str">
        <f t="shared" si="9"/>
        <v>130,139</v>
      </c>
      <c r="F17" s="118" t="str">
        <f t="shared" si="10"/>
        <v>[[0,10]]</v>
      </c>
      <c r="G17" s="118" t="str">
        <f t="shared" si="1"/>
        <v>[[0,4000],[1,4000],[2,4000]]</v>
      </c>
      <c r="H17" s="118" t="str">
        <f t="shared" si="2"/>
        <v>[[0,5000],[1,5000],[2,5000]]</v>
      </c>
      <c r="M17" s="115"/>
      <c r="O17" s="89">
        <v>13</v>
      </c>
      <c r="P17" s="29">
        <v>800</v>
      </c>
      <c r="Q17" s="124">
        <f t="shared" si="11"/>
        <v>0.0573805766747956</v>
      </c>
      <c r="R17" s="29">
        <v>3000</v>
      </c>
      <c r="S17" s="124">
        <f t="shared" si="12"/>
        <v>0.0105721283456381</v>
      </c>
      <c r="T17" s="29">
        <f t="shared" si="13"/>
        <v>800</v>
      </c>
      <c r="U17" s="124">
        <f t="shared" si="12"/>
        <v>0.0573805766747956</v>
      </c>
      <c r="W17" s="29">
        <v>3000</v>
      </c>
      <c r="X17" s="124">
        <f t="shared" si="14"/>
        <v>0.0105721283456381</v>
      </c>
      <c r="Y17" s="29">
        <v>3000</v>
      </c>
      <c r="Z17" s="124">
        <f t="shared" si="15"/>
        <v>0.0105721283456381</v>
      </c>
      <c r="AA17" s="29">
        <f t="shared" si="16"/>
        <v>3000</v>
      </c>
      <c r="AB17" s="124">
        <f t="shared" si="17"/>
        <v>0.0105721283456381</v>
      </c>
      <c r="AE17" s="30">
        <f t="shared" si="3"/>
        <v>130</v>
      </c>
      <c r="AF17" s="30">
        <f t="shared" si="18"/>
        <v>139</v>
      </c>
      <c r="AG17" s="30">
        <f t="shared" si="19"/>
        <v>134.5</v>
      </c>
      <c r="AH17" s="29">
        <v>10</v>
      </c>
      <c r="AI17" s="124">
        <f t="shared" si="20"/>
        <v>0.078125</v>
      </c>
      <c r="AJ17" s="124"/>
      <c r="AK17" s="29">
        <v>4000</v>
      </c>
      <c r="AL17" s="124">
        <f t="shared" si="21"/>
        <v>0.0163441422594142</v>
      </c>
      <c r="AM17" s="29">
        <f t="shared" si="22"/>
        <v>4000</v>
      </c>
      <c r="AN17" s="124">
        <f t="shared" si="21"/>
        <v>0.0163441422594142</v>
      </c>
      <c r="AO17" s="29">
        <f t="shared" si="23"/>
        <v>4000</v>
      </c>
      <c r="AP17" s="124">
        <f t="shared" si="24"/>
        <v>0.0163441422594142</v>
      </c>
      <c r="AS17" s="29">
        <v>5000</v>
      </c>
      <c r="AT17" s="124">
        <f t="shared" si="4"/>
        <v>0.0396466688868801</v>
      </c>
      <c r="AU17" s="29">
        <f t="shared" si="5"/>
        <v>5000</v>
      </c>
      <c r="AV17" s="124">
        <f t="shared" si="25"/>
        <v>0.0396466688868801</v>
      </c>
      <c r="AW17" s="29">
        <f t="shared" si="27"/>
        <v>5000</v>
      </c>
      <c r="AX17" s="124">
        <f t="shared" si="26"/>
        <v>0.0396466688868801</v>
      </c>
    </row>
    <row r="18" spans="1:50">
      <c r="A18" s="89">
        <v>14</v>
      </c>
      <c r="B18" s="89" t="str">
        <f t="shared" si="7"/>
        <v>14,14</v>
      </c>
      <c r="C18" s="118" t="str">
        <f t="shared" si="0"/>
        <v>[[0,800],[1,3000],[2,800]]</v>
      </c>
      <c r="D18" s="118" t="str">
        <f t="shared" si="8"/>
        <v>[[0,3000],[1,3000],[2,3000]]</v>
      </c>
      <c r="E18" s="118" t="str">
        <f t="shared" si="9"/>
        <v>140,149</v>
      </c>
      <c r="F18" s="118" t="str">
        <f t="shared" si="10"/>
        <v>[[0,10]]</v>
      </c>
      <c r="G18" s="118" t="str">
        <f t="shared" si="1"/>
        <v>[[0,4000],[1,4000],[2,4000]]</v>
      </c>
      <c r="H18" s="118" t="str">
        <f t="shared" si="2"/>
        <v>[[0,5000],[1,5000],[2,5000]]</v>
      </c>
      <c r="M18" s="115"/>
      <c r="O18" s="89">
        <v>14</v>
      </c>
      <c r="P18" s="29">
        <v>800</v>
      </c>
      <c r="Q18" s="124">
        <f t="shared" si="11"/>
        <v>0.0573805766747956</v>
      </c>
      <c r="R18" s="29">
        <v>3000</v>
      </c>
      <c r="S18" s="124">
        <f t="shared" si="12"/>
        <v>0.0105721283456381</v>
      </c>
      <c r="T18" s="29">
        <f t="shared" si="13"/>
        <v>800</v>
      </c>
      <c r="U18" s="124">
        <f t="shared" si="12"/>
        <v>0.0573805766747956</v>
      </c>
      <c r="W18" s="29">
        <v>3000</v>
      </c>
      <c r="X18" s="124">
        <f t="shared" si="14"/>
        <v>0.0105721283456381</v>
      </c>
      <c r="Y18" s="29">
        <v>3000</v>
      </c>
      <c r="Z18" s="124">
        <f t="shared" si="15"/>
        <v>0.0105721283456381</v>
      </c>
      <c r="AA18" s="29">
        <f t="shared" si="16"/>
        <v>3000</v>
      </c>
      <c r="AB18" s="124">
        <f t="shared" si="17"/>
        <v>0.0105721283456381</v>
      </c>
      <c r="AE18" s="30">
        <f t="shared" si="3"/>
        <v>140</v>
      </c>
      <c r="AF18" s="30">
        <f t="shared" si="18"/>
        <v>149</v>
      </c>
      <c r="AG18" s="30">
        <f t="shared" si="19"/>
        <v>144.5</v>
      </c>
      <c r="AH18" s="29">
        <v>10</v>
      </c>
      <c r="AI18" s="124">
        <f t="shared" si="20"/>
        <v>0.078125</v>
      </c>
      <c r="AJ18" s="124"/>
      <c r="AK18" s="29">
        <v>4000</v>
      </c>
      <c r="AL18" s="124">
        <f t="shared" si="21"/>
        <v>0.0163441422594142</v>
      </c>
      <c r="AM18" s="29">
        <f t="shared" si="22"/>
        <v>4000</v>
      </c>
      <c r="AN18" s="124">
        <f t="shared" si="21"/>
        <v>0.0163441422594142</v>
      </c>
      <c r="AO18" s="29">
        <f t="shared" si="23"/>
        <v>4000</v>
      </c>
      <c r="AP18" s="124">
        <f t="shared" si="24"/>
        <v>0.0163441422594142</v>
      </c>
      <c r="AS18" s="29">
        <v>5000</v>
      </c>
      <c r="AT18" s="124">
        <f t="shared" si="4"/>
        <v>0.0396466688868801</v>
      </c>
      <c r="AU18" s="29">
        <f t="shared" si="5"/>
        <v>5000</v>
      </c>
      <c r="AV18" s="124">
        <f t="shared" si="25"/>
        <v>0.0396466688868801</v>
      </c>
      <c r="AW18" s="29">
        <f t="shared" si="27"/>
        <v>5000</v>
      </c>
      <c r="AX18" s="124">
        <f t="shared" si="26"/>
        <v>0.0396466688868801</v>
      </c>
    </row>
    <row r="19" spans="1:50">
      <c r="A19" s="89">
        <v>15</v>
      </c>
      <c r="B19" s="89" t="str">
        <f t="shared" si="7"/>
        <v>15,15</v>
      </c>
      <c r="C19" s="118" t="str">
        <f t="shared" si="0"/>
        <v>[[0,800],[1,4000],[2,800]]</v>
      </c>
      <c r="D19" s="118" t="str">
        <f t="shared" si="8"/>
        <v>[[0,4000],[1,4000],[2,4000]]</v>
      </c>
      <c r="E19" s="118" t="str">
        <f t="shared" si="9"/>
        <v>150,159</v>
      </c>
      <c r="F19" s="118" t="str">
        <f t="shared" si="10"/>
        <v>[[0,9]]</v>
      </c>
      <c r="G19" s="118" t="str">
        <f t="shared" si="1"/>
        <v>[[0,4000],[1,4000],[2,4000]]</v>
      </c>
      <c r="H19" s="118" t="str">
        <f t="shared" si="2"/>
        <v>[[0,5000],[1,5000],[2,5000]]</v>
      </c>
      <c r="O19" s="89">
        <v>15</v>
      </c>
      <c r="P19" s="29">
        <v>800</v>
      </c>
      <c r="Q19" s="124">
        <f t="shared" si="11"/>
        <v>0.0573805766747956</v>
      </c>
      <c r="R19" s="29">
        <v>4000</v>
      </c>
      <c r="S19" s="124">
        <f t="shared" si="12"/>
        <v>0.0140961711275175</v>
      </c>
      <c r="T19" s="29">
        <f t="shared" si="13"/>
        <v>800</v>
      </c>
      <c r="U19" s="124">
        <f t="shared" si="12"/>
        <v>0.0573805766747956</v>
      </c>
      <c r="W19" s="29">
        <v>4000</v>
      </c>
      <c r="X19" s="124">
        <f t="shared" si="14"/>
        <v>0.0140961711275175</v>
      </c>
      <c r="Y19" s="29">
        <v>4000</v>
      </c>
      <c r="Z19" s="124">
        <f t="shared" si="15"/>
        <v>0.0140961711275175</v>
      </c>
      <c r="AA19" s="29">
        <f t="shared" si="16"/>
        <v>4000</v>
      </c>
      <c r="AB19" s="124">
        <f t="shared" si="17"/>
        <v>0.0140961711275175</v>
      </c>
      <c r="AE19" s="30">
        <f t="shared" si="3"/>
        <v>150</v>
      </c>
      <c r="AF19" s="30">
        <f t="shared" si="18"/>
        <v>159</v>
      </c>
      <c r="AG19" s="30">
        <f t="shared" si="19"/>
        <v>154.5</v>
      </c>
      <c r="AH19" s="29">
        <v>9</v>
      </c>
      <c r="AI19" s="124">
        <f t="shared" si="20"/>
        <v>0.0703125</v>
      </c>
      <c r="AJ19" s="124"/>
      <c r="AK19" s="29">
        <v>4000</v>
      </c>
      <c r="AL19" s="124">
        <f t="shared" si="21"/>
        <v>0.0163441422594142</v>
      </c>
      <c r="AM19" s="29">
        <f t="shared" si="22"/>
        <v>4000</v>
      </c>
      <c r="AN19" s="124">
        <f t="shared" si="21"/>
        <v>0.0163441422594142</v>
      </c>
      <c r="AO19" s="29">
        <f t="shared" si="23"/>
        <v>4000</v>
      </c>
      <c r="AP19" s="124">
        <f t="shared" si="24"/>
        <v>0.0163441422594142</v>
      </c>
      <c r="AS19" s="29">
        <v>5000</v>
      </c>
      <c r="AT19" s="124">
        <f t="shared" si="4"/>
        <v>0.0396466688868801</v>
      </c>
      <c r="AU19" s="29">
        <f t="shared" si="5"/>
        <v>5000</v>
      </c>
      <c r="AV19" s="124">
        <f t="shared" si="25"/>
        <v>0.0396466688868801</v>
      </c>
      <c r="AW19" s="29">
        <f t="shared" si="27"/>
        <v>5000</v>
      </c>
      <c r="AX19" s="124">
        <f t="shared" si="26"/>
        <v>0.0396466688868801</v>
      </c>
    </row>
    <row r="20" spans="1:50">
      <c r="A20" s="89">
        <v>16</v>
      </c>
      <c r="B20" s="89" t="str">
        <f t="shared" si="7"/>
        <v>16,16</v>
      </c>
      <c r="C20" s="118" t="str">
        <f t="shared" si="0"/>
        <v>[[0,800],[1,4000],[2,800]]</v>
      </c>
      <c r="D20" s="118" t="str">
        <f t="shared" si="8"/>
        <v>[[0,4000],[1,4000],[2,4000]]</v>
      </c>
      <c r="E20" s="118" t="str">
        <f t="shared" si="9"/>
        <v>160,169</v>
      </c>
      <c r="F20" s="118" t="str">
        <f t="shared" si="10"/>
        <v>[[0,9]]</v>
      </c>
      <c r="G20" s="118" t="str">
        <f t="shared" si="1"/>
        <v>[[0,4000],[1,4000],[2,4000]]</v>
      </c>
      <c r="H20" s="118" t="str">
        <f t="shared" si="2"/>
        <v>[[0,5000],[1,5000],[2,5000]]</v>
      </c>
      <c r="O20" s="89">
        <v>16</v>
      </c>
      <c r="P20" s="29">
        <v>800</v>
      </c>
      <c r="Q20" s="124">
        <f t="shared" si="11"/>
        <v>0.0573805766747956</v>
      </c>
      <c r="R20" s="29">
        <v>4000</v>
      </c>
      <c r="S20" s="124">
        <f t="shared" si="12"/>
        <v>0.0140961711275175</v>
      </c>
      <c r="T20" s="29">
        <f t="shared" si="13"/>
        <v>800</v>
      </c>
      <c r="U20" s="124">
        <f t="shared" si="12"/>
        <v>0.0573805766747956</v>
      </c>
      <c r="W20" s="29">
        <v>4000</v>
      </c>
      <c r="X20" s="124">
        <f t="shared" si="14"/>
        <v>0.0140961711275175</v>
      </c>
      <c r="Y20" s="29">
        <v>4000</v>
      </c>
      <c r="Z20" s="124">
        <f t="shared" si="15"/>
        <v>0.0140961711275175</v>
      </c>
      <c r="AA20" s="29">
        <f t="shared" si="16"/>
        <v>4000</v>
      </c>
      <c r="AB20" s="124">
        <f t="shared" si="17"/>
        <v>0.0140961711275175</v>
      </c>
      <c r="AE20" s="30">
        <f t="shared" si="3"/>
        <v>160</v>
      </c>
      <c r="AF20" s="30">
        <f t="shared" si="18"/>
        <v>169</v>
      </c>
      <c r="AG20" s="30">
        <f t="shared" si="19"/>
        <v>164.5</v>
      </c>
      <c r="AH20" s="29">
        <v>9</v>
      </c>
      <c r="AI20" s="124">
        <f t="shared" si="20"/>
        <v>0.0703125</v>
      </c>
      <c r="AJ20" s="124"/>
      <c r="AK20" s="29">
        <v>4000</v>
      </c>
      <c r="AL20" s="124">
        <f t="shared" si="21"/>
        <v>0.0163441422594142</v>
      </c>
      <c r="AM20" s="29">
        <f t="shared" si="22"/>
        <v>4000</v>
      </c>
      <c r="AN20" s="124">
        <f t="shared" si="21"/>
        <v>0.0163441422594142</v>
      </c>
      <c r="AO20" s="29">
        <f t="shared" si="23"/>
        <v>4000</v>
      </c>
      <c r="AP20" s="124">
        <f t="shared" si="24"/>
        <v>0.0163441422594142</v>
      </c>
      <c r="AS20" s="29">
        <v>5000</v>
      </c>
      <c r="AT20" s="124">
        <f t="shared" si="4"/>
        <v>0.0396466688868801</v>
      </c>
      <c r="AU20" s="29">
        <f t="shared" si="5"/>
        <v>5000</v>
      </c>
      <c r="AV20" s="124">
        <f t="shared" si="25"/>
        <v>0.0396466688868801</v>
      </c>
      <c r="AW20" s="29">
        <f t="shared" si="27"/>
        <v>5000</v>
      </c>
      <c r="AX20" s="124">
        <f t="shared" si="26"/>
        <v>0.0396466688868801</v>
      </c>
    </row>
    <row r="21" spans="1:50">
      <c r="A21" s="89">
        <v>17</v>
      </c>
      <c r="B21" s="89" t="str">
        <f t="shared" si="7"/>
        <v>17,17</v>
      </c>
      <c r="C21" s="118" t="str">
        <f t="shared" si="0"/>
        <v>[[0,900],[1,4000],[2,900]]</v>
      </c>
      <c r="D21" s="118" t="str">
        <f t="shared" si="8"/>
        <v>[[0,4000],[1,4000],[2,4000]]</v>
      </c>
      <c r="E21" s="118" t="str">
        <f t="shared" si="9"/>
        <v>170,179</v>
      </c>
      <c r="F21" s="118" t="str">
        <f t="shared" si="10"/>
        <v>[[0,7]]</v>
      </c>
      <c r="G21" s="118" t="str">
        <f t="shared" si="1"/>
        <v>[[0,4000],[1,4000],[2,4000]]</v>
      </c>
      <c r="H21" s="118" t="str">
        <f t="shared" si="2"/>
        <v>[[0,5000],[1,5000],[2,5000]]</v>
      </c>
      <c r="O21" s="89">
        <v>17</v>
      </c>
      <c r="P21" s="29">
        <v>900</v>
      </c>
      <c r="Q21" s="124">
        <f t="shared" si="11"/>
        <v>0.064553148759145</v>
      </c>
      <c r="R21" s="29">
        <v>4000</v>
      </c>
      <c r="S21" s="124">
        <f t="shared" si="12"/>
        <v>0.0140961711275175</v>
      </c>
      <c r="T21" s="29">
        <f t="shared" si="13"/>
        <v>900</v>
      </c>
      <c r="U21" s="124">
        <f t="shared" si="12"/>
        <v>0.064553148759145</v>
      </c>
      <c r="W21" s="29">
        <v>4000</v>
      </c>
      <c r="X21" s="124">
        <f t="shared" si="14"/>
        <v>0.0140961711275175</v>
      </c>
      <c r="Y21" s="29">
        <v>4000</v>
      </c>
      <c r="Z21" s="124">
        <f t="shared" si="15"/>
        <v>0.0140961711275175</v>
      </c>
      <c r="AA21" s="29">
        <f t="shared" si="16"/>
        <v>4000</v>
      </c>
      <c r="AB21" s="124">
        <f t="shared" si="17"/>
        <v>0.0140961711275175</v>
      </c>
      <c r="AE21" s="30">
        <f t="shared" si="3"/>
        <v>170</v>
      </c>
      <c r="AF21" s="30">
        <f t="shared" si="18"/>
        <v>179</v>
      </c>
      <c r="AG21" s="30">
        <f t="shared" si="19"/>
        <v>174.5</v>
      </c>
      <c r="AH21" s="29">
        <v>7</v>
      </c>
      <c r="AI21" s="124">
        <f t="shared" si="20"/>
        <v>0.0546875</v>
      </c>
      <c r="AJ21" s="124"/>
      <c r="AK21" s="29">
        <v>4000</v>
      </c>
      <c r="AL21" s="124">
        <f t="shared" si="21"/>
        <v>0.0163441422594142</v>
      </c>
      <c r="AM21" s="29">
        <f t="shared" si="22"/>
        <v>4000</v>
      </c>
      <c r="AN21" s="124">
        <f t="shared" si="21"/>
        <v>0.0163441422594142</v>
      </c>
      <c r="AO21" s="29">
        <f t="shared" si="23"/>
        <v>4000</v>
      </c>
      <c r="AP21" s="124">
        <f t="shared" si="24"/>
        <v>0.0163441422594142</v>
      </c>
      <c r="AS21" s="29">
        <v>5000</v>
      </c>
      <c r="AT21" s="124">
        <f t="shared" si="4"/>
        <v>0.0396466688868801</v>
      </c>
      <c r="AU21" s="29">
        <f t="shared" si="5"/>
        <v>5000</v>
      </c>
      <c r="AV21" s="124">
        <f t="shared" si="25"/>
        <v>0.0396466688868801</v>
      </c>
      <c r="AW21" s="29">
        <f t="shared" si="27"/>
        <v>5000</v>
      </c>
      <c r="AX21" s="124">
        <f t="shared" si="26"/>
        <v>0.0396466688868801</v>
      </c>
    </row>
    <row r="22" spans="1:50">
      <c r="A22" s="89">
        <v>18</v>
      </c>
      <c r="B22" s="89" t="str">
        <f t="shared" si="7"/>
        <v>18,18</v>
      </c>
      <c r="C22" s="118" t="str">
        <f t="shared" si="0"/>
        <v>[[0,998],[1,4000],[2,998]]</v>
      </c>
      <c r="D22" s="118" t="str">
        <f t="shared" si="8"/>
        <v>[[0,4000],[1,4000],[2,4000]]</v>
      </c>
      <c r="E22" s="118" t="str">
        <f t="shared" si="9"/>
        <v>180,189</v>
      </c>
      <c r="F22" s="118" t="str">
        <f t="shared" si="10"/>
        <v>[[0,5]]</v>
      </c>
      <c r="G22" s="118" t="str">
        <f t="shared" si="1"/>
        <v>[[0,4000],[1,4000],[2,4000]]</v>
      </c>
      <c r="H22" s="118" t="str">
        <f t="shared" si="2"/>
        <v>[[0,5000],[1,5000],[2,5000]]</v>
      </c>
      <c r="O22" s="89">
        <v>18</v>
      </c>
      <c r="P22" s="29">
        <v>998</v>
      </c>
      <c r="Q22" s="124">
        <f t="shared" si="11"/>
        <v>0.0715822694018075</v>
      </c>
      <c r="R22" s="29">
        <v>4000</v>
      </c>
      <c r="S22" s="124">
        <f t="shared" si="12"/>
        <v>0.0140961711275175</v>
      </c>
      <c r="T22" s="29">
        <f t="shared" si="13"/>
        <v>998</v>
      </c>
      <c r="U22" s="124">
        <f t="shared" si="12"/>
        <v>0.0715822694018075</v>
      </c>
      <c r="W22" s="29">
        <v>4000</v>
      </c>
      <c r="X22" s="124">
        <f t="shared" si="14"/>
        <v>0.0140961711275175</v>
      </c>
      <c r="Y22" s="29">
        <v>4000</v>
      </c>
      <c r="Z22" s="124">
        <f t="shared" si="15"/>
        <v>0.0140961711275175</v>
      </c>
      <c r="AA22" s="29">
        <f t="shared" si="16"/>
        <v>4000</v>
      </c>
      <c r="AB22" s="124">
        <f t="shared" si="17"/>
        <v>0.0140961711275175</v>
      </c>
      <c r="AE22" s="30">
        <f t="shared" si="3"/>
        <v>180</v>
      </c>
      <c r="AF22" s="30">
        <f t="shared" si="18"/>
        <v>189</v>
      </c>
      <c r="AG22" s="30">
        <f t="shared" si="19"/>
        <v>184.5</v>
      </c>
      <c r="AH22" s="29">
        <v>5</v>
      </c>
      <c r="AI22" s="124">
        <f t="shared" si="20"/>
        <v>0.0390625</v>
      </c>
      <c r="AJ22" s="124"/>
      <c r="AK22" s="29">
        <v>4000</v>
      </c>
      <c r="AL22" s="124">
        <f t="shared" si="21"/>
        <v>0.0163441422594142</v>
      </c>
      <c r="AM22" s="29">
        <f t="shared" si="22"/>
        <v>4000</v>
      </c>
      <c r="AN22" s="124">
        <f t="shared" si="21"/>
        <v>0.0163441422594142</v>
      </c>
      <c r="AO22" s="29">
        <f t="shared" si="23"/>
        <v>4000</v>
      </c>
      <c r="AP22" s="124">
        <f t="shared" si="24"/>
        <v>0.0163441422594142</v>
      </c>
      <c r="AS22" s="29">
        <v>5000</v>
      </c>
      <c r="AT22" s="124">
        <f t="shared" si="4"/>
        <v>0.0396466688868801</v>
      </c>
      <c r="AU22" s="29">
        <f t="shared" si="5"/>
        <v>5000</v>
      </c>
      <c r="AV22" s="124">
        <f t="shared" si="25"/>
        <v>0.0396466688868801</v>
      </c>
      <c r="AW22" s="29">
        <f t="shared" si="27"/>
        <v>5000</v>
      </c>
      <c r="AX22" s="124">
        <f t="shared" si="26"/>
        <v>0.0396466688868801</v>
      </c>
    </row>
    <row r="23" spans="1:50">
      <c r="A23" s="89">
        <v>19</v>
      </c>
      <c r="B23" s="89" t="str">
        <f t="shared" si="7"/>
        <v>19,19</v>
      </c>
      <c r="C23" s="118" t="str">
        <f t="shared" si="0"/>
        <v>[[0,999],[1,4000],[2,999]]</v>
      </c>
      <c r="D23" s="118" t="str">
        <f t="shared" si="8"/>
        <v>[[0,4000],[1,4000],[2,4000]]</v>
      </c>
      <c r="E23" s="118" t="str">
        <f t="shared" si="9"/>
        <v>190,199</v>
      </c>
      <c r="F23" s="118" t="str">
        <f t="shared" si="10"/>
        <v>[[0,5]]</v>
      </c>
      <c r="G23" s="118" t="str">
        <f t="shared" si="1"/>
        <v>[[0,5000],[1,5000],[2,5000]]</v>
      </c>
      <c r="H23" s="118" t="str">
        <f t="shared" si="2"/>
        <v>[[0,5000],[1,5000],[2,5000]]</v>
      </c>
      <c r="O23" s="89">
        <v>19</v>
      </c>
      <c r="P23" s="29">
        <v>999</v>
      </c>
      <c r="Q23" s="124">
        <f t="shared" si="11"/>
        <v>0.071653995122651</v>
      </c>
      <c r="R23" s="29">
        <v>4000</v>
      </c>
      <c r="S23" s="124">
        <f t="shared" si="12"/>
        <v>0.0140961711275175</v>
      </c>
      <c r="T23" s="29">
        <f t="shared" si="13"/>
        <v>999</v>
      </c>
      <c r="U23" s="124">
        <f t="shared" si="12"/>
        <v>0.071653995122651</v>
      </c>
      <c r="W23" s="29">
        <v>4000</v>
      </c>
      <c r="X23" s="124">
        <f t="shared" si="14"/>
        <v>0.0140961711275175</v>
      </c>
      <c r="Y23" s="29">
        <v>4000</v>
      </c>
      <c r="Z23" s="124">
        <f t="shared" si="15"/>
        <v>0.0140961711275175</v>
      </c>
      <c r="AA23" s="29">
        <f t="shared" si="16"/>
        <v>4000</v>
      </c>
      <c r="AB23" s="124">
        <f t="shared" si="17"/>
        <v>0.0140961711275175</v>
      </c>
      <c r="AE23" s="30">
        <f t="shared" si="3"/>
        <v>190</v>
      </c>
      <c r="AF23" s="30">
        <f t="shared" si="18"/>
        <v>199</v>
      </c>
      <c r="AG23" s="30">
        <f t="shared" si="19"/>
        <v>194.5</v>
      </c>
      <c r="AH23" s="29">
        <v>5</v>
      </c>
      <c r="AI23" s="124">
        <f t="shared" si="20"/>
        <v>0.0390625</v>
      </c>
      <c r="AJ23" s="124"/>
      <c r="AK23" s="29">
        <v>5000</v>
      </c>
      <c r="AL23" s="124">
        <f t="shared" si="21"/>
        <v>0.0204301778242678</v>
      </c>
      <c r="AM23" s="29">
        <f t="shared" si="22"/>
        <v>5000</v>
      </c>
      <c r="AN23" s="124">
        <f t="shared" si="21"/>
        <v>0.0204301778242678</v>
      </c>
      <c r="AO23" s="29">
        <f t="shared" si="23"/>
        <v>5000</v>
      </c>
      <c r="AP23" s="124">
        <f t="shared" si="24"/>
        <v>0.0204301778242678</v>
      </c>
      <c r="AS23" s="29">
        <v>5000</v>
      </c>
      <c r="AT23" s="124">
        <f t="shared" si="4"/>
        <v>0.0396466688868801</v>
      </c>
      <c r="AU23" s="29">
        <f t="shared" si="5"/>
        <v>5000</v>
      </c>
      <c r="AV23" s="124">
        <f t="shared" si="25"/>
        <v>0.0396466688868801</v>
      </c>
      <c r="AW23" s="29">
        <f t="shared" si="27"/>
        <v>5000</v>
      </c>
      <c r="AX23" s="124">
        <f t="shared" si="26"/>
        <v>0.0396466688868801</v>
      </c>
    </row>
    <row r="24" spans="1:50">
      <c r="A24" s="89">
        <v>20</v>
      </c>
      <c r="B24" s="89" t="str">
        <f t="shared" si="7"/>
        <v>20,20</v>
      </c>
      <c r="C24" s="118" t="str">
        <f t="shared" si="0"/>
        <v>[[0,800],[1,4000],[2,800]]</v>
      </c>
      <c r="D24" s="118" t="str">
        <f t="shared" si="8"/>
        <v>[[0,4000],[1,4000],[2,4000]]</v>
      </c>
      <c r="E24" s="118" t="str">
        <f t="shared" si="9"/>
        <v>200,209</v>
      </c>
      <c r="F24" s="118" t="str">
        <f t="shared" si="10"/>
        <v>[[0,5]]</v>
      </c>
      <c r="G24" s="118" t="str">
        <f t="shared" si="1"/>
        <v>[[0,5000],[1,5000],[2,5000]]</v>
      </c>
      <c r="H24" s="118" t="str">
        <f t="shared" si="2"/>
        <v>[[0,5000],[1,5000],[2,5000]]</v>
      </c>
      <c r="O24" s="89">
        <v>20</v>
      </c>
      <c r="P24" s="29">
        <v>800</v>
      </c>
      <c r="Q24" s="124">
        <f t="shared" si="11"/>
        <v>0.0573805766747956</v>
      </c>
      <c r="R24" s="29">
        <v>4000</v>
      </c>
      <c r="S24" s="124">
        <f t="shared" si="12"/>
        <v>0.0140961711275175</v>
      </c>
      <c r="T24" s="29">
        <f t="shared" si="13"/>
        <v>800</v>
      </c>
      <c r="U24" s="124">
        <f t="shared" si="12"/>
        <v>0.0573805766747956</v>
      </c>
      <c r="W24" s="29">
        <v>4000</v>
      </c>
      <c r="X24" s="124">
        <f t="shared" si="14"/>
        <v>0.0140961711275175</v>
      </c>
      <c r="Y24" s="29">
        <v>4000</v>
      </c>
      <c r="Z24" s="124">
        <f t="shared" si="15"/>
        <v>0.0140961711275175</v>
      </c>
      <c r="AA24" s="29">
        <f t="shared" si="16"/>
        <v>4000</v>
      </c>
      <c r="AB24" s="124">
        <f t="shared" si="17"/>
        <v>0.0140961711275175</v>
      </c>
      <c r="AE24" s="30">
        <f t="shared" si="3"/>
        <v>200</v>
      </c>
      <c r="AF24" s="30">
        <f t="shared" si="18"/>
        <v>209</v>
      </c>
      <c r="AG24" s="30">
        <f t="shared" si="19"/>
        <v>204.5</v>
      </c>
      <c r="AH24" s="29">
        <v>5</v>
      </c>
      <c r="AI24" s="124">
        <f t="shared" si="20"/>
        <v>0.0390625</v>
      </c>
      <c r="AJ24" s="124"/>
      <c r="AK24" s="29">
        <v>5000</v>
      </c>
      <c r="AL24" s="124">
        <f t="shared" si="21"/>
        <v>0.0204301778242678</v>
      </c>
      <c r="AM24" s="29">
        <f t="shared" si="22"/>
        <v>5000</v>
      </c>
      <c r="AN24" s="124">
        <f t="shared" si="21"/>
        <v>0.0204301778242678</v>
      </c>
      <c r="AO24" s="29">
        <f t="shared" si="23"/>
        <v>5000</v>
      </c>
      <c r="AP24" s="124">
        <f t="shared" si="24"/>
        <v>0.0204301778242678</v>
      </c>
      <c r="AS24" s="29">
        <v>5000</v>
      </c>
      <c r="AT24" s="124">
        <f t="shared" si="4"/>
        <v>0.0396466688868801</v>
      </c>
      <c r="AU24" s="29">
        <f t="shared" si="5"/>
        <v>5000</v>
      </c>
      <c r="AV24" s="124">
        <f t="shared" si="25"/>
        <v>0.0396466688868801</v>
      </c>
      <c r="AW24" s="29">
        <f t="shared" si="27"/>
        <v>5000</v>
      </c>
      <c r="AX24" s="124">
        <f t="shared" si="26"/>
        <v>0.0396466688868801</v>
      </c>
    </row>
    <row r="25" spans="1:50">
      <c r="A25" s="89">
        <v>21</v>
      </c>
      <c r="B25" s="89" t="str">
        <f t="shared" si="7"/>
        <v>21,21</v>
      </c>
      <c r="C25" s="118" t="str">
        <f t="shared" si="0"/>
        <v>[[0,695],[1,5000],[2,695]]</v>
      </c>
      <c r="D25" s="118" t="str">
        <f t="shared" si="8"/>
        <v>[[0,5000],[1,5000],[2,5000]]</v>
      </c>
      <c r="E25" s="118" t="str">
        <f t="shared" si="9"/>
        <v>210,219</v>
      </c>
      <c r="F25" s="118" t="str">
        <f t="shared" si="10"/>
        <v>[[0,3]]</v>
      </c>
      <c r="G25" s="118" t="str">
        <f t="shared" si="1"/>
        <v>[[0,5000],[1,5000],[2,5000]]</v>
      </c>
      <c r="H25" s="118" t="str">
        <f t="shared" si="2"/>
        <v>[[0,5000],[1,5000],[2,5000]]</v>
      </c>
      <c r="O25" s="89">
        <v>21</v>
      </c>
      <c r="P25" s="29">
        <v>695</v>
      </c>
      <c r="Q25" s="124">
        <f t="shared" si="11"/>
        <v>0.0498493759862287</v>
      </c>
      <c r="R25" s="29">
        <v>5000</v>
      </c>
      <c r="S25" s="124">
        <f t="shared" si="12"/>
        <v>0.0176202139093969</v>
      </c>
      <c r="T25" s="29">
        <f t="shared" si="13"/>
        <v>695</v>
      </c>
      <c r="U25" s="124">
        <f t="shared" si="12"/>
        <v>0.0498493759862287</v>
      </c>
      <c r="W25" s="29">
        <v>5000</v>
      </c>
      <c r="X25" s="124">
        <f t="shared" si="14"/>
        <v>0.0176202139093969</v>
      </c>
      <c r="Y25" s="29">
        <v>5000</v>
      </c>
      <c r="Z25" s="124">
        <f t="shared" si="15"/>
        <v>0.0176202139093969</v>
      </c>
      <c r="AA25" s="29">
        <f t="shared" si="16"/>
        <v>5000</v>
      </c>
      <c r="AB25" s="124">
        <f t="shared" si="17"/>
        <v>0.0176202139093969</v>
      </c>
      <c r="AE25" s="30">
        <f t="shared" si="3"/>
        <v>210</v>
      </c>
      <c r="AF25" s="30">
        <f t="shared" si="18"/>
        <v>219</v>
      </c>
      <c r="AG25" s="30">
        <f t="shared" si="19"/>
        <v>214.5</v>
      </c>
      <c r="AH25" s="29">
        <v>3</v>
      </c>
      <c r="AI25" s="124">
        <f t="shared" si="20"/>
        <v>0.0234375</v>
      </c>
      <c r="AJ25" s="124"/>
      <c r="AK25" s="29">
        <v>5000</v>
      </c>
      <c r="AL25" s="124">
        <f t="shared" si="21"/>
        <v>0.0204301778242678</v>
      </c>
      <c r="AM25" s="29">
        <f t="shared" si="22"/>
        <v>5000</v>
      </c>
      <c r="AN25" s="124">
        <f t="shared" si="21"/>
        <v>0.0204301778242678</v>
      </c>
      <c r="AO25" s="29">
        <f t="shared" si="23"/>
        <v>5000</v>
      </c>
      <c r="AP25" s="124">
        <f t="shared" si="24"/>
        <v>0.0204301778242678</v>
      </c>
      <c r="AS25" s="29">
        <v>5000</v>
      </c>
      <c r="AT25" s="124">
        <f t="shared" si="4"/>
        <v>0.0396466688868801</v>
      </c>
      <c r="AU25" s="29">
        <f t="shared" si="5"/>
        <v>5000</v>
      </c>
      <c r="AV25" s="124">
        <f t="shared" si="25"/>
        <v>0.0396466688868801</v>
      </c>
      <c r="AW25" s="29">
        <f t="shared" si="27"/>
        <v>5000</v>
      </c>
      <c r="AX25" s="124">
        <f t="shared" si="26"/>
        <v>0.0396466688868801</v>
      </c>
    </row>
    <row r="26" spans="1:50">
      <c r="A26" s="89">
        <v>22</v>
      </c>
      <c r="B26" s="89" t="str">
        <f t="shared" si="7"/>
        <v>22,22</v>
      </c>
      <c r="C26" s="118" t="str">
        <f t="shared" si="0"/>
        <v>[[0,600],[1,5000],[2,600]]</v>
      </c>
      <c r="D26" s="118" t="str">
        <f t="shared" si="8"/>
        <v>[[0,5000],[1,5000],[2,5000]]</v>
      </c>
      <c r="E26" s="118" t="str">
        <f t="shared" si="9"/>
        <v>220,229</v>
      </c>
      <c r="F26" s="118" t="str">
        <f t="shared" si="10"/>
        <v>[[0,3]]</v>
      </c>
      <c r="G26" s="118" t="str">
        <f t="shared" si="1"/>
        <v>[[0,5000],[1,5000],[2,5000]]</v>
      </c>
      <c r="H26" s="118" t="str">
        <f t="shared" si="2"/>
        <v>[[0,5000],[1,5000],[2,5000]]</v>
      </c>
      <c r="O26" s="89">
        <v>22</v>
      </c>
      <c r="P26" s="29">
        <v>600</v>
      </c>
      <c r="Q26" s="124">
        <f t="shared" si="11"/>
        <v>0.0430354325060967</v>
      </c>
      <c r="R26" s="29">
        <v>5000</v>
      </c>
      <c r="S26" s="124">
        <f t="shared" si="12"/>
        <v>0.0176202139093969</v>
      </c>
      <c r="T26" s="29">
        <f t="shared" si="13"/>
        <v>600</v>
      </c>
      <c r="U26" s="124">
        <f t="shared" si="12"/>
        <v>0.0430354325060967</v>
      </c>
      <c r="W26" s="29">
        <v>5000</v>
      </c>
      <c r="X26" s="124">
        <f t="shared" si="14"/>
        <v>0.0176202139093969</v>
      </c>
      <c r="Y26" s="29">
        <v>5000</v>
      </c>
      <c r="Z26" s="124">
        <f t="shared" si="15"/>
        <v>0.0176202139093969</v>
      </c>
      <c r="AA26" s="29">
        <f t="shared" si="16"/>
        <v>5000</v>
      </c>
      <c r="AB26" s="124">
        <f t="shared" si="17"/>
        <v>0.0176202139093969</v>
      </c>
      <c r="AE26" s="30">
        <f t="shared" si="3"/>
        <v>220</v>
      </c>
      <c r="AF26" s="30">
        <f t="shared" si="18"/>
        <v>229</v>
      </c>
      <c r="AG26" s="30">
        <f t="shared" si="19"/>
        <v>224.5</v>
      </c>
      <c r="AH26" s="29">
        <v>3</v>
      </c>
      <c r="AI26" s="124">
        <f t="shared" si="20"/>
        <v>0.0234375</v>
      </c>
      <c r="AJ26" s="124"/>
      <c r="AK26" s="29">
        <v>5000</v>
      </c>
      <c r="AL26" s="124">
        <f t="shared" si="21"/>
        <v>0.0204301778242678</v>
      </c>
      <c r="AM26" s="29">
        <f t="shared" si="22"/>
        <v>5000</v>
      </c>
      <c r="AN26" s="124">
        <f t="shared" si="21"/>
        <v>0.0204301778242678</v>
      </c>
      <c r="AO26" s="29">
        <f t="shared" si="23"/>
        <v>5000</v>
      </c>
      <c r="AP26" s="124">
        <f t="shared" si="24"/>
        <v>0.0204301778242678</v>
      </c>
      <c r="AS26" s="29">
        <v>5000</v>
      </c>
      <c r="AT26" s="124">
        <f t="shared" si="4"/>
        <v>0.0396466688868801</v>
      </c>
      <c r="AU26" s="29">
        <f t="shared" si="5"/>
        <v>5000</v>
      </c>
      <c r="AV26" s="124">
        <f t="shared" si="25"/>
        <v>0.0396466688868801</v>
      </c>
      <c r="AW26" s="29">
        <f t="shared" si="27"/>
        <v>5000</v>
      </c>
      <c r="AX26" s="124">
        <f t="shared" si="26"/>
        <v>0.0396466688868801</v>
      </c>
    </row>
    <row r="27" spans="1:50">
      <c r="A27" s="89">
        <v>23</v>
      </c>
      <c r="B27" s="89" t="str">
        <f t="shared" si="7"/>
        <v>23,23</v>
      </c>
      <c r="C27" s="118" t="str">
        <f t="shared" si="0"/>
        <v>[[0,500],[1,5000],[2,500]]</v>
      </c>
      <c r="D27" s="118" t="str">
        <f t="shared" si="8"/>
        <v>[[0,5000],[1,5000],[2,5000]]</v>
      </c>
      <c r="E27" s="118" t="str">
        <f t="shared" si="9"/>
        <v>230,239</v>
      </c>
      <c r="F27" s="118" t="str">
        <f t="shared" si="10"/>
        <v>[[0,3]]</v>
      </c>
      <c r="G27" s="118" t="str">
        <f t="shared" si="1"/>
        <v>[[0,5000],[1,5000],[2,5000]]</v>
      </c>
      <c r="H27" s="118" t="str">
        <f t="shared" si="2"/>
        <v>[[0,5000],[1,5000],[2,5000]]</v>
      </c>
      <c r="O27" s="89">
        <v>23</v>
      </c>
      <c r="P27" s="29">
        <v>500</v>
      </c>
      <c r="Q27" s="124">
        <f t="shared" si="11"/>
        <v>0.0358628604217472</v>
      </c>
      <c r="R27" s="29">
        <v>5000</v>
      </c>
      <c r="S27" s="124">
        <f t="shared" si="12"/>
        <v>0.0176202139093969</v>
      </c>
      <c r="T27" s="29">
        <f t="shared" si="13"/>
        <v>500</v>
      </c>
      <c r="U27" s="124">
        <f t="shared" si="12"/>
        <v>0.0358628604217472</v>
      </c>
      <c r="W27" s="29">
        <v>5000</v>
      </c>
      <c r="X27" s="124">
        <f t="shared" si="14"/>
        <v>0.0176202139093969</v>
      </c>
      <c r="Y27" s="29">
        <v>5000</v>
      </c>
      <c r="Z27" s="124">
        <f t="shared" si="15"/>
        <v>0.0176202139093969</v>
      </c>
      <c r="AA27" s="29">
        <f t="shared" si="16"/>
        <v>5000</v>
      </c>
      <c r="AB27" s="124">
        <f t="shared" si="17"/>
        <v>0.0176202139093969</v>
      </c>
      <c r="AE27" s="30">
        <f t="shared" si="3"/>
        <v>230</v>
      </c>
      <c r="AF27" s="30">
        <f t="shared" si="18"/>
        <v>239</v>
      </c>
      <c r="AG27" s="30">
        <f t="shared" si="19"/>
        <v>234.5</v>
      </c>
      <c r="AH27" s="29">
        <v>3</v>
      </c>
      <c r="AI27" s="124">
        <f t="shared" si="20"/>
        <v>0.0234375</v>
      </c>
      <c r="AJ27" s="124"/>
      <c r="AK27" s="29">
        <v>5000</v>
      </c>
      <c r="AL27" s="124">
        <f t="shared" si="21"/>
        <v>0.0204301778242678</v>
      </c>
      <c r="AM27" s="29">
        <f t="shared" si="22"/>
        <v>5000</v>
      </c>
      <c r="AN27" s="124">
        <f t="shared" si="21"/>
        <v>0.0204301778242678</v>
      </c>
      <c r="AO27" s="29">
        <f t="shared" si="23"/>
        <v>5000</v>
      </c>
      <c r="AP27" s="124">
        <f t="shared" si="24"/>
        <v>0.0204301778242678</v>
      </c>
      <c r="AS27" s="29">
        <v>5000</v>
      </c>
      <c r="AT27" s="124">
        <f t="shared" si="4"/>
        <v>0.0396466688868801</v>
      </c>
      <c r="AU27" s="29">
        <f t="shared" si="5"/>
        <v>5000</v>
      </c>
      <c r="AV27" s="124">
        <f t="shared" si="25"/>
        <v>0.0396466688868801</v>
      </c>
      <c r="AW27" s="29">
        <f t="shared" si="27"/>
        <v>5000</v>
      </c>
      <c r="AX27" s="124">
        <f t="shared" si="26"/>
        <v>0.0396466688868801</v>
      </c>
    </row>
    <row r="28" spans="1:50">
      <c r="A28" s="89">
        <v>24</v>
      </c>
      <c r="B28" s="89" t="str">
        <f t="shared" si="7"/>
        <v>24,24</v>
      </c>
      <c r="C28" s="118" t="str">
        <f t="shared" si="0"/>
        <v>[[0,400],[1,5000],[2,400]]</v>
      </c>
      <c r="D28" s="118" t="str">
        <f t="shared" si="8"/>
        <v>[[0,5000],[1,5000],[2,5000]]</v>
      </c>
      <c r="E28" s="118" t="str">
        <f t="shared" si="9"/>
        <v>240,249</v>
      </c>
      <c r="F28" s="118" t="str">
        <f t="shared" si="10"/>
        <v>[[0,3]]</v>
      </c>
      <c r="G28" s="118" t="str">
        <f t="shared" si="1"/>
        <v>[[0,5000],[1,5000],[2,5000]]</v>
      </c>
      <c r="H28" s="118" t="str">
        <f t="shared" si="2"/>
        <v>[[0,5000],[1,5000],[2,5000]]</v>
      </c>
      <c r="O28" s="89">
        <v>24</v>
      </c>
      <c r="P28" s="29">
        <v>400</v>
      </c>
      <c r="Q28" s="124">
        <f t="shared" si="11"/>
        <v>0.0286902883373978</v>
      </c>
      <c r="R28" s="29">
        <v>5000</v>
      </c>
      <c r="S28" s="124">
        <f t="shared" si="12"/>
        <v>0.0176202139093969</v>
      </c>
      <c r="T28" s="29">
        <f t="shared" si="13"/>
        <v>400</v>
      </c>
      <c r="U28" s="124">
        <f t="shared" si="12"/>
        <v>0.0286902883373978</v>
      </c>
      <c r="W28" s="29">
        <v>5000</v>
      </c>
      <c r="X28" s="124">
        <f t="shared" si="14"/>
        <v>0.0176202139093969</v>
      </c>
      <c r="Y28" s="29">
        <v>5000</v>
      </c>
      <c r="Z28" s="124">
        <f t="shared" si="15"/>
        <v>0.0176202139093969</v>
      </c>
      <c r="AA28" s="29">
        <f t="shared" si="16"/>
        <v>5000</v>
      </c>
      <c r="AB28" s="124">
        <f t="shared" si="17"/>
        <v>0.0176202139093969</v>
      </c>
      <c r="AE28" s="30">
        <f t="shared" si="3"/>
        <v>240</v>
      </c>
      <c r="AF28" s="30">
        <f t="shared" si="18"/>
        <v>249</v>
      </c>
      <c r="AG28" s="30">
        <f t="shared" si="19"/>
        <v>244.5</v>
      </c>
      <c r="AH28" s="29">
        <v>3</v>
      </c>
      <c r="AI28" s="124">
        <f t="shared" si="20"/>
        <v>0.0234375</v>
      </c>
      <c r="AJ28" s="124"/>
      <c r="AK28" s="29">
        <v>5000</v>
      </c>
      <c r="AL28" s="124">
        <f t="shared" si="21"/>
        <v>0.0204301778242678</v>
      </c>
      <c r="AM28" s="29">
        <f t="shared" si="22"/>
        <v>5000</v>
      </c>
      <c r="AN28" s="124">
        <f t="shared" si="21"/>
        <v>0.0204301778242678</v>
      </c>
      <c r="AO28" s="29">
        <f t="shared" si="23"/>
        <v>5000</v>
      </c>
      <c r="AP28" s="124">
        <f t="shared" si="24"/>
        <v>0.0204301778242678</v>
      </c>
      <c r="AS28" s="29">
        <v>5000</v>
      </c>
      <c r="AT28" s="124">
        <f t="shared" si="4"/>
        <v>0.0396466688868801</v>
      </c>
      <c r="AU28" s="29">
        <f t="shared" si="5"/>
        <v>5000</v>
      </c>
      <c r="AV28" s="124">
        <f t="shared" si="25"/>
        <v>0.0396466688868801</v>
      </c>
      <c r="AW28" s="29">
        <f t="shared" si="27"/>
        <v>5000</v>
      </c>
      <c r="AX28" s="124">
        <f t="shared" si="26"/>
        <v>0.0396466688868801</v>
      </c>
    </row>
    <row r="29" spans="1:50">
      <c r="A29" s="89">
        <v>25</v>
      </c>
      <c r="B29" s="89" t="str">
        <f t="shared" si="7"/>
        <v>25,25</v>
      </c>
      <c r="C29" s="118" t="str">
        <f t="shared" si="0"/>
        <v>[[0,300],[1,5000],[2,300]]</v>
      </c>
      <c r="D29" s="118" t="str">
        <f t="shared" si="8"/>
        <v>[[0,5000],[1,5000],[2,5000]]</v>
      </c>
      <c r="E29" s="118" t="str">
        <f t="shared" si="9"/>
        <v>250,259</v>
      </c>
      <c r="F29" s="118" t="str">
        <f t="shared" si="10"/>
        <v>[[0,3]]</v>
      </c>
      <c r="G29" s="118" t="str">
        <f t="shared" si="1"/>
        <v>[[0,5000],[1,5000],[2,5000]]</v>
      </c>
      <c r="H29" s="118" t="str">
        <f t="shared" si="2"/>
        <v>[[0,5000],[1,5000],[2,5000]]</v>
      </c>
      <c r="O29" s="89">
        <v>25</v>
      </c>
      <c r="P29" s="29">
        <v>300</v>
      </c>
      <c r="Q29" s="124">
        <f t="shared" si="11"/>
        <v>0.0215177162530483</v>
      </c>
      <c r="R29" s="29">
        <v>5000</v>
      </c>
      <c r="S29" s="124">
        <f t="shared" si="12"/>
        <v>0.0176202139093969</v>
      </c>
      <c r="T29" s="29">
        <f t="shared" si="13"/>
        <v>300</v>
      </c>
      <c r="U29" s="124">
        <f t="shared" si="12"/>
        <v>0.0215177162530483</v>
      </c>
      <c r="W29" s="29">
        <v>5000</v>
      </c>
      <c r="X29" s="124">
        <f t="shared" si="14"/>
        <v>0.0176202139093969</v>
      </c>
      <c r="Y29" s="29">
        <v>5000</v>
      </c>
      <c r="Z29" s="124">
        <f t="shared" si="15"/>
        <v>0.0176202139093969</v>
      </c>
      <c r="AA29" s="29">
        <f t="shared" si="16"/>
        <v>5000</v>
      </c>
      <c r="AB29" s="124">
        <f t="shared" si="17"/>
        <v>0.0176202139093969</v>
      </c>
      <c r="AE29" s="30">
        <f t="shared" si="3"/>
        <v>250</v>
      </c>
      <c r="AF29" s="30">
        <f t="shared" si="18"/>
        <v>259</v>
      </c>
      <c r="AG29" s="30">
        <f t="shared" si="19"/>
        <v>254.5</v>
      </c>
      <c r="AH29" s="29">
        <v>3</v>
      </c>
      <c r="AI29" s="124">
        <f t="shared" si="20"/>
        <v>0.0234375</v>
      </c>
      <c r="AJ29" s="124"/>
      <c r="AK29" s="29">
        <v>5000</v>
      </c>
      <c r="AL29" s="124">
        <f t="shared" si="21"/>
        <v>0.0204301778242678</v>
      </c>
      <c r="AM29" s="29">
        <f t="shared" si="22"/>
        <v>5000</v>
      </c>
      <c r="AN29" s="124">
        <f t="shared" si="21"/>
        <v>0.0204301778242678</v>
      </c>
      <c r="AO29" s="29">
        <f t="shared" si="23"/>
        <v>5000</v>
      </c>
      <c r="AP29" s="124">
        <f t="shared" si="24"/>
        <v>0.0204301778242678</v>
      </c>
      <c r="AS29" s="29">
        <v>5000</v>
      </c>
      <c r="AT29" s="124">
        <f t="shared" si="4"/>
        <v>0.0396466688868801</v>
      </c>
      <c r="AU29" s="29">
        <f t="shared" si="5"/>
        <v>5000</v>
      </c>
      <c r="AV29" s="124">
        <f t="shared" si="25"/>
        <v>0.0396466688868801</v>
      </c>
      <c r="AW29" s="29">
        <f t="shared" si="27"/>
        <v>5000</v>
      </c>
      <c r="AX29" s="124">
        <f t="shared" si="26"/>
        <v>0.0396466688868801</v>
      </c>
    </row>
    <row r="30" spans="1:50">
      <c r="A30" s="89">
        <v>26</v>
      </c>
      <c r="B30" s="89" t="str">
        <f t="shared" si="7"/>
        <v>26,26</v>
      </c>
      <c r="C30" s="118" t="str">
        <f t="shared" si="0"/>
        <v>[[0,200],[1,6000],[2,200]]</v>
      </c>
      <c r="D30" s="118" t="str">
        <f t="shared" si="8"/>
        <v>[[0,6000],[1,6000],[2,6000]]</v>
      </c>
      <c r="E30" s="118" t="str">
        <f t="shared" si="9"/>
        <v>260,269</v>
      </c>
      <c r="F30" s="118" t="str">
        <f t="shared" si="10"/>
        <v>[[0,2]]</v>
      </c>
      <c r="G30" s="118" t="str">
        <f t="shared" si="1"/>
        <v>[[0,6000],[1,6000],[2,6000]]</v>
      </c>
      <c r="H30" s="118" t="str">
        <f t="shared" si="2"/>
        <v>[[0,4002],[1,4002],[2,4002]]</v>
      </c>
      <c r="O30" s="89">
        <v>26</v>
      </c>
      <c r="P30" s="29">
        <v>200</v>
      </c>
      <c r="Q30" s="124">
        <f t="shared" si="11"/>
        <v>0.0143451441686989</v>
      </c>
      <c r="R30" s="29">
        <v>6000</v>
      </c>
      <c r="S30" s="124">
        <f t="shared" si="12"/>
        <v>0.0211442566912762</v>
      </c>
      <c r="T30" s="29">
        <f t="shared" si="13"/>
        <v>200</v>
      </c>
      <c r="U30" s="124">
        <f t="shared" si="12"/>
        <v>0.0143451441686989</v>
      </c>
      <c r="W30" s="29">
        <v>6000</v>
      </c>
      <c r="X30" s="124">
        <f t="shared" si="14"/>
        <v>0.0211442566912762</v>
      </c>
      <c r="Y30" s="29">
        <v>6000</v>
      </c>
      <c r="Z30" s="124">
        <f t="shared" si="15"/>
        <v>0.0211442566912762</v>
      </c>
      <c r="AA30" s="29">
        <f t="shared" si="16"/>
        <v>6000</v>
      </c>
      <c r="AB30" s="124">
        <f t="shared" si="17"/>
        <v>0.0211442566912762</v>
      </c>
      <c r="AE30" s="30">
        <f t="shared" si="3"/>
        <v>260</v>
      </c>
      <c r="AF30" s="30">
        <f t="shared" si="18"/>
        <v>269</v>
      </c>
      <c r="AG30" s="30">
        <f t="shared" si="19"/>
        <v>264.5</v>
      </c>
      <c r="AH30" s="29">
        <v>2</v>
      </c>
      <c r="AI30" s="124">
        <f t="shared" si="20"/>
        <v>0.015625</v>
      </c>
      <c r="AJ30" s="124"/>
      <c r="AK30" s="29">
        <v>6000</v>
      </c>
      <c r="AL30" s="124">
        <f t="shared" si="21"/>
        <v>0.0245162133891213</v>
      </c>
      <c r="AM30" s="29">
        <f t="shared" si="22"/>
        <v>6000</v>
      </c>
      <c r="AN30" s="124">
        <f t="shared" si="21"/>
        <v>0.0245162133891213</v>
      </c>
      <c r="AO30" s="29">
        <f t="shared" si="23"/>
        <v>6000</v>
      </c>
      <c r="AP30" s="124">
        <f t="shared" si="24"/>
        <v>0.0245162133891213</v>
      </c>
      <c r="AS30" s="29">
        <v>4002</v>
      </c>
      <c r="AT30" s="124">
        <f t="shared" si="4"/>
        <v>0.0317331937770589</v>
      </c>
      <c r="AU30" s="29">
        <f t="shared" si="5"/>
        <v>4002</v>
      </c>
      <c r="AV30" s="124">
        <f t="shared" si="25"/>
        <v>0.0317331937770589</v>
      </c>
      <c r="AW30" s="29">
        <f t="shared" si="27"/>
        <v>4002</v>
      </c>
      <c r="AX30" s="124">
        <f t="shared" si="26"/>
        <v>0.0317331937770589</v>
      </c>
    </row>
    <row r="31" spans="1:50">
      <c r="A31" s="89">
        <v>27</v>
      </c>
      <c r="B31" s="89" t="str">
        <f t="shared" si="7"/>
        <v>27,27</v>
      </c>
      <c r="C31" s="118" t="str">
        <f t="shared" si="0"/>
        <v>[[0,200],[1,6000],[2,200]]</v>
      </c>
      <c r="D31" s="118" t="str">
        <f t="shared" si="8"/>
        <v>[[0,6000],[1,6000],[2,6000]]</v>
      </c>
      <c r="E31" s="118" t="str">
        <f t="shared" si="9"/>
        <v>270,279</v>
      </c>
      <c r="F31" s="118" t="str">
        <f t="shared" si="10"/>
        <v>[[0,2]]</v>
      </c>
      <c r="G31" s="118" t="str">
        <f t="shared" si="1"/>
        <v>[[0,6000],[1,6000],[2,6000]]</v>
      </c>
      <c r="H31" s="118" t="str">
        <f t="shared" si="2"/>
        <v>[[0,2512],[1,2512],[2,2512]]</v>
      </c>
      <c r="O31" s="89">
        <v>27</v>
      </c>
      <c r="P31" s="29">
        <v>200</v>
      </c>
      <c r="Q31" s="124">
        <f t="shared" si="11"/>
        <v>0.0143451441686989</v>
      </c>
      <c r="R31" s="29">
        <v>6000</v>
      </c>
      <c r="S31" s="124">
        <f t="shared" si="12"/>
        <v>0.0211442566912762</v>
      </c>
      <c r="T31" s="29">
        <f t="shared" si="13"/>
        <v>200</v>
      </c>
      <c r="U31" s="124">
        <f t="shared" si="12"/>
        <v>0.0143451441686989</v>
      </c>
      <c r="W31" s="29">
        <v>6000</v>
      </c>
      <c r="X31" s="124">
        <f t="shared" si="14"/>
        <v>0.0211442566912762</v>
      </c>
      <c r="Y31" s="29">
        <v>6000</v>
      </c>
      <c r="Z31" s="124">
        <f t="shared" si="15"/>
        <v>0.0211442566912762</v>
      </c>
      <c r="AA31" s="29">
        <f t="shared" si="16"/>
        <v>6000</v>
      </c>
      <c r="AB31" s="124">
        <f t="shared" si="17"/>
        <v>0.0211442566912762</v>
      </c>
      <c r="AE31" s="30">
        <f t="shared" si="3"/>
        <v>270</v>
      </c>
      <c r="AF31" s="30">
        <f t="shared" si="18"/>
        <v>279</v>
      </c>
      <c r="AG31" s="30">
        <f t="shared" si="19"/>
        <v>274.5</v>
      </c>
      <c r="AH31" s="29">
        <v>2</v>
      </c>
      <c r="AI31" s="124">
        <f t="shared" si="20"/>
        <v>0.015625</v>
      </c>
      <c r="AJ31" s="124"/>
      <c r="AK31" s="29">
        <v>6000</v>
      </c>
      <c r="AL31" s="124">
        <f t="shared" si="21"/>
        <v>0.0245162133891213</v>
      </c>
      <c r="AM31" s="29">
        <f t="shared" si="22"/>
        <v>6000</v>
      </c>
      <c r="AN31" s="124">
        <f t="shared" si="21"/>
        <v>0.0245162133891213</v>
      </c>
      <c r="AO31" s="29">
        <f t="shared" si="23"/>
        <v>6000</v>
      </c>
      <c r="AP31" s="124">
        <f t="shared" si="24"/>
        <v>0.0245162133891213</v>
      </c>
      <c r="AS31" s="29">
        <v>2512</v>
      </c>
      <c r="AT31" s="124">
        <f t="shared" si="4"/>
        <v>0.0199184864487686</v>
      </c>
      <c r="AU31" s="29">
        <f t="shared" si="5"/>
        <v>2512</v>
      </c>
      <c r="AV31" s="124">
        <f t="shared" si="25"/>
        <v>0.0199184864487686</v>
      </c>
      <c r="AW31" s="29">
        <f t="shared" si="27"/>
        <v>2512</v>
      </c>
      <c r="AX31" s="124">
        <f t="shared" si="26"/>
        <v>0.0199184864487686</v>
      </c>
    </row>
    <row r="32" spans="1:50">
      <c r="A32" s="89">
        <v>28</v>
      </c>
      <c r="B32" s="89" t="str">
        <f t="shared" si="7"/>
        <v>28,28</v>
      </c>
      <c r="C32" s="118" t="str">
        <f t="shared" si="0"/>
        <v>[[0,200],[1,6000],[2,200]]</v>
      </c>
      <c r="D32" s="118" t="str">
        <f t="shared" si="8"/>
        <v>[[0,6000],[1,6000],[2,6000]]</v>
      </c>
      <c r="E32" s="118" t="str">
        <f t="shared" si="9"/>
        <v>280,289</v>
      </c>
      <c r="F32" s="118" t="str">
        <f t="shared" si="10"/>
        <v>[[0,2]]</v>
      </c>
      <c r="G32" s="118" t="str">
        <f t="shared" si="1"/>
        <v>[[0,6000],[1,6000],[2,6000]]</v>
      </c>
      <c r="H32" s="118" t="str">
        <f t="shared" si="2"/>
        <v>[[0,2500],[1,2500],[2,2500]]</v>
      </c>
      <c r="O32" s="89">
        <v>28</v>
      </c>
      <c r="P32" s="29">
        <v>200</v>
      </c>
      <c r="Q32" s="124">
        <f t="shared" si="11"/>
        <v>0.0143451441686989</v>
      </c>
      <c r="R32" s="29">
        <v>6000</v>
      </c>
      <c r="S32" s="124">
        <f t="shared" si="12"/>
        <v>0.0211442566912762</v>
      </c>
      <c r="T32" s="29">
        <f t="shared" si="13"/>
        <v>200</v>
      </c>
      <c r="U32" s="124">
        <f t="shared" si="12"/>
        <v>0.0143451441686989</v>
      </c>
      <c r="W32" s="29">
        <v>6000</v>
      </c>
      <c r="X32" s="124">
        <f t="shared" si="14"/>
        <v>0.0211442566912762</v>
      </c>
      <c r="Y32" s="29">
        <v>6000</v>
      </c>
      <c r="Z32" s="124">
        <f t="shared" si="15"/>
        <v>0.0211442566912762</v>
      </c>
      <c r="AA32" s="29">
        <f t="shared" si="16"/>
        <v>6000</v>
      </c>
      <c r="AB32" s="124">
        <f t="shared" si="17"/>
        <v>0.0211442566912762</v>
      </c>
      <c r="AE32" s="30">
        <f t="shared" si="3"/>
        <v>280</v>
      </c>
      <c r="AF32" s="30">
        <f t="shared" si="18"/>
        <v>289</v>
      </c>
      <c r="AG32" s="30">
        <f t="shared" si="19"/>
        <v>284.5</v>
      </c>
      <c r="AH32" s="29">
        <v>2</v>
      </c>
      <c r="AI32" s="124">
        <f t="shared" si="20"/>
        <v>0.015625</v>
      </c>
      <c r="AJ32" s="124"/>
      <c r="AK32" s="29">
        <v>6000</v>
      </c>
      <c r="AL32" s="124">
        <f t="shared" si="21"/>
        <v>0.0245162133891213</v>
      </c>
      <c r="AM32" s="29">
        <f t="shared" si="22"/>
        <v>6000</v>
      </c>
      <c r="AN32" s="124">
        <f t="shared" si="21"/>
        <v>0.0245162133891213</v>
      </c>
      <c r="AO32" s="29">
        <f t="shared" si="23"/>
        <v>6000</v>
      </c>
      <c r="AP32" s="124">
        <f t="shared" si="24"/>
        <v>0.0245162133891213</v>
      </c>
      <c r="AS32" s="29">
        <v>2500</v>
      </c>
      <c r="AT32" s="124">
        <f t="shared" si="4"/>
        <v>0.0198233344434401</v>
      </c>
      <c r="AU32" s="29">
        <f t="shared" si="5"/>
        <v>2500</v>
      </c>
      <c r="AV32" s="124">
        <f t="shared" si="25"/>
        <v>0.0198233344434401</v>
      </c>
      <c r="AW32" s="29">
        <f t="shared" si="27"/>
        <v>2500</v>
      </c>
      <c r="AX32" s="124">
        <f t="shared" si="26"/>
        <v>0.0198233344434401</v>
      </c>
    </row>
    <row r="33" spans="1:50">
      <c r="A33" s="89">
        <v>29</v>
      </c>
      <c r="B33" s="89" t="str">
        <f t="shared" si="7"/>
        <v>29,29</v>
      </c>
      <c r="C33" s="118" t="str">
        <f t="shared" si="0"/>
        <v>[[0,200],[1,6000],[2,200]]</v>
      </c>
      <c r="D33" s="118" t="str">
        <f t="shared" si="8"/>
        <v>[[0,6000],[1,6000],[2,6000]]</v>
      </c>
      <c r="E33" s="118" t="str">
        <f t="shared" si="9"/>
        <v>290,299</v>
      </c>
      <c r="F33" s="118" t="str">
        <f t="shared" si="10"/>
        <v>[[0,2]]</v>
      </c>
      <c r="G33" s="118" t="str">
        <f t="shared" si="1"/>
        <v>[[0,6000],[1,6000],[2,6000]]</v>
      </c>
      <c r="H33" s="118" t="str">
        <f t="shared" si="2"/>
        <v>[[0,2000],[1,2000],[2,2000]]</v>
      </c>
      <c r="O33" s="89">
        <v>29</v>
      </c>
      <c r="P33" s="29">
        <v>200</v>
      </c>
      <c r="Q33" s="124">
        <f t="shared" si="11"/>
        <v>0.0143451441686989</v>
      </c>
      <c r="R33" s="29">
        <v>6000</v>
      </c>
      <c r="S33" s="124">
        <f t="shared" si="12"/>
        <v>0.0211442566912762</v>
      </c>
      <c r="T33" s="29">
        <f t="shared" si="13"/>
        <v>200</v>
      </c>
      <c r="U33" s="124">
        <f t="shared" si="12"/>
        <v>0.0143451441686989</v>
      </c>
      <c r="W33" s="29">
        <v>6000</v>
      </c>
      <c r="X33" s="124">
        <f t="shared" si="14"/>
        <v>0.0211442566912762</v>
      </c>
      <c r="Y33" s="29">
        <v>6000</v>
      </c>
      <c r="Z33" s="124">
        <f t="shared" si="15"/>
        <v>0.0211442566912762</v>
      </c>
      <c r="AA33" s="29">
        <f t="shared" si="16"/>
        <v>6000</v>
      </c>
      <c r="AB33" s="124">
        <f t="shared" si="17"/>
        <v>0.0211442566912762</v>
      </c>
      <c r="AE33" s="30">
        <f t="shared" si="3"/>
        <v>290</v>
      </c>
      <c r="AF33" s="30">
        <f t="shared" si="18"/>
        <v>299</v>
      </c>
      <c r="AG33" s="30">
        <f t="shared" si="19"/>
        <v>294.5</v>
      </c>
      <c r="AH33" s="29">
        <v>2</v>
      </c>
      <c r="AI33" s="124">
        <f t="shared" si="20"/>
        <v>0.015625</v>
      </c>
      <c r="AJ33" s="124"/>
      <c r="AK33" s="29">
        <v>6000</v>
      </c>
      <c r="AL33" s="124">
        <f t="shared" si="21"/>
        <v>0.0245162133891213</v>
      </c>
      <c r="AM33" s="29">
        <f t="shared" si="22"/>
        <v>6000</v>
      </c>
      <c r="AN33" s="124">
        <f t="shared" si="21"/>
        <v>0.0245162133891213</v>
      </c>
      <c r="AO33" s="29">
        <f t="shared" si="23"/>
        <v>6000</v>
      </c>
      <c r="AP33" s="124">
        <f t="shared" si="24"/>
        <v>0.0245162133891213</v>
      </c>
      <c r="AS33" s="29">
        <v>2000</v>
      </c>
      <c r="AT33" s="124">
        <f t="shared" si="4"/>
        <v>0.015858667554752</v>
      </c>
      <c r="AU33" s="29">
        <f t="shared" si="5"/>
        <v>2000</v>
      </c>
      <c r="AV33" s="124">
        <f t="shared" si="25"/>
        <v>0.015858667554752</v>
      </c>
      <c r="AW33" s="29">
        <f t="shared" si="27"/>
        <v>2000</v>
      </c>
      <c r="AX33" s="124">
        <f t="shared" si="26"/>
        <v>0.015858667554752</v>
      </c>
    </row>
    <row r="34" spans="1:50">
      <c r="A34" s="89">
        <v>30</v>
      </c>
      <c r="B34" s="89" t="str">
        <f t="shared" si="7"/>
        <v>30,30</v>
      </c>
      <c r="C34" s="118" t="str">
        <f t="shared" si="0"/>
        <v>[[0,100],[1,6000],[2,100]]</v>
      </c>
      <c r="D34" s="118" t="str">
        <f t="shared" si="8"/>
        <v>[[0,6000],[1,6000],[2,6000]]</v>
      </c>
      <c r="E34" s="118" t="str">
        <f t="shared" si="9"/>
        <v>300,309</v>
      </c>
      <c r="F34" s="118" t="str">
        <f t="shared" si="10"/>
        <v>[[0,2]]</v>
      </c>
      <c r="G34" s="118" t="str">
        <f t="shared" si="1"/>
        <v>[[0,6000],[1,6000],[2,6000]]</v>
      </c>
      <c r="H34" s="118" t="str">
        <f t="shared" si="2"/>
        <v>[[0,2000],[1,2000],[2,2000]]</v>
      </c>
      <c r="O34" s="89">
        <v>30</v>
      </c>
      <c r="P34" s="29">
        <v>100</v>
      </c>
      <c r="Q34" s="124">
        <f t="shared" si="11"/>
        <v>0.00717257208434945</v>
      </c>
      <c r="R34" s="29">
        <v>6000</v>
      </c>
      <c r="S34" s="124">
        <f t="shared" si="12"/>
        <v>0.0211442566912762</v>
      </c>
      <c r="T34" s="29">
        <f t="shared" si="13"/>
        <v>100</v>
      </c>
      <c r="U34" s="124">
        <f t="shared" si="12"/>
        <v>0.00717257208434945</v>
      </c>
      <c r="W34" s="29">
        <v>6000</v>
      </c>
      <c r="X34" s="124">
        <f t="shared" si="14"/>
        <v>0.0211442566912762</v>
      </c>
      <c r="Y34" s="29">
        <v>6000</v>
      </c>
      <c r="Z34" s="124">
        <f t="shared" si="15"/>
        <v>0.0211442566912762</v>
      </c>
      <c r="AA34" s="29">
        <f t="shared" si="16"/>
        <v>6000</v>
      </c>
      <c r="AB34" s="124">
        <f t="shared" si="17"/>
        <v>0.0211442566912762</v>
      </c>
      <c r="AE34" s="30">
        <f t="shared" si="3"/>
        <v>300</v>
      </c>
      <c r="AF34" s="30">
        <f t="shared" si="18"/>
        <v>309</v>
      </c>
      <c r="AG34" s="30">
        <f t="shared" si="19"/>
        <v>304.5</v>
      </c>
      <c r="AH34" s="29">
        <v>2</v>
      </c>
      <c r="AI34" s="124">
        <f t="shared" si="20"/>
        <v>0.015625</v>
      </c>
      <c r="AJ34" s="124"/>
      <c r="AK34" s="29">
        <v>6000</v>
      </c>
      <c r="AL34" s="124">
        <f t="shared" si="21"/>
        <v>0.0245162133891213</v>
      </c>
      <c r="AM34" s="29">
        <f t="shared" si="22"/>
        <v>6000</v>
      </c>
      <c r="AN34" s="124">
        <f t="shared" si="21"/>
        <v>0.0245162133891213</v>
      </c>
      <c r="AO34" s="29">
        <f t="shared" si="23"/>
        <v>6000</v>
      </c>
      <c r="AP34" s="124">
        <f t="shared" si="24"/>
        <v>0.0245162133891213</v>
      </c>
      <c r="AS34" s="29">
        <v>2000</v>
      </c>
      <c r="AT34" s="124">
        <f t="shared" si="4"/>
        <v>0.015858667554752</v>
      </c>
      <c r="AU34" s="29">
        <f t="shared" si="5"/>
        <v>2000</v>
      </c>
      <c r="AV34" s="124">
        <f t="shared" si="25"/>
        <v>0.015858667554752</v>
      </c>
      <c r="AW34" s="29">
        <f t="shared" si="27"/>
        <v>2000</v>
      </c>
      <c r="AX34" s="124">
        <f t="shared" si="26"/>
        <v>0.015858667554752</v>
      </c>
    </row>
    <row r="35" spans="1:50">
      <c r="A35" s="89">
        <v>31</v>
      </c>
      <c r="B35" s="89" t="str">
        <f t="shared" si="7"/>
        <v>31,31</v>
      </c>
      <c r="C35" s="118" t="str">
        <f t="shared" si="0"/>
        <v>[[0,100],[1,7000],[2,100]]</v>
      </c>
      <c r="D35" s="118" t="str">
        <f t="shared" si="8"/>
        <v>[[0,7000],[1,7000],[2,7000]]</v>
      </c>
      <c r="E35" s="118" t="str">
        <f t="shared" si="9"/>
        <v>310,319</v>
      </c>
      <c r="F35" s="118" t="str">
        <f t="shared" si="10"/>
        <v>[[0,2]]</v>
      </c>
      <c r="G35" s="118" t="str">
        <f t="shared" si="1"/>
        <v>[[0,8000],[1,8000],[2,8000]]</v>
      </c>
      <c r="H35" s="118" t="str">
        <f t="shared" si="2"/>
        <v>[[0,1500],[1,1500],[2,1500]]</v>
      </c>
      <c r="O35" s="89">
        <v>31</v>
      </c>
      <c r="P35" s="29">
        <v>100</v>
      </c>
      <c r="Q35" s="124">
        <f t="shared" si="11"/>
        <v>0.00717257208434945</v>
      </c>
      <c r="R35" s="29">
        <v>7000</v>
      </c>
      <c r="S35" s="124">
        <f t="shared" si="12"/>
        <v>0.0246682994731556</v>
      </c>
      <c r="T35" s="29">
        <f t="shared" si="13"/>
        <v>100</v>
      </c>
      <c r="U35" s="124">
        <f t="shared" si="12"/>
        <v>0.00717257208434945</v>
      </c>
      <c r="W35" s="29">
        <v>7000</v>
      </c>
      <c r="X35" s="124">
        <f t="shared" si="14"/>
        <v>0.0246682994731556</v>
      </c>
      <c r="Y35" s="29">
        <v>7000</v>
      </c>
      <c r="Z35" s="124">
        <f t="shared" si="15"/>
        <v>0.0246682994731556</v>
      </c>
      <c r="AA35" s="29">
        <f t="shared" si="16"/>
        <v>7000</v>
      </c>
      <c r="AB35" s="124">
        <f t="shared" si="17"/>
        <v>0.0246682994731556</v>
      </c>
      <c r="AE35" s="30">
        <f t="shared" si="3"/>
        <v>310</v>
      </c>
      <c r="AF35" s="30">
        <f t="shared" si="18"/>
        <v>319</v>
      </c>
      <c r="AG35" s="30">
        <f t="shared" si="19"/>
        <v>314.5</v>
      </c>
      <c r="AH35" s="29">
        <v>2</v>
      </c>
      <c r="AI35" s="124">
        <f t="shared" si="20"/>
        <v>0.015625</v>
      </c>
      <c r="AJ35" s="124"/>
      <c r="AK35" s="29">
        <v>8000</v>
      </c>
      <c r="AL35" s="124">
        <f t="shared" si="21"/>
        <v>0.0326882845188285</v>
      </c>
      <c r="AM35" s="29">
        <f t="shared" si="22"/>
        <v>8000</v>
      </c>
      <c r="AN35" s="124">
        <f t="shared" si="21"/>
        <v>0.0326882845188285</v>
      </c>
      <c r="AO35" s="29">
        <f t="shared" si="23"/>
        <v>8000</v>
      </c>
      <c r="AP35" s="124">
        <f t="shared" si="24"/>
        <v>0.0326882845188285</v>
      </c>
      <c r="AS35" s="29">
        <v>1500</v>
      </c>
      <c r="AT35" s="124">
        <f t="shared" si="4"/>
        <v>0.011894000666064</v>
      </c>
      <c r="AU35" s="29">
        <f t="shared" si="5"/>
        <v>1500</v>
      </c>
      <c r="AV35" s="124">
        <f t="shared" si="25"/>
        <v>0.011894000666064</v>
      </c>
      <c r="AW35" s="29">
        <f t="shared" si="27"/>
        <v>1500</v>
      </c>
      <c r="AX35" s="124">
        <f t="shared" si="26"/>
        <v>0.011894000666064</v>
      </c>
    </row>
    <row r="36" spans="1:50">
      <c r="A36" s="89">
        <v>32</v>
      </c>
      <c r="B36" s="89" t="str">
        <f t="shared" si="7"/>
        <v>32,32</v>
      </c>
      <c r="C36" s="118" t="str">
        <f t="shared" si="0"/>
        <v>[[0,100],[1,7000],[2,100]]</v>
      </c>
      <c r="D36" s="118" t="str">
        <f t="shared" si="8"/>
        <v>[[0,7000],[1,7000],[2,7000]]</v>
      </c>
      <c r="E36" s="118" t="str">
        <f t="shared" si="9"/>
        <v>320,329</v>
      </c>
      <c r="F36" s="118" t="str">
        <f t="shared" si="10"/>
        <v>[[0,2]]</v>
      </c>
      <c r="G36" s="118" t="str">
        <f t="shared" si="1"/>
        <v>[[0,8000],[1,8000],[2,8000]]</v>
      </c>
      <c r="H36" s="118" t="str">
        <f t="shared" si="2"/>
        <v>[[0,1500],[1,1500],[2,1500]]</v>
      </c>
      <c r="O36" s="89">
        <v>32</v>
      </c>
      <c r="P36" s="29">
        <v>100</v>
      </c>
      <c r="Q36" s="124">
        <f t="shared" si="11"/>
        <v>0.00717257208434945</v>
      </c>
      <c r="R36" s="29">
        <v>7000</v>
      </c>
      <c r="S36" s="124">
        <f t="shared" si="12"/>
        <v>0.0246682994731556</v>
      </c>
      <c r="T36" s="29">
        <f t="shared" si="13"/>
        <v>100</v>
      </c>
      <c r="U36" s="124">
        <f t="shared" si="12"/>
        <v>0.00717257208434945</v>
      </c>
      <c r="W36" s="29">
        <v>7000</v>
      </c>
      <c r="X36" s="124">
        <f t="shared" si="14"/>
        <v>0.0246682994731556</v>
      </c>
      <c r="Y36" s="29">
        <v>7000</v>
      </c>
      <c r="Z36" s="124">
        <f t="shared" si="15"/>
        <v>0.0246682994731556</v>
      </c>
      <c r="AA36" s="29">
        <f t="shared" si="16"/>
        <v>7000</v>
      </c>
      <c r="AB36" s="124">
        <f t="shared" si="17"/>
        <v>0.0246682994731556</v>
      </c>
      <c r="AE36" s="30">
        <f t="shared" si="3"/>
        <v>320</v>
      </c>
      <c r="AF36" s="30">
        <f t="shared" si="18"/>
        <v>329</v>
      </c>
      <c r="AG36" s="30">
        <f t="shared" si="19"/>
        <v>324.5</v>
      </c>
      <c r="AH36" s="29">
        <v>2</v>
      </c>
      <c r="AI36" s="124">
        <f t="shared" si="20"/>
        <v>0.015625</v>
      </c>
      <c r="AJ36" s="124"/>
      <c r="AK36" s="29">
        <v>8000</v>
      </c>
      <c r="AL36" s="124">
        <f t="shared" si="21"/>
        <v>0.0326882845188285</v>
      </c>
      <c r="AM36" s="29">
        <f t="shared" si="22"/>
        <v>8000</v>
      </c>
      <c r="AN36" s="124">
        <f t="shared" si="21"/>
        <v>0.0326882845188285</v>
      </c>
      <c r="AO36" s="29">
        <f t="shared" si="23"/>
        <v>8000</v>
      </c>
      <c r="AP36" s="124">
        <f t="shared" si="24"/>
        <v>0.0326882845188285</v>
      </c>
      <c r="AS36" s="29">
        <v>1500</v>
      </c>
      <c r="AT36" s="124">
        <f t="shared" si="4"/>
        <v>0.011894000666064</v>
      </c>
      <c r="AU36" s="29">
        <f t="shared" si="5"/>
        <v>1500</v>
      </c>
      <c r="AV36" s="124">
        <f t="shared" si="25"/>
        <v>0.011894000666064</v>
      </c>
      <c r="AW36" s="29">
        <f t="shared" si="27"/>
        <v>1500</v>
      </c>
      <c r="AX36" s="124">
        <f t="shared" si="26"/>
        <v>0.011894000666064</v>
      </c>
    </row>
    <row r="37" spans="1:50">
      <c r="A37" s="89">
        <v>33</v>
      </c>
      <c r="B37" s="89" t="str">
        <f t="shared" si="7"/>
        <v>33,33</v>
      </c>
      <c r="C37" s="118" t="str">
        <f t="shared" ref="C37:C68" si="28">"[["&amp;0&amp;","&amp;P37&amp;"],["&amp;R$2&amp;","&amp;R37&amp;"],["&amp;T$2&amp;","&amp;T37&amp;"]]"</f>
        <v>[[0,100],[1,7000],[2,100]]</v>
      </c>
      <c r="D37" s="118" t="str">
        <f t="shared" si="8"/>
        <v>[[0,7000],[1,7000],[2,7000]]</v>
      </c>
      <c r="E37" s="118" t="str">
        <f t="shared" si="9"/>
        <v>330,339</v>
      </c>
      <c r="F37" s="118" t="str">
        <f t="shared" si="10"/>
        <v>[[0,2]]</v>
      </c>
      <c r="G37" s="118" t="str">
        <f t="shared" ref="G37:G68" si="29">"[["&amp;0&amp;","&amp;AK37&amp;"],["&amp;AM$2&amp;","&amp;AM37&amp;"],["&amp;AO$2&amp;","&amp;AO37&amp;"]]"</f>
        <v>[[0,8000],[1,8000],[2,8000]]</v>
      </c>
      <c r="H37" s="118" t="str">
        <f t="shared" ref="H37:H68" si="30">"[["&amp;0&amp;","&amp;AS37&amp;"],["&amp;AU$2&amp;","&amp;AU37&amp;"],["&amp;AW$2&amp;","&amp;AW37&amp;"]]"</f>
        <v>[[0,1500],[1,1500],[2,1500]]</v>
      </c>
      <c r="O37" s="89">
        <v>33</v>
      </c>
      <c r="P37" s="29">
        <v>100</v>
      </c>
      <c r="Q37" s="124">
        <f t="shared" si="11"/>
        <v>0.00717257208434945</v>
      </c>
      <c r="R37" s="29">
        <v>7000</v>
      </c>
      <c r="S37" s="124">
        <f t="shared" si="12"/>
        <v>0.0246682994731556</v>
      </c>
      <c r="T37" s="29">
        <f t="shared" si="13"/>
        <v>100</v>
      </c>
      <c r="U37" s="124">
        <f t="shared" si="12"/>
        <v>0.00717257208434945</v>
      </c>
      <c r="W37" s="29">
        <v>7000</v>
      </c>
      <c r="X37" s="124">
        <f t="shared" si="14"/>
        <v>0.0246682994731556</v>
      </c>
      <c r="Y37" s="29">
        <v>7000</v>
      </c>
      <c r="Z37" s="124">
        <f t="shared" ref="Z37" si="31">Y37/SUM(Y$5:Y$103)</f>
        <v>0.0246682994731556</v>
      </c>
      <c r="AA37" s="29">
        <f t="shared" si="16"/>
        <v>7000</v>
      </c>
      <c r="AB37" s="124">
        <f t="shared" ref="AB37" si="32">AA37/SUM(AA$5:AA$103)</f>
        <v>0.0246682994731556</v>
      </c>
      <c r="AE37" s="30">
        <f t="shared" si="3"/>
        <v>330</v>
      </c>
      <c r="AF37" s="30">
        <f t="shared" si="18"/>
        <v>339</v>
      </c>
      <c r="AG37" s="30">
        <f t="shared" si="19"/>
        <v>334.5</v>
      </c>
      <c r="AH37" s="29">
        <v>2</v>
      </c>
      <c r="AI37" s="124">
        <f t="shared" si="20"/>
        <v>0.015625</v>
      </c>
      <c r="AJ37" s="124"/>
      <c r="AK37" s="29">
        <v>8000</v>
      </c>
      <c r="AL37" s="124">
        <f t="shared" si="21"/>
        <v>0.0326882845188285</v>
      </c>
      <c r="AM37" s="29">
        <f t="shared" si="22"/>
        <v>8000</v>
      </c>
      <c r="AN37" s="124">
        <f t="shared" si="21"/>
        <v>0.0326882845188285</v>
      </c>
      <c r="AO37" s="29">
        <f t="shared" si="23"/>
        <v>8000</v>
      </c>
      <c r="AP37" s="124">
        <f t="shared" si="24"/>
        <v>0.0326882845188285</v>
      </c>
      <c r="AS37" s="29">
        <v>1500</v>
      </c>
      <c r="AT37" s="124">
        <f t="shared" ref="AT37:AT68" si="33">AS37/SUM(AS$5:AS$103)</f>
        <v>0.011894000666064</v>
      </c>
      <c r="AU37" s="29">
        <f t="shared" ref="AU37:AU68" si="34">AS37</f>
        <v>1500</v>
      </c>
      <c r="AV37" s="124">
        <f t="shared" si="25"/>
        <v>0.011894000666064</v>
      </c>
      <c r="AW37" s="29">
        <f t="shared" si="27"/>
        <v>1500</v>
      </c>
      <c r="AX37" s="124">
        <f t="shared" si="26"/>
        <v>0.011894000666064</v>
      </c>
    </row>
    <row r="38" spans="1:50">
      <c r="A38" s="89">
        <v>34</v>
      </c>
      <c r="B38" s="89" t="str">
        <f t="shared" si="7"/>
        <v>34,34</v>
      </c>
      <c r="C38" s="118" t="str">
        <f t="shared" si="28"/>
        <v>[[0,100],[1,7000],[2,100]]</v>
      </c>
      <c r="D38" s="118" t="str">
        <f t="shared" si="8"/>
        <v>[[0,7000],[1,7000],[2,7000]]</v>
      </c>
      <c r="E38" s="118" t="str">
        <f t="shared" si="9"/>
        <v>340,349</v>
      </c>
      <c r="F38" s="118" t="str">
        <f t="shared" si="10"/>
        <v>[[0,2]]</v>
      </c>
      <c r="G38" s="118" t="str">
        <f t="shared" si="29"/>
        <v>[[0,8000],[1,8000],[2,8000]]</v>
      </c>
      <c r="H38" s="118" t="str">
        <f t="shared" si="30"/>
        <v>[[0,1500],[1,1500],[2,1500]]</v>
      </c>
      <c r="O38" s="89">
        <v>34</v>
      </c>
      <c r="P38" s="29">
        <v>100</v>
      </c>
      <c r="Q38" s="124">
        <f t="shared" si="11"/>
        <v>0.00717257208434945</v>
      </c>
      <c r="R38" s="29">
        <v>7000</v>
      </c>
      <c r="S38" s="124">
        <f t="shared" si="12"/>
        <v>0.0246682994731556</v>
      </c>
      <c r="T38" s="29">
        <f t="shared" si="13"/>
        <v>100</v>
      </c>
      <c r="U38" s="124">
        <f t="shared" si="12"/>
        <v>0.00717257208434945</v>
      </c>
      <c r="W38" s="29">
        <v>7000</v>
      </c>
      <c r="X38" s="124">
        <f t="shared" si="14"/>
        <v>0.0246682994731556</v>
      </c>
      <c r="Y38" s="29">
        <v>7000</v>
      </c>
      <c r="Z38" s="124">
        <f t="shared" ref="Z38:Z60" si="35">Y38/SUM(Y$5:Y$103)</f>
        <v>0.0246682994731556</v>
      </c>
      <c r="AA38" s="29">
        <f t="shared" si="16"/>
        <v>7000</v>
      </c>
      <c r="AB38" s="124">
        <f t="shared" ref="AB38:AB68" si="36">AA38/SUM(AA$5:AA$103)</f>
        <v>0.0246682994731556</v>
      </c>
      <c r="AE38" s="30">
        <f t="shared" si="3"/>
        <v>340</v>
      </c>
      <c r="AF38" s="30">
        <f t="shared" si="18"/>
        <v>349</v>
      </c>
      <c r="AG38" s="30">
        <f t="shared" si="19"/>
        <v>344.5</v>
      </c>
      <c r="AH38" s="29">
        <v>2</v>
      </c>
      <c r="AI38" s="124">
        <f t="shared" si="20"/>
        <v>0.015625</v>
      </c>
      <c r="AJ38" s="124"/>
      <c r="AK38" s="29">
        <v>8000</v>
      </c>
      <c r="AL38" s="124">
        <f t="shared" si="21"/>
        <v>0.0326882845188285</v>
      </c>
      <c r="AM38" s="29">
        <f t="shared" si="22"/>
        <v>8000</v>
      </c>
      <c r="AN38" s="124">
        <f t="shared" si="21"/>
        <v>0.0326882845188285</v>
      </c>
      <c r="AO38" s="29">
        <f t="shared" si="23"/>
        <v>8000</v>
      </c>
      <c r="AP38" s="124">
        <f t="shared" si="24"/>
        <v>0.0326882845188285</v>
      </c>
      <c r="AS38" s="29">
        <v>1500</v>
      </c>
      <c r="AT38" s="124">
        <f t="shared" si="33"/>
        <v>0.011894000666064</v>
      </c>
      <c r="AU38" s="29">
        <f t="shared" si="34"/>
        <v>1500</v>
      </c>
      <c r="AV38" s="124">
        <f t="shared" si="25"/>
        <v>0.011894000666064</v>
      </c>
      <c r="AW38" s="29">
        <f t="shared" si="27"/>
        <v>1500</v>
      </c>
      <c r="AX38" s="124">
        <f t="shared" si="26"/>
        <v>0.011894000666064</v>
      </c>
    </row>
    <row r="39" spans="1:50">
      <c r="A39" s="89">
        <v>35</v>
      </c>
      <c r="B39" s="89" t="str">
        <f t="shared" si="7"/>
        <v>35,35</v>
      </c>
      <c r="C39" s="118" t="str">
        <f t="shared" si="28"/>
        <v>[[0,75],[1,7000],[2,75]]</v>
      </c>
      <c r="D39" s="118" t="str">
        <f t="shared" si="8"/>
        <v>[[0,7000],[1,7000],[2,7000]]</v>
      </c>
      <c r="E39" s="118" t="str">
        <f t="shared" si="9"/>
        <v>350,359</v>
      </c>
      <c r="F39" s="118" t="str">
        <f t="shared" si="10"/>
        <v>[[0,2]]</v>
      </c>
      <c r="G39" s="118" t="str">
        <f t="shared" si="29"/>
        <v>[[0,8016],[1,8016],[2,8016]]</v>
      </c>
      <c r="H39" s="118" t="str">
        <f t="shared" si="30"/>
        <v>[[0,1500],[1,1500],[2,1500]]</v>
      </c>
      <c r="O39" s="89">
        <v>35</v>
      </c>
      <c r="P39" s="29">
        <v>75</v>
      </c>
      <c r="Q39" s="124">
        <f t="shared" si="11"/>
        <v>0.00537942906326209</v>
      </c>
      <c r="R39" s="29">
        <v>7000</v>
      </c>
      <c r="S39" s="124">
        <f t="shared" si="12"/>
        <v>0.0246682994731556</v>
      </c>
      <c r="T39" s="29">
        <f t="shared" si="13"/>
        <v>75</v>
      </c>
      <c r="U39" s="124">
        <f t="shared" si="12"/>
        <v>0.00537942906326209</v>
      </c>
      <c r="W39" s="29">
        <v>7000</v>
      </c>
      <c r="X39" s="124">
        <f t="shared" si="14"/>
        <v>0.0246682994731556</v>
      </c>
      <c r="Y39" s="29">
        <v>7000</v>
      </c>
      <c r="Z39" s="124">
        <f t="shared" si="35"/>
        <v>0.0246682994731556</v>
      </c>
      <c r="AA39" s="29">
        <f t="shared" si="16"/>
        <v>7000</v>
      </c>
      <c r="AB39" s="124">
        <f t="shared" si="36"/>
        <v>0.0246682994731556</v>
      </c>
      <c r="AE39" s="30">
        <f t="shared" si="3"/>
        <v>350</v>
      </c>
      <c r="AF39" s="30">
        <f t="shared" si="18"/>
        <v>359</v>
      </c>
      <c r="AG39" s="30">
        <f t="shared" si="19"/>
        <v>354.5</v>
      </c>
      <c r="AH39" s="29">
        <v>2</v>
      </c>
      <c r="AI39" s="124">
        <f t="shared" si="20"/>
        <v>0.015625</v>
      </c>
      <c r="AJ39" s="124"/>
      <c r="AK39" s="29">
        <v>8016</v>
      </c>
      <c r="AL39" s="124">
        <f t="shared" si="21"/>
        <v>0.0327536610878661</v>
      </c>
      <c r="AM39" s="29">
        <f t="shared" si="22"/>
        <v>8016</v>
      </c>
      <c r="AN39" s="124">
        <f t="shared" si="21"/>
        <v>0.0327536610878661</v>
      </c>
      <c r="AO39" s="29">
        <f t="shared" si="23"/>
        <v>8016</v>
      </c>
      <c r="AP39" s="124">
        <f t="shared" si="24"/>
        <v>0.0327536610878661</v>
      </c>
      <c r="AS39" s="29">
        <v>1500</v>
      </c>
      <c r="AT39" s="124">
        <f t="shared" si="33"/>
        <v>0.011894000666064</v>
      </c>
      <c r="AU39" s="29">
        <f t="shared" si="34"/>
        <v>1500</v>
      </c>
      <c r="AV39" s="124">
        <f t="shared" si="25"/>
        <v>0.011894000666064</v>
      </c>
      <c r="AW39" s="29">
        <f t="shared" si="27"/>
        <v>1500</v>
      </c>
      <c r="AX39" s="124">
        <f t="shared" si="26"/>
        <v>0.011894000666064</v>
      </c>
    </row>
    <row r="40" spans="1:50">
      <c r="A40" s="89">
        <v>36</v>
      </c>
      <c r="B40" s="89" t="str">
        <f t="shared" si="7"/>
        <v>36,36</v>
      </c>
      <c r="C40" s="118" t="str">
        <f t="shared" si="28"/>
        <v>[[0,75],[1,8000],[2,75]]</v>
      </c>
      <c r="D40" s="118" t="str">
        <f t="shared" si="8"/>
        <v>[[0,8000],[1,8000],[2,8000]]</v>
      </c>
      <c r="E40" s="118" t="str">
        <f t="shared" si="9"/>
        <v>360,369</v>
      </c>
      <c r="F40" s="118" t="str">
        <f t="shared" si="10"/>
        <v>[[0,1]]</v>
      </c>
      <c r="G40" s="118" t="str">
        <f t="shared" si="29"/>
        <v>[[0,8000],[1,8000],[2,8000]]</v>
      </c>
      <c r="H40" s="118" t="str">
        <f t="shared" si="30"/>
        <v>[[0,1350],[1,1350],[2,1350]]</v>
      </c>
      <c r="O40" s="89">
        <v>36</v>
      </c>
      <c r="P40" s="29">
        <v>75</v>
      </c>
      <c r="Q40" s="124">
        <f t="shared" si="11"/>
        <v>0.00537942906326209</v>
      </c>
      <c r="R40" s="29">
        <v>8000</v>
      </c>
      <c r="S40" s="124">
        <f t="shared" si="12"/>
        <v>0.028192342255035</v>
      </c>
      <c r="T40" s="29">
        <f t="shared" si="13"/>
        <v>75</v>
      </c>
      <c r="U40" s="124">
        <f t="shared" si="12"/>
        <v>0.00537942906326209</v>
      </c>
      <c r="W40" s="29">
        <v>8000</v>
      </c>
      <c r="X40" s="124">
        <f t="shared" si="14"/>
        <v>0.028192342255035</v>
      </c>
      <c r="Y40" s="29">
        <v>8000</v>
      </c>
      <c r="Z40" s="124">
        <f t="shared" si="35"/>
        <v>0.028192342255035</v>
      </c>
      <c r="AA40" s="29">
        <f t="shared" si="16"/>
        <v>8000</v>
      </c>
      <c r="AB40" s="124">
        <f t="shared" si="36"/>
        <v>0.028192342255035</v>
      </c>
      <c r="AE40" s="30">
        <f t="shared" si="3"/>
        <v>360</v>
      </c>
      <c r="AF40" s="30">
        <f t="shared" si="18"/>
        <v>369</v>
      </c>
      <c r="AG40" s="30">
        <f t="shared" si="19"/>
        <v>364.5</v>
      </c>
      <c r="AH40" s="29">
        <v>1</v>
      </c>
      <c r="AI40" s="124">
        <f t="shared" si="20"/>
        <v>0.0078125</v>
      </c>
      <c r="AJ40" s="124"/>
      <c r="AK40" s="29">
        <v>8000</v>
      </c>
      <c r="AL40" s="124">
        <f t="shared" si="21"/>
        <v>0.0326882845188285</v>
      </c>
      <c r="AM40" s="29">
        <f t="shared" si="22"/>
        <v>8000</v>
      </c>
      <c r="AN40" s="124">
        <f t="shared" si="21"/>
        <v>0.0326882845188285</v>
      </c>
      <c r="AO40" s="29">
        <f t="shared" si="23"/>
        <v>8000</v>
      </c>
      <c r="AP40" s="124">
        <f t="shared" si="24"/>
        <v>0.0326882845188285</v>
      </c>
      <c r="AS40" s="29">
        <v>1350</v>
      </c>
      <c r="AT40" s="124">
        <f t="shared" si="33"/>
        <v>0.0107046005994576</v>
      </c>
      <c r="AU40" s="29">
        <f t="shared" si="34"/>
        <v>1350</v>
      </c>
      <c r="AV40" s="124">
        <f t="shared" si="25"/>
        <v>0.0107046005994576</v>
      </c>
      <c r="AW40" s="29">
        <f t="shared" si="27"/>
        <v>1350</v>
      </c>
      <c r="AX40" s="124">
        <f t="shared" si="26"/>
        <v>0.0107046005994576</v>
      </c>
    </row>
    <row r="41" spans="1:50">
      <c r="A41" s="89">
        <v>37</v>
      </c>
      <c r="B41" s="89" t="str">
        <f t="shared" si="7"/>
        <v>37,37</v>
      </c>
      <c r="C41" s="118" t="str">
        <f t="shared" si="28"/>
        <v>[[0,75],[1,8000],[2,75]]</v>
      </c>
      <c r="D41" s="118" t="str">
        <f t="shared" si="8"/>
        <v>[[0,8000],[1,8000],[2,8000]]</v>
      </c>
      <c r="E41" s="118" t="str">
        <f t="shared" si="9"/>
        <v>370,379</v>
      </c>
      <c r="F41" s="118" t="str">
        <f t="shared" si="10"/>
        <v>[[0,1]]</v>
      </c>
      <c r="G41" s="118" t="str">
        <f t="shared" si="29"/>
        <v>[[0,6000],[1,6000],[2,6000]]</v>
      </c>
      <c r="H41" s="118" t="str">
        <f t="shared" si="30"/>
        <v>[[0,1200],[1,1200],[2,1200]]</v>
      </c>
      <c r="O41" s="89">
        <v>37</v>
      </c>
      <c r="P41" s="29">
        <v>75</v>
      </c>
      <c r="Q41" s="124">
        <f t="shared" si="11"/>
        <v>0.00537942906326209</v>
      </c>
      <c r="R41" s="29">
        <v>8000</v>
      </c>
      <c r="S41" s="124">
        <f t="shared" si="12"/>
        <v>0.028192342255035</v>
      </c>
      <c r="T41" s="29">
        <f t="shared" si="13"/>
        <v>75</v>
      </c>
      <c r="U41" s="124">
        <f t="shared" si="12"/>
        <v>0.00537942906326209</v>
      </c>
      <c r="W41" s="29">
        <v>8000</v>
      </c>
      <c r="X41" s="124">
        <f t="shared" si="14"/>
        <v>0.028192342255035</v>
      </c>
      <c r="Y41" s="29">
        <v>8000</v>
      </c>
      <c r="Z41" s="124">
        <f t="shared" si="35"/>
        <v>0.028192342255035</v>
      </c>
      <c r="AA41" s="29">
        <f t="shared" si="16"/>
        <v>8000</v>
      </c>
      <c r="AB41" s="124">
        <f t="shared" si="36"/>
        <v>0.028192342255035</v>
      </c>
      <c r="AE41" s="30">
        <f t="shared" si="3"/>
        <v>370</v>
      </c>
      <c r="AF41" s="30">
        <f t="shared" si="18"/>
        <v>379</v>
      </c>
      <c r="AG41" s="30">
        <f t="shared" si="19"/>
        <v>374.5</v>
      </c>
      <c r="AH41" s="29">
        <v>1</v>
      </c>
      <c r="AI41" s="124">
        <f t="shared" si="20"/>
        <v>0.0078125</v>
      </c>
      <c r="AJ41" s="124"/>
      <c r="AK41" s="29">
        <v>6000</v>
      </c>
      <c r="AL41" s="124">
        <f t="shared" si="21"/>
        <v>0.0245162133891213</v>
      </c>
      <c r="AM41" s="29">
        <f t="shared" si="22"/>
        <v>6000</v>
      </c>
      <c r="AN41" s="124">
        <f t="shared" si="21"/>
        <v>0.0245162133891213</v>
      </c>
      <c r="AO41" s="29">
        <f t="shared" si="23"/>
        <v>6000</v>
      </c>
      <c r="AP41" s="124">
        <f t="shared" si="24"/>
        <v>0.0245162133891213</v>
      </c>
      <c r="AS41" s="29">
        <v>1200</v>
      </c>
      <c r="AT41" s="124">
        <f t="shared" si="33"/>
        <v>0.00951520053285123</v>
      </c>
      <c r="AU41" s="29">
        <f t="shared" si="34"/>
        <v>1200</v>
      </c>
      <c r="AV41" s="124">
        <f t="shared" si="25"/>
        <v>0.00951520053285123</v>
      </c>
      <c r="AW41" s="29">
        <f t="shared" si="27"/>
        <v>1200</v>
      </c>
      <c r="AX41" s="124">
        <f t="shared" si="26"/>
        <v>0.00951520053285123</v>
      </c>
    </row>
    <row r="42" spans="1:50">
      <c r="A42" s="89">
        <v>38</v>
      </c>
      <c r="B42" s="89" t="str">
        <f t="shared" si="7"/>
        <v>38,38</v>
      </c>
      <c r="C42" s="118" t="str">
        <f t="shared" si="28"/>
        <v>[[0,75],[1,8000],[2,75]]</v>
      </c>
      <c r="D42" s="118" t="str">
        <f t="shared" si="8"/>
        <v>[[0,8000],[1,8000],[2,8000]]</v>
      </c>
      <c r="E42" s="118" t="str">
        <f t="shared" si="9"/>
        <v>380,389</v>
      </c>
      <c r="F42" s="118" t="str">
        <f t="shared" si="10"/>
        <v>[[0,1]]</v>
      </c>
      <c r="G42" s="118" t="str">
        <f t="shared" si="29"/>
        <v>[[0,6000],[1,6000],[2,6000]]</v>
      </c>
      <c r="H42" s="118" t="str">
        <f t="shared" si="30"/>
        <v>[[0,1200],[1,1200],[2,1200]]</v>
      </c>
      <c r="O42" s="89">
        <v>38</v>
      </c>
      <c r="P42" s="29">
        <v>75</v>
      </c>
      <c r="Q42" s="124">
        <f t="shared" si="11"/>
        <v>0.00537942906326209</v>
      </c>
      <c r="R42" s="29">
        <v>8000</v>
      </c>
      <c r="S42" s="124">
        <f t="shared" si="12"/>
        <v>0.028192342255035</v>
      </c>
      <c r="T42" s="29">
        <f t="shared" si="13"/>
        <v>75</v>
      </c>
      <c r="U42" s="124">
        <f t="shared" si="12"/>
        <v>0.00537942906326209</v>
      </c>
      <c r="W42" s="29">
        <v>8000</v>
      </c>
      <c r="X42" s="124">
        <f t="shared" si="14"/>
        <v>0.028192342255035</v>
      </c>
      <c r="Y42" s="29">
        <v>8000</v>
      </c>
      <c r="Z42" s="124">
        <f t="shared" si="35"/>
        <v>0.028192342255035</v>
      </c>
      <c r="AA42" s="29">
        <f t="shared" si="16"/>
        <v>8000</v>
      </c>
      <c r="AB42" s="124">
        <f t="shared" si="36"/>
        <v>0.028192342255035</v>
      </c>
      <c r="AE42" s="30">
        <f t="shared" si="3"/>
        <v>380</v>
      </c>
      <c r="AF42" s="30">
        <f t="shared" si="18"/>
        <v>389</v>
      </c>
      <c r="AG42" s="30">
        <f t="shared" si="19"/>
        <v>384.5</v>
      </c>
      <c r="AH42" s="29">
        <v>1</v>
      </c>
      <c r="AI42" s="124">
        <f t="shared" si="20"/>
        <v>0.0078125</v>
      </c>
      <c r="AJ42" s="124"/>
      <c r="AK42" s="29">
        <v>6000</v>
      </c>
      <c r="AL42" s="124">
        <f t="shared" si="21"/>
        <v>0.0245162133891213</v>
      </c>
      <c r="AM42" s="29">
        <f t="shared" si="22"/>
        <v>6000</v>
      </c>
      <c r="AN42" s="124">
        <f t="shared" si="21"/>
        <v>0.0245162133891213</v>
      </c>
      <c r="AO42" s="29">
        <f t="shared" si="23"/>
        <v>6000</v>
      </c>
      <c r="AP42" s="124">
        <f t="shared" si="24"/>
        <v>0.0245162133891213</v>
      </c>
      <c r="AS42" s="29">
        <v>1200</v>
      </c>
      <c r="AT42" s="124">
        <f t="shared" si="33"/>
        <v>0.00951520053285123</v>
      </c>
      <c r="AU42" s="29">
        <f t="shared" si="34"/>
        <v>1200</v>
      </c>
      <c r="AV42" s="124">
        <f t="shared" si="25"/>
        <v>0.00951520053285123</v>
      </c>
      <c r="AW42" s="29">
        <f t="shared" si="27"/>
        <v>1200</v>
      </c>
      <c r="AX42" s="124">
        <f t="shared" si="26"/>
        <v>0.00951520053285123</v>
      </c>
    </row>
    <row r="43" spans="1:50">
      <c r="A43" s="89">
        <v>39</v>
      </c>
      <c r="B43" s="89" t="str">
        <f t="shared" si="7"/>
        <v>39,39</v>
      </c>
      <c r="C43" s="118" t="str">
        <f t="shared" si="28"/>
        <v>[[0,75],[1,7999],[2,75]]</v>
      </c>
      <c r="D43" s="118" t="str">
        <f t="shared" si="8"/>
        <v>[[0,7999],[1,7999],[2,7999]]</v>
      </c>
      <c r="E43" s="118" t="str">
        <f t="shared" si="9"/>
        <v>390,399</v>
      </c>
      <c r="F43" s="118" t="str">
        <f t="shared" si="10"/>
        <v>[[0,1]]</v>
      </c>
      <c r="G43" s="118" t="str">
        <f t="shared" si="29"/>
        <v>[[0,6000],[1,6000],[2,6000]]</v>
      </c>
      <c r="H43" s="118" t="str">
        <f t="shared" si="30"/>
        <v>[[0,1200],[1,1200],[2,1200]]</v>
      </c>
      <c r="O43" s="89">
        <v>39</v>
      </c>
      <c r="P43" s="29">
        <v>75</v>
      </c>
      <c r="Q43" s="124">
        <f t="shared" si="11"/>
        <v>0.00537942906326209</v>
      </c>
      <c r="R43" s="29">
        <v>7999</v>
      </c>
      <c r="S43" s="124">
        <f t="shared" si="12"/>
        <v>0.0281888182122531</v>
      </c>
      <c r="T43" s="29">
        <f t="shared" si="13"/>
        <v>75</v>
      </c>
      <c r="U43" s="124">
        <f t="shared" si="12"/>
        <v>0.00537942906326209</v>
      </c>
      <c r="W43" s="29">
        <v>7999</v>
      </c>
      <c r="X43" s="124">
        <f t="shared" si="14"/>
        <v>0.0281888182122531</v>
      </c>
      <c r="Y43" s="29">
        <v>7999</v>
      </c>
      <c r="Z43" s="124">
        <f t="shared" si="35"/>
        <v>0.0281888182122531</v>
      </c>
      <c r="AA43" s="29">
        <f t="shared" si="16"/>
        <v>7999</v>
      </c>
      <c r="AB43" s="124">
        <f t="shared" si="36"/>
        <v>0.0281888182122531</v>
      </c>
      <c r="AE43" s="30">
        <f t="shared" si="3"/>
        <v>390</v>
      </c>
      <c r="AF43" s="30">
        <f t="shared" si="18"/>
        <v>399</v>
      </c>
      <c r="AG43" s="30">
        <f t="shared" si="19"/>
        <v>394.5</v>
      </c>
      <c r="AH43" s="29">
        <v>1</v>
      </c>
      <c r="AI43" s="124">
        <f t="shared" si="20"/>
        <v>0.0078125</v>
      </c>
      <c r="AJ43" s="124"/>
      <c r="AK43" s="29">
        <v>6000</v>
      </c>
      <c r="AL43" s="124">
        <f t="shared" si="21"/>
        <v>0.0245162133891213</v>
      </c>
      <c r="AM43" s="29">
        <f t="shared" si="22"/>
        <v>6000</v>
      </c>
      <c r="AN43" s="124">
        <f t="shared" si="21"/>
        <v>0.0245162133891213</v>
      </c>
      <c r="AO43" s="29">
        <f t="shared" si="23"/>
        <v>6000</v>
      </c>
      <c r="AP43" s="124">
        <f t="shared" si="24"/>
        <v>0.0245162133891213</v>
      </c>
      <c r="AS43" s="29">
        <v>1200</v>
      </c>
      <c r="AT43" s="124">
        <f t="shared" si="33"/>
        <v>0.00951520053285123</v>
      </c>
      <c r="AU43" s="29">
        <f t="shared" si="34"/>
        <v>1200</v>
      </c>
      <c r="AV43" s="124">
        <f t="shared" si="25"/>
        <v>0.00951520053285123</v>
      </c>
      <c r="AW43" s="29">
        <f t="shared" si="27"/>
        <v>1200</v>
      </c>
      <c r="AX43" s="124">
        <f t="shared" si="26"/>
        <v>0.00951520053285123</v>
      </c>
    </row>
    <row r="44" spans="1:50">
      <c r="A44" s="89">
        <v>40</v>
      </c>
      <c r="B44" s="89" t="str">
        <f t="shared" si="7"/>
        <v>40,40</v>
      </c>
      <c r="C44" s="118" t="str">
        <f t="shared" si="28"/>
        <v>[[0,50],[1,8054],[2,50]]</v>
      </c>
      <c r="D44" s="118" t="str">
        <f t="shared" si="8"/>
        <v>[[0,8054],[1,8054],[2,8054]]</v>
      </c>
      <c r="E44" s="118" t="str">
        <f t="shared" si="9"/>
        <v>400,409</v>
      </c>
      <c r="F44" s="118" t="str">
        <f t="shared" si="10"/>
        <v>[[0,1]]</v>
      </c>
      <c r="G44" s="118" t="str">
        <f t="shared" si="29"/>
        <v>[[0,6000],[1,6000],[2,6000]]</v>
      </c>
      <c r="H44" s="118" t="str">
        <f t="shared" si="30"/>
        <v>[[0,1200],[1,1200],[2,1200]]</v>
      </c>
      <c r="O44" s="89">
        <v>40</v>
      </c>
      <c r="P44" s="29">
        <v>50</v>
      </c>
      <c r="Q44" s="124">
        <f t="shared" si="11"/>
        <v>0.00358628604217472</v>
      </c>
      <c r="R44" s="29">
        <v>8054</v>
      </c>
      <c r="S44" s="124">
        <f t="shared" si="12"/>
        <v>0.0283826405652565</v>
      </c>
      <c r="T44" s="29">
        <f t="shared" si="13"/>
        <v>50</v>
      </c>
      <c r="U44" s="124">
        <f t="shared" si="12"/>
        <v>0.00358628604217472</v>
      </c>
      <c r="W44" s="29">
        <v>8054</v>
      </c>
      <c r="X44" s="124">
        <f t="shared" si="14"/>
        <v>0.0283826405652565</v>
      </c>
      <c r="Y44" s="29">
        <v>8054</v>
      </c>
      <c r="Z44" s="124">
        <f t="shared" si="35"/>
        <v>0.0283826405652565</v>
      </c>
      <c r="AA44" s="29">
        <f t="shared" si="16"/>
        <v>8054</v>
      </c>
      <c r="AB44" s="124">
        <f t="shared" si="36"/>
        <v>0.0283826405652565</v>
      </c>
      <c r="AE44" s="30">
        <f t="shared" si="3"/>
        <v>400</v>
      </c>
      <c r="AF44" s="30">
        <f t="shared" si="18"/>
        <v>409</v>
      </c>
      <c r="AG44" s="30">
        <f t="shared" si="19"/>
        <v>404.5</v>
      </c>
      <c r="AH44" s="29">
        <v>1</v>
      </c>
      <c r="AI44" s="124">
        <f t="shared" si="20"/>
        <v>0.0078125</v>
      </c>
      <c r="AJ44" s="124"/>
      <c r="AK44" s="29">
        <v>6000</v>
      </c>
      <c r="AL44" s="124">
        <f t="shared" si="21"/>
        <v>0.0245162133891213</v>
      </c>
      <c r="AM44" s="29">
        <f t="shared" si="22"/>
        <v>6000</v>
      </c>
      <c r="AN44" s="124">
        <f t="shared" si="21"/>
        <v>0.0245162133891213</v>
      </c>
      <c r="AO44" s="29">
        <f t="shared" si="23"/>
        <v>6000</v>
      </c>
      <c r="AP44" s="124">
        <f t="shared" si="24"/>
        <v>0.0245162133891213</v>
      </c>
      <c r="AS44" s="29">
        <v>1200</v>
      </c>
      <c r="AT44" s="124">
        <f t="shared" si="33"/>
        <v>0.00951520053285123</v>
      </c>
      <c r="AU44" s="29">
        <f t="shared" si="34"/>
        <v>1200</v>
      </c>
      <c r="AV44" s="124">
        <f t="shared" si="25"/>
        <v>0.00951520053285123</v>
      </c>
      <c r="AW44" s="29">
        <f t="shared" si="27"/>
        <v>1200</v>
      </c>
      <c r="AX44" s="124">
        <f t="shared" si="26"/>
        <v>0.00951520053285123</v>
      </c>
    </row>
    <row r="45" spans="1:50">
      <c r="A45" s="89">
        <v>41</v>
      </c>
      <c r="B45" s="89" t="str">
        <f t="shared" si="7"/>
        <v>41,41</v>
      </c>
      <c r="C45" s="118" t="str">
        <f t="shared" si="28"/>
        <v>[[0,50],[1,7000],[2,50]]</v>
      </c>
      <c r="D45" s="118" t="str">
        <f t="shared" si="8"/>
        <v>[[0,7000],[1,7000],[2,7000]]</v>
      </c>
      <c r="E45" s="118" t="str">
        <f t="shared" si="9"/>
        <v>410,419</v>
      </c>
      <c r="F45" s="118" t="str">
        <f t="shared" si="10"/>
        <v>[[0,0]]</v>
      </c>
      <c r="G45" s="118" t="str">
        <f t="shared" si="29"/>
        <v>[[0,4000],[1,4000],[2,4000]]</v>
      </c>
      <c r="H45" s="118" t="str">
        <f t="shared" si="30"/>
        <v>[[0,1000],[1,1000],[2,1000]]</v>
      </c>
      <c r="O45" s="89">
        <v>41</v>
      </c>
      <c r="P45" s="29">
        <v>50</v>
      </c>
      <c r="Q45" s="124">
        <f t="shared" si="11"/>
        <v>0.00358628604217472</v>
      </c>
      <c r="R45" s="29">
        <v>7000</v>
      </c>
      <c r="S45" s="124">
        <f t="shared" si="12"/>
        <v>0.0246682994731556</v>
      </c>
      <c r="T45" s="29">
        <f t="shared" si="13"/>
        <v>50</v>
      </c>
      <c r="U45" s="124">
        <f t="shared" si="12"/>
        <v>0.00358628604217472</v>
      </c>
      <c r="W45" s="29">
        <v>7000</v>
      </c>
      <c r="X45" s="124">
        <f t="shared" si="14"/>
        <v>0.0246682994731556</v>
      </c>
      <c r="Y45" s="29">
        <v>7000</v>
      </c>
      <c r="Z45" s="124">
        <f t="shared" si="35"/>
        <v>0.0246682994731556</v>
      </c>
      <c r="AA45" s="29">
        <f t="shared" si="16"/>
        <v>7000</v>
      </c>
      <c r="AB45" s="124">
        <f t="shared" si="36"/>
        <v>0.0246682994731556</v>
      </c>
      <c r="AE45" s="30">
        <f t="shared" si="3"/>
        <v>410</v>
      </c>
      <c r="AF45" s="30">
        <f t="shared" si="18"/>
        <v>419</v>
      </c>
      <c r="AG45" s="30">
        <f t="shared" si="19"/>
        <v>414.5</v>
      </c>
      <c r="AH45" s="29">
        <v>0</v>
      </c>
      <c r="AI45" s="124">
        <f t="shared" si="20"/>
        <v>0</v>
      </c>
      <c r="AJ45" s="124"/>
      <c r="AK45" s="29">
        <v>4000</v>
      </c>
      <c r="AL45" s="124">
        <f t="shared" si="21"/>
        <v>0.0163441422594142</v>
      </c>
      <c r="AM45" s="29">
        <f t="shared" si="22"/>
        <v>4000</v>
      </c>
      <c r="AN45" s="124">
        <f t="shared" si="21"/>
        <v>0.0163441422594142</v>
      </c>
      <c r="AO45" s="29">
        <f t="shared" si="23"/>
        <v>4000</v>
      </c>
      <c r="AP45" s="124">
        <f t="shared" si="24"/>
        <v>0.0163441422594142</v>
      </c>
      <c r="AS45" s="29">
        <v>1000</v>
      </c>
      <c r="AT45" s="124">
        <f t="shared" si="33"/>
        <v>0.00792933377737602</v>
      </c>
      <c r="AU45" s="29">
        <f t="shared" si="34"/>
        <v>1000</v>
      </c>
      <c r="AV45" s="124">
        <f t="shared" si="25"/>
        <v>0.00792933377737602</v>
      </c>
      <c r="AW45" s="29">
        <f t="shared" si="27"/>
        <v>1000</v>
      </c>
      <c r="AX45" s="124">
        <f t="shared" si="26"/>
        <v>0.00792933377737602</v>
      </c>
    </row>
    <row r="46" spans="1:50">
      <c r="A46" s="89">
        <v>42</v>
      </c>
      <c r="B46" s="89" t="str">
        <f t="shared" si="7"/>
        <v>42,42</v>
      </c>
      <c r="C46" s="118" t="str">
        <f t="shared" si="28"/>
        <v>[[0,50],[1,7000],[2,50]]</v>
      </c>
      <c r="D46" s="118" t="str">
        <f t="shared" si="8"/>
        <v>[[0,7000],[1,7000],[2,7000]]</v>
      </c>
      <c r="E46" s="118" t="str">
        <f t="shared" si="9"/>
        <v>420,429</v>
      </c>
      <c r="F46" s="118" t="str">
        <f t="shared" si="10"/>
        <v>[[0,0]]</v>
      </c>
      <c r="G46" s="118" t="str">
        <f t="shared" si="29"/>
        <v>[[0,4000],[1,4000],[2,4000]]</v>
      </c>
      <c r="H46" s="118" t="str">
        <f t="shared" si="30"/>
        <v>[[0,1000],[1,1000],[2,1000]]</v>
      </c>
      <c r="O46" s="89">
        <v>42</v>
      </c>
      <c r="P46" s="29">
        <v>50</v>
      </c>
      <c r="Q46" s="124">
        <f t="shared" si="11"/>
        <v>0.00358628604217472</v>
      </c>
      <c r="R46" s="29">
        <v>7000</v>
      </c>
      <c r="S46" s="124">
        <f t="shared" si="12"/>
        <v>0.0246682994731556</v>
      </c>
      <c r="T46" s="29">
        <f t="shared" si="13"/>
        <v>50</v>
      </c>
      <c r="U46" s="124">
        <f t="shared" si="12"/>
        <v>0.00358628604217472</v>
      </c>
      <c r="W46" s="29">
        <v>7000</v>
      </c>
      <c r="X46" s="124">
        <f t="shared" si="14"/>
        <v>0.0246682994731556</v>
      </c>
      <c r="Y46" s="29">
        <v>7000</v>
      </c>
      <c r="Z46" s="124">
        <f t="shared" si="35"/>
        <v>0.0246682994731556</v>
      </c>
      <c r="AA46" s="29">
        <f t="shared" si="16"/>
        <v>7000</v>
      </c>
      <c r="AB46" s="124">
        <f t="shared" si="36"/>
        <v>0.0246682994731556</v>
      </c>
      <c r="AE46" s="30">
        <f t="shared" si="3"/>
        <v>420</v>
      </c>
      <c r="AF46" s="30">
        <f t="shared" si="18"/>
        <v>429</v>
      </c>
      <c r="AG46" s="30">
        <f t="shared" si="19"/>
        <v>424.5</v>
      </c>
      <c r="AH46" s="29">
        <v>0</v>
      </c>
      <c r="AI46" s="124">
        <f t="shared" si="20"/>
        <v>0</v>
      </c>
      <c r="AJ46" s="124"/>
      <c r="AK46" s="29">
        <v>4000</v>
      </c>
      <c r="AL46" s="124">
        <f t="shared" si="21"/>
        <v>0.0163441422594142</v>
      </c>
      <c r="AM46" s="29">
        <f t="shared" si="22"/>
        <v>4000</v>
      </c>
      <c r="AN46" s="124">
        <f t="shared" si="21"/>
        <v>0.0163441422594142</v>
      </c>
      <c r="AO46" s="29">
        <f t="shared" si="23"/>
        <v>4000</v>
      </c>
      <c r="AP46" s="124">
        <f t="shared" si="24"/>
        <v>0.0163441422594142</v>
      </c>
      <c r="AS46" s="29">
        <v>1000</v>
      </c>
      <c r="AT46" s="124">
        <f t="shared" si="33"/>
        <v>0.00792933377737602</v>
      </c>
      <c r="AU46" s="29">
        <f t="shared" si="34"/>
        <v>1000</v>
      </c>
      <c r="AV46" s="124">
        <f t="shared" si="25"/>
        <v>0.00792933377737602</v>
      </c>
      <c r="AW46" s="29">
        <f t="shared" si="27"/>
        <v>1000</v>
      </c>
      <c r="AX46" s="124">
        <f t="shared" si="26"/>
        <v>0.00792933377737602</v>
      </c>
    </row>
    <row r="47" spans="1:50">
      <c r="A47" s="89">
        <v>43</v>
      </c>
      <c r="B47" s="89" t="str">
        <f t="shared" si="7"/>
        <v>43,43</v>
      </c>
      <c r="C47" s="118" t="str">
        <f t="shared" si="28"/>
        <v>[[0,50],[1,6000],[2,50]]</v>
      </c>
      <c r="D47" s="118" t="str">
        <f t="shared" si="8"/>
        <v>[[0,6000],[1,6000],[2,6000]]</v>
      </c>
      <c r="E47" s="118" t="str">
        <f t="shared" si="9"/>
        <v>430,439</v>
      </c>
      <c r="F47" s="118" t="str">
        <f t="shared" si="10"/>
        <v>[[0,0]]</v>
      </c>
      <c r="G47" s="118" t="str">
        <f t="shared" si="29"/>
        <v>[[0,4000],[1,4000],[2,4000]]</v>
      </c>
      <c r="H47" s="118" t="str">
        <f t="shared" si="30"/>
        <v>[[0,1000],[1,1000],[2,1000]]</v>
      </c>
      <c r="O47" s="89">
        <v>43</v>
      </c>
      <c r="P47" s="29">
        <v>50</v>
      </c>
      <c r="Q47" s="124">
        <f t="shared" si="11"/>
        <v>0.00358628604217472</v>
      </c>
      <c r="R47" s="29">
        <v>6000</v>
      </c>
      <c r="S47" s="124">
        <f t="shared" si="12"/>
        <v>0.0211442566912762</v>
      </c>
      <c r="T47" s="29">
        <f t="shared" si="13"/>
        <v>50</v>
      </c>
      <c r="U47" s="124">
        <f t="shared" si="12"/>
        <v>0.00358628604217472</v>
      </c>
      <c r="W47" s="29">
        <v>6000</v>
      </c>
      <c r="X47" s="124">
        <f t="shared" si="14"/>
        <v>0.0211442566912762</v>
      </c>
      <c r="Y47" s="29">
        <v>6000</v>
      </c>
      <c r="Z47" s="124">
        <f t="shared" si="35"/>
        <v>0.0211442566912762</v>
      </c>
      <c r="AA47" s="29">
        <f t="shared" si="16"/>
        <v>6000</v>
      </c>
      <c r="AB47" s="124">
        <f t="shared" si="36"/>
        <v>0.0211442566912762</v>
      </c>
      <c r="AE47" s="30">
        <f t="shared" si="3"/>
        <v>430</v>
      </c>
      <c r="AF47" s="30">
        <f t="shared" si="18"/>
        <v>439</v>
      </c>
      <c r="AG47" s="30">
        <f t="shared" si="19"/>
        <v>434.5</v>
      </c>
      <c r="AH47" s="29">
        <v>0</v>
      </c>
      <c r="AI47" s="124">
        <f t="shared" si="20"/>
        <v>0</v>
      </c>
      <c r="AJ47" s="124"/>
      <c r="AK47" s="29">
        <v>4000</v>
      </c>
      <c r="AL47" s="124">
        <f t="shared" si="21"/>
        <v>0.0163441422594142</v>
      </c>
      <c r="AM47" s="29">
        <f t="shared" si="22"/>
        <v>4000</v>
      </c>
      <c r="AN47" s="124">
        <f t="shared" si="21"/>
        <v>0.0163441422594142</v>
      </c>
      <c r="AO47" s="29">
        <f t="shared" si="23"/>
        <v>4000</v>
      </c>
      <c r="AP47" s="124">
        <f t="shared" si="24"/>
        <v>0.0163441422594142</v>
      </c>
      <c r="AS47" s="29">
        <v>1000</v>
      </c>
      <c r="AT47" s="124">
        <f t="shared" si="33"/>
        <v>0.00792933377737602</v>
      </c>
      <c r="AU47" s="29">
        <f t="shared" si="34"/>
        <v>1000</v>
      </c>
      <c r="AV47" s="124">
        <f t="shared" si="25"/>
        <v>0.00792933377737602</v>
      </c>
      <c r="AW47" s="29">
        <f t="shared" ref="AW47:AW78" si="37">AS47</f>
        <v>1000</v>
      </c>
      <c r="AX47" s="124">
        <f t="shared" si="26"/>
        <v>0.00792933377737602</v>
      </c>
    </row>
    <row r="48" spans="1:50">
      <c r="A48" s="89">
        <v>44</v>
      </c>
      <c r="B48" s="89" t="str">
        <f t="shared" si="7"/>
        <v>44,44</v>
      </c>
      <c r="C48" s="118" t="str">
        <f t="shared" si="28"/>
        <v>[[0,50],[1,6000],[2,50]]</v>
      </c>
      <c r="D48" s="118" t="str">
        <f t="shared" si="8"/>
        <v>[[0,6000],[1,6000],[2,6000]]</v>
      </c>
      <c r="E48" s="118" t="str">
        <f t="shared" si="9"/>
        <v>440,449</v>
      </c>
      <c r="F48" s="118" t="str">
        <f t="shared" si="10"/>
        <v>[[0,0]]</v>
      </c>
      <c r="G48" s="118" t="str">
        <f t="shared" si="29"/>
        <v>[[0,4000],[1,4000],[2,4000]]</v>
      </c>
      <c r="H48" s="118" t="str">
        <f t="shared" si="30"/>
        <v>[[0,1000],[1,1000],[2,1000]]</v>
      </c>
      <c r="O48" s="89">
        <v>44</v>
      </c>
      <c r="P48" s="29">
        <v>50</v>
      </c>
      <c r="Q48" s="124">
        <f t="shared" si="11"/>
        <v>0.00358628604217472</v>
      </c>
      <c r="R48" s="29">
        <v>6000</v>
      </c>
      <c r="S48" s="124">
        <f t="shared" si="12"/>
        <v>0.0211442566912762</v>
      </c>
      <c r="T48" s="29">
        <f t="shared" si="13"/>
        <v>50</v>
      </c>
      <c r="U48" s="124">
        <f t="shared" si="12"/>
        <v>0.00358628604217472</v>
      </c>
      <c r="W48" s="29">
        <v>6000</v>
      </c>
      <c r="X48" s="124">
        <f t="shared" si="14"/>
        <v>0.0211442566912762</v>
      </c>
      <c r="Y48" s="29">
        <v>6000</v>
      </c>
      <c r="Z48" s="124">
        <f t="shared" si="35"/>
        <v>0.0211442566912762</v>
      </c>
      <c r="AA48" s="29">
        <f t="shared" si="16"/>
        <v>6000</v>
      </c>
      <c r="AB48" s="124">
        <f t="shared" si="36"/>
        <v>0.0211442566912762</v>
      </c>
      <c r="AE48" s="30">
        <f t="shared" si="3"/>
        <v>440</v>
      </c>
      <c r="AF48" s="30">
        <f t="shared" si="18"/>
        <v>449</v>
      </c>
      <c r="AG48" s="30">
        <f t="shared" si="19"/>
        <v>444.5</v>
      </c>
      <c r="AH48" s="29">
        <v>0</v>
      </c>
      <c r="AI48" s="124">
        <f t="shared" si="20"/>
        <v>0</v>
      </c>
      <c r="AJ48" s="124"/>
      <c r="AK48" s="29">
        <v>4000</v>
      </c>
      <c r="AL48" s="124">
        <f t="shared" si="21"/>
        <v>0.0163441422594142</v>
      </c>
      <c r="AM48" s="29">
        <f t="shared" si="22"/>
        <v>4000</v>
      </c>
      <c r="AN48" s="124">
        <f t="shared" si="21"/>
        <v>0.0163441422594142</v>
      </c>
      <c r="AO48" s="29">
        <f t="shared" si="23"/>
        <v>4000</v>
      </c>
      <c r="AP48" s="124">
        <f t="shared" si="24"/>
        <v>0.0163441422594142</v>
      </c>
      <c r="AS48" s="29">
        <v>1000</v>
      </c>
      <c r="AT48" s="124">
        <f t="shared" si="33"/>
        <v>0.00792933377737602</v>
      </c>
      <c r="AU48" s="29">
        <f t="shared" si="34"/>
        <v>1000</v>
      </c>
      <c r="AV48" s="124">
        <f t="shared" si="25"/>
        <v>0.00792933377737602</v>
      </c>
      <c r="AW48" s="29">
        <f t="shared" si="37"/>
        <v>1000</v>
      </c>
      <c r="AX48" s="124">
        <f t="shared" si="26"/>
        <v>0.00792933377737602</v>
      </c>
    </row>
    <row r="49" spans="1:50">
      <c r="A49" s="89">
        <v>45</v>
      </c>
      <c r="B49" s="89" t="str">
        <f t="shared" si="7"/>
        <v>45,45</v>
      </c>
      <c r="C49" s="118" t="str">
        <f t="shared" si="28"/>
        <v>[[0,35],[1,6000],[2,35]]</v>
      </c>
      <c r="D49" s="118" t="str">
        <f t="shared" si="8"/>
        <v>[[0,6000],[1,6000],[2,6000]]</v>
      </c>
      <c r="E49" s="118" t="str">
        <f t="shared" si="9"/>
        <v>450,459</v>
      </c>
      <c r="F49" s="118" t="str">
        <f t="shared" si="10"/>
        <v>[[0,0]]</v>
      </c>
      <c r="G49" s="118" t="str">
        <f t="shared" si="29"/>
        <v>[[0,4000],[1,4000],[2,4000]]</v>
      </c>
      <c r="H49" s="118" t="str">
        <f t="shared" si="30"/>
        <v>[[0,1000],[1,1000],[2,1000]]</v>
      </c>
      <c r="O49" s="89">
        <v>45</v>
      </c>
      <c r="P49" s="29">
        <v>35</v>
      </c>
      <c r="Q49" s="124">
        <f t="shared" si="11"/>
        <v>0.00251040022952231</v>
      </c>
      <c r="R49" s="29">
        <v>6000</v>
      </c>
      <c r="S49" s="124">
        <f t="shared" si="12"/>
        <v>0.0211442566912762</v>
      </c>
      <c r="T49" s="29">
        <f t="shared" si="13"/>
        <v>35</v>
      </c>
      <c r="U49" s="124">
        <f t="shared" si="12"/>
        <v>0.00251040022952231</v>
      </c>
      <c r="W49" s="29">
        <v>6000</v>
      </c>
      <c r="X49" s="124">
        <f t="shared" si="14"/>
        <v>0.0211442566912762</v>
      </c>
      <c r="Y49" s="29">
        <v>6000</v>
      </c>
      <c r="Z49" s="124">
        <f t="shared" si="35"/>
        <v>0.0211442566912762</v>
      </c>
      <c r="AA49" s="29">
        <f t="shared" si="16"/>
        <v>6000</v>
      </c>
      <c r="AB49" s="124">
        <f t="shared" si="36"/>
        <v>0.0211442566912762</v>
      </c>
      <c r="AE49" s="30">
        <f t="shared" si="3"/>
        <v>450</v>
      </c>
      <c r="AF49" s="30">
        <f t="shared" si="18"/>
        <v>459</v>
      </c>
      <c r="AG49" s="30">
        <f t="shared" si="19"/>
        <v>454.5</v>
      </c>
      <c r="AH49" s="29">
        <v>0</v>
      </c>
      <c r="AI49" s="124">
        <f t="shared" si="20"/>
        <v>0</v>
      </c>
      <c r="AJ49" s="124"/>
      <c r="AK49" s="29">
        <v>4000</v>
      </c>
      <c r="AL49" s="124">
        <f t="shared" si="21"/>
        <v>0.0163441422594142</v>
      </c>
      <c r="AM49" s="29">
        <f t="shared" si="22"/>
        <v>4000</v>
      </c>
      <c r="AN49" s="124">
        <f t="shared" si="21"/>
        <v>0.0163441422594142</v>
      </c>
      <c r="AO49" s="29">
        <f t="shared" si="23"/>
        <v>4000</v>
      </c>
      <c r="AP49" s="124">
        <f t="shared" si="24"/>
        <v>0.0163441422594142</v>
      </c>
      <c r="AS49" s="29">
        <v>1000</v>
      </c>
      <c r="AT49" s="124">
        <f t="shared" si="33"/>
        <v>0.00792933377737602</v>
      </c>
      <c r="AU49" s="29">
        <f t="shared" si="34"/>
        <v>1000</v>
      </c>
      <c r="AV49" s="124">
        <f t="shared" si="25"/>
        <v>0.00792933377737602</v>
      </c>
      <c r="AW49" s="29">
        <f t="shared" si="37"/>
        <v>1000</v>
      </c>
      <c r="AX49" s="124">
        <f t="shared" si="26"/>
        <v>0.00792933377737602</v>
      </c>
    </row>
    <row r="50" spans="1:50">
      <c r="A50" s="89">
        <v>46</v>
      </c>
      <c r="B50" s="89" t="str">
        <f t="shared" si="7"/>
        <v>46,46</v>
      </c>
      <c r="C50" s="118" t="str">
        <f t="shared" si="28"/>
        <v>[[0,35],[1,5000],[2,35]]</v>
      </c>
      <c r="D50" s="118" t="str">
        <f t="shared" si="8"/>
        <v>[[0,5000],[1,5000],[2,5000]]</v>
      </c>
      <c r="E50" s="118" t="str">
        <f t="shared" si="9"/>
        <v>460,469</v>
      </c>
      <c r="F50" s="118" t="str">
        <f t="shared" si="10"/>
        <v>[[0,0]]</v>
      </c>
      <c r="G50" s="118" t="str">
        <f t="shared" si="29"/>
        <v>[[0,3000],[1,3000],[2,3000]]</v>
      </c>
      <c r="H50" s="118" t="str">
        <f t="shared" si="30"/>
        <v>[[0,750],[1,750],[2,750]]</v>
      </c>
      <c r="O50" s="89">
        <v>46</v>
      </c>
      <c r="P50" s="29">
        <v>35</v>
      </c>
      <c r="Q50" s="124">
        <f t="shared" si="11"/>
        <v>0.00251040022952231</v>
      </c>
      <c r="R50" s="29">
        <v>5000</v>
      </c>
      <c r="S50" s="124">
        <f t="shared" si="12"/>
        <v>0.0176202139093969</v>
      </c>
      <c r="T50" s="29">
        <f t="shared" si="13"/>
        <v>35</v>
      </c>
      <c r="U50" s="124">
        <f t="shared" si="12"/>
        <v>0.00251040022952231</v>
      </c>
      <c r="W50" s="29">
        <v>5000</v>
      </c>
      <c r="X50" s="124">
        <f t="shared" si="14"/>
        <v>0.0176202139093969</v>
      </c>
      <c r="Y50" s="29">
        <v>5000</v>
      </c>
      <c r="Z50" s="124">
        <f t="shared" si="35"/>
        <v>0.0176202139093969</v>
      </c>
      <c r="AA50" s="29">
        <f t="shared" si="16"/>
        <v>5000</v>
      </c>
      <c r="AB50" s="124">
        <f t="shared" si="36"/>
        <v>0.0176202139093969</v>
      </c>
      <c r="AE50" s="30">
        <f t="shared" si="3"/>
        <v>460</v>
      </c>
      <c r="AF50" s="30">
        <f t="shared" si="18"/>
        <v>469</v>
      </c>
      <c r="AG50" s="30">
        <f t="shared" si="19"/>
        <v>464.5</v>
      </c>
      <c r="AH50" s="29">
        <v>0</v>
      </c>
      <c r="AI50" s="124">
        <f t="shared" si="20"/>
        <v>0</v>
      </c>
      <c r="AJ50" s="124"/>
      <c r="AK50" s="29">
        <v>3000</v>
      </c>
      <c r="AL50" s="124">
        <f t="shared" si="21"/>
        <v>0.0122581066945607</v>
      </c>
      <c r="AM50" s="29">
        <f t="shared" si="22"/>
        <v>3000</v>
      </c>
      <c r="AN50" s="124">
        <f t="shared" si="21"/>
        <v>0.0122581066945607</v>
      </c>
      <c r="AO50" s="29">
        <f t="shared" si="23"/>
        <v>3000</v>
      </c>
      <c r="AP50" s="124">
        <f t="shared" si="24"/>
        <v>0.0122581066945607</v>
      </c>
      <c r="AS50" s="29">
        <v>750</v>
      </c>
      <c r="AT50" s="124">
        <f t="shared" si="33"/>
        <v>0.00594700033303202</v>
      </c>
      <c r="AU50" s="29">
        <f t="shared" si="34"/>
        <v>750</v>
      </c>
      <c r="AV50" s="124">
        <f t="shared" si="25"/>
        <v>0.00594700033303202</v>
      </c>
      <c r="AW50" s="29">
        <f t="shared" si="37"/>
        <v>750</v>
      </c>
      <c r="AX50" s="124">
        <f t="shared" si="26"/>
        <v>0.00594700033303202</v>
      </c>
    </row>
    <row r="51" spans="1:50">
      <c r="A51" s="89">
        <v>47</v>
      </c>
      <c r="B51" s="89" t="str">
        <f t="shared" si="7"/>
        <v>47,47</v>
      </c>
      <c r="C51" s="118" t="str">
        <f t="shared" si="28"/>
        <v>[[0,35],[1,5000],[2,35]]</v>
      </c>
      <c r="D51" s="118" t="str">
        <f t="shared" si="8"/>
        <v>[[0,5000],[1,5000],[2,5000]]</v>
      </c>
      <c r="E51" s="118" t="str">
        <f t="shared" si="9"/>
        <v>470,479</v>
      </c>
      <c r="F51" s="118" t="str">
        <f t="shared" si="10"/>
        <v>[[0,0]]</v>
      </c>
      <c r="G51" s="118" t="str">
        <f t="shared" si="29"/>
        <v>[[0,3000],[1,3000],[2,3000]]</v>
      </c>
      <c r="H51" s="118" t="str">
        <f t="shared" si="30"/>
        <v>[[0,750],[1,750],[2,750]]</v>
      </c>
      <c r="O51" s="89">
        <v>47</v>
      </c>
      <c r="P51" s="29">
        <v>35</v>
      </c>
      <c r="Q51" s="124">
        <f t="shared" si="11"/>
        <v>0.00251040022952231</v>
      </c>
      <c r="R51" s="29">
        <v>5000</v>
      </c>
      <c r="S51" s="124">
        <f t="shared" si="12"/>
        <v>0.0176202139093969</v>
      </c>
      <c r="T51" s="29">
        <f t="shared" si="13"/>
        <v>35</v>
      </c>
      <c r="U51" s="124">
        <f t="shared" si="12"/>
        <v>0.00251040022952231</v>
      </c>
      <c r="W51" s="29">
        <v>5000</v>
      </c>
      <c r="X51" s="124">
        <f t="shared" si="14"/>
        <v>0.0176202139093969</v>
      </c>
      <c r="Y51" s="29">
        <v>5000</v>
      </c>
      <c r="Z51" s="124">
        <f t="shared" si="35"/>
        <v>0.0176202139093969</v>
      </c>
      <c r="AA51" s="29">
        <f t="shared" si="16"/>
        <v>5000</v>
      </c>
      <c r="AB51" s="124">
        <f t="shared" si="36"/>
        <v>0.0176202139093969</v>
      </c>
      <c r="AE51" s="30">
        <f t="shared" si="3"/>
        <v>470</v>
      </c>
      <c r="AF51" s="30">
        <f t="shared" si="18"/>
        <v>479</v>
      </c>
      <c r="AG51" s="30">
        <f t="shared" si="19"/>
        <v>474.5</v>
      </c>
      <c r="AH51" s="29">
        <v>0</v>
      </c>
      <c r="AI51" s="124">
        <f t="shared" si="20"/>
        <v>0</v>
      </c>
      <c r="AJ51" s="124"/>
      <c r="AK51" s="29">
        <v>3000</v>
      </c>
      <c r="AL51" s="124">
        <f t="shared" si="21"/>
        <v>0.0122581066945607</v>
      </c>
      <c r="AM51" s="29">
        <f t="shared" si="22"/>
        <v>3000</v>
      </c>
      <c r="AN51" s="124">
        <f t="shared" si="21"/>
        <v>0.0122581066945607</v>
      </c>
      <c r="AO51" s="29">
        <f t="shared" si="23"/>
        <v>3000</v>
      </c>
      <c r="AP51" s="124">
        <f t="shared" si="24"/>
        <v>0.0122581066945607</v>
      </c>
      <c r="AS51" s="29">
        <v>750</v>
      </c>
      <c r="AT51" s="124">
        <f t="shared" si="33"/>
        <v>0.00594700033303202</v>
      </c>
      <c r="AU51" s="29">
        <f t="shared" si="34"/>
        <v>750</v>
      </c>
      <c r="AV51" s="124">
        <f t="shared" si="25"/>
        <v>0.00594700033303202</v>
      </c>
      <c r="AW51" s="29">
        <f t="shared" si="37"/>
        <v>750</v>
      </c>
      <c r="AX51" s="124">
        <f t="shared" si="26"/>
        <v>0.00594700033303202</v>
      </c>
    </row>
    <row r="52" spans="1:50">
      <c r="A52" s="89">
        <v>48</v>
      </c>
      <c r="B52" s="89" t="str">
        <f t="shared" si="7"/>
        <v>48,48</v>
      </c>
      <c r="C52" s="118" t="str">
        <f t="shared" si="28"/>
        <v>[[0,35],[1,5000],[2,35]]</v>
      </c>
      <c r="D52" s="118" t="str">
        <f t="shared" si="8"/>
        <v>[[0,5000],[1,5000],[2,5000]]</v>
      </c>
      <c r="E52" s="118" t="str">
        <f t="shared" si="9"/>
        <v>480,489</v>
      </c>
      <c r="F52" s="118" t="str">
        <f t="shared" si="10"/>
        <v>[[0,0]]</v>
      </c>
      <c r="G52" s="118" t="str">
        <f t="shared" si="29"/>
        <v>[[0,3000],[1,3000],[2,3000]]</v>
      </c>
      <c r="H52" s="118" t="str">
        <f t="shared" si="30"/>
        <v>[[0,750],[1,750],[2,750]]</v>
      </c>
      <c r="O52" s="89">
        <v>48</v>
      </c>
      <c r="P52" s="29">
        <v>35</v>
      </c>
      <c r="Q52" s="124">
        <f t="shared" si="11"/>
        <v>0.00251040022952231</v>
      </c>
      <c r="R52" s="29">
        <v>5000</v>
      </c>
      <c r="S52" s="124">
        <f t="shared" si="12"/>
        <v>0.0176202139093969</v>
      </c>
      <c r="T52" s="29">
        <f t="shared" si="13"/>
        <v>35</v>
      </c>
      <c r="U52" s="124">
        <f t="shared" si="12"/>
        <v>0.00251040022952231</v>
      </c>
      <c r="W52" s="29">
        <v>5000</v>
      </c>
      <c r="X52" s="124">
        <f t="shared" si="14"/>
        <v>0.0176202139093969</v>
      </c>
      <c r="Y52" s="29">
        <v>5000</v>
      </c>
      <c r="Z52" s="124">
        <f t="shared" si="35"/>
        <v>0.0176202139093969</v>
      </c>
      <c r="AA52" s="29">
        <f t="shared" si="16"/>
        <v>5000</v>
      </c>
      <c r="AB52" s="124">
        <f t="shared" si="36"/>
        <v>0.0176202139093969</v>
      </c>
      <c r="AE52" s="30">
        <f t="shared" si="3"/>
        <v>480</v>
      </c>
      <c r="AF52" s="30">
        <f t="shared" si="18"/>
        <v>489</v>
      </c>
      <c r="AG52" s="30">
        <f t="shared" si="19"/>
        <v>484.5</v>
      </c>
      <c r="AH52" s="29">
        <v>0</v>
      </c>
      <c r="AI52" s="124">
        <f t="shared" si="20"/>
        <v>0</v>
      </c>
      <c r="AJ52" s="124"/>
      <c r="AK52" s="29">
        <v>3000</v>
      </c>
      <c r="AL52" s="124">
        <f t="shared" si="21"/>
        <v>0.0122581066945607</v>
      </c>
      <c r="AM52" s="29">
        <f t="shared" si="22"/>
        <v>3000</v>
      </c>
      <c r="AN52" s="124">
        <f t="shared" si="21"/>
        <v>0.0122581066945607</v>
      </c>
      <c r="AO52" s="29">
        <f t="shared" si="23"/>
        <v>3000</v>
      </c>
      <c r="AP52" s="124">
        <f t="shared" si="24"/>
        <v>0.0122581066945607</v>
      </c>
      <c r="AS52" s="29">
        <v>750</v>
      </c>
      <c r="AT52" s="124">
        <f t="shared" si="33"/>
        <v>0.00594700033303202</v>
      </c>
      <c r="AU52" s="29">
        <f t="shared" si="34"/>
        <v>750</v>
      </c>
      <c r="AV52" s="124">
        <f t="shared" si="25"/>
        <v>0.00594700033303202</v>
      </c>
      <c r="AW52" s="29">
        <f t="shared" si="37"/>
        <v>750</v>
      </c>
      <c r="AX52" s="124">
        <f t="shared" si="26"/>
        <v>0.00594700033303202</v>
      </c>
    </row>
    <row r="53" spans="1:50">
      <c r="A53" s="89">
        <v>49</v>
      </c>
      <c r="B53" s="89" t="str">
        <f t="shared" si="7"/>
        <v>49,49</v>
      </c>
      <c r="C53" s="118" t="str">
        <f t="shared" si="28"/>
        <v>[[0,35],[1,4000],[2,35]]</v>
      </c>
      <c r="D53" s="118" t="str">
        <f t="shared" si="8"/>
        <v>[[0,4000],[1,4000],[2,4000]]</v>
      </c>
      <c r="E53" s="118" t="str">
        <f t="shared" si="9"/>
        <v>490,499</v>
      </c>
      <c r="F53" s="118" t="str">
        <f t="shared" si="10"/>
        <v>[[0,0]]</v>
      </c>
      <c r="G53" s="118" t="str">
        <f t="shared" si="29"/>
        <v>[[0,3000],[1,3000],[2,3000]]</v>
      </c>
      <c r="H53" s="118" t="str">
        <f t="shared" si="30"/>
        <v>[[0,750],[1,750],[2,750]]</v>
      </c>
      <c r="O53" s="89">
        <v>49</v>
      </c>
      <c r="P53" s="29">
        <v>35</v>
      </c>
      <c r="Q53" s="124">
        <f t="shared" si="11"/>
        <v>0.00251040022952231</v>
      </c>
      <c r="R53" s="29">
        <v>4000</v>
      </c>
      <c r="S53" s="124">
        <f t="shared" si="12"/>
        <v>0.0140961711275175</v>
      </c>
      <c r="T53" s="29">
        <f t="shared" si="13"/>
        <v>35</v>
      </c>
      <c r="U53" s="124">
        <f t="shared" si="12"/>
        <v>0.00251040022952231</v>
      </c>
      <c r="W53" s="29">
        <v>4000</v>
      </c>
      <c r="X53" s="124">
        <f t="shared" si="14"/>
        <v>0.0140961711275175</v>
      </c>
      <c r="Y53" s="29">
        <v>4000</v>
      </c>
      <c r="Z53" s="124">
        <f t="shared" si="35"/>
        <v>0.0140961711275175</v>
      </c>
      <c r="AA53" s="29">
        <f t="shared" si="16"/>
        <v>4000</v>
      </c>
      <c r="AB53" s="124">
        <f t="shared" si="36"/>
        <v>0.0140961711275175</v>
      </c>
      <c r="AE53" s="30">
        <f t="shared" si="3"/>
        <v>490</v>
      </c>
      <c r="AF53" s="30">
        <f t="shared" si="18"/>
        <v>499</v>
      </c>
      <c r="AG53" s="30">
        <f t="shared" si="19"/>
        <v>494.5</v>
      </c>
      <c r="AH53" s="29">
        <v>0</v>
      </c>
      <c r="AI53" s="124">
        <f t="shared" si="20"/>
        <v>0</v>
      </c>
      <c r="AJ53" s="124"/>
      <c r="AK53" s="29">
        <v>3000</v>
      </c>
      <c r="AL53" s="124">
        <f t="shared" si="21"/>
        <v>0.0122581066945607</v>
      </c>
      <c r="AM53" s="29">
        <f t="shared" si="22"/>
        <v>3000</v>
      </c>
      <c r="AN53" s="124">
        <f t="shared" si="21"/>
        <v>0.0122581066945607</v>
      </c>
      <c r="AO53" s="29">
        <f t="shared" si="23"/>
        <v>3000</v>
      </c>
      <c r="AP53" s="124">
        <f t="shared" si="24"/>
        <v>0.0122581066945607</v>
      </c>
      <c r="AS53" s="29">
        <v>750</v>
      </c>
      <c r="AT53" s="124">
        <f t="shared" si="33"/>
        <v>0.00594700033303202</v>
      </c>
      <c r="AU53" s="29">
        <f t="shared" si="34"/>
        <v>750</v>
      </c>
      <c r="AV53" s="124">
        <f t="shared" si="25"/>
        <v>0.00594700033303202</v>
      </c>
      <c r="AW53" s="29">
        <f t="shared" si="37"/>
        <v>750</v>
      </c>
      <c r="AX53" s="124">
        <f t="shared" si="26"/>
        <v>0.00594700033303202</v>
      </c>
    </row>
    <row r="54" spans="1:50">
      <c r="A54" s="89">
        <v>50</v>
      </c>
      <c r="B54" s="89" t="str">
        <f t="shared" si="7"/>
        <v>50,50</v>
      </c>
      <c r="C54" s="118" t="str">
        <f t="shared" si="28"/>
        <v>[[0,30],[1,4000],[2,30]]</v>
      </c>
      <c r="D54" s="118" t="str">
        <f t="shared" si="8"/>
        <v>[[0,4000],[1,4000],[2,4000]]</v>
      </c>
      <c r="E54" s="118" t="str">
        <f t="shared" si="9"/>
        <v>500,509</v>
      </c>
      <c r="F54" s="118" t="str">
        <f t="shared" si="10"/>
        <v>[[0,0]]</v>
      </c>
      <c r="G54" s="118" t="str">
        <f t="shared" si="29"/>
        <v>[[0,3000],[1,3000],[2,3000]]</v>
      </c>
      <c r="H54" s="118" t="str">
        <f t="shared" si="30"/>
        <v>[[0,750],[1,750],[2,750]]</v>
      </c>
      <c r="O54" s="89">
        <v>50</v>
      </c>
      <c r="P54" s="29">
        <v>30</v>
      </c>
      <c r="Q54" s="124">
        <f t="shared" si="11"/>
        <v>0.00215177162530483</v>
      </c>
      <c r="R54" s="29">
        <v>4000</v>
      </c>
      <c r="S54" s="124">
        <f t="shared" si="12"/>
        <v>0.0140961711275175</v>
      </c>
      <c r="T54" s="29">
        <f t="shared" si="13"/>
        <v>30</v>
      </c>
      <c r="U54" s="124">
        <f t="shared" si="12"/>
        <v>0.00215177162530483</v>
      </c>
      <c r="W54" s="29">
        <v>4000</v>
      </c>
      <c r="X54" s="124">
        <f t="shared" si="14"/>
        <v>0.0140961711275175</v>
      </c>
      <c r="Y54" s="29">
        <v>4000</v>
      </c>
      <c r="Z54" s="124">
        <f t="shared" si="35"/>
        <v>0.0140961711275175</v>
      </c>
      <c r="AA54" s="29">
        <f t="shared" si="16"/>
        <v>4000</v>
      </c>
      <c r="AB54" s="124">
        <f t="shared" si="36"/>
        <v>0.0140961711275175</v>
      </c>
      <c r="AE54" s="30">
        <f t="shared" si="3"/>
        <v>500</v>
      </c>
      <c r="AF54" s="30">
        <f t="shared" si="18"/>
        <v>509</v>
      </c>
      <c r="AG54" s="30">
        <f t="shared" si="19"/>
        <v>504.5</v>
      </c>
      <c r="AH54" s="29">
        <v>0</v>
      </c>
      <c r="AI54" s="124">
        <f t="shared" si="20"/>
        <v>0</v>
      </c>
      <c r="AJ54" s="124"/>
      <c r="AK54" s="29">
        <v>3000</v>
      </c>
      <c r="AL54" s="124">
        <f t="shared" si="21"/>
        <v>0.0122581066945607</v>
      </c>
      <c r="AM54" s="29">
        <f t="shared" si="22"/>
        <v>3000</v>
      </c>
      <c r="AN54" s="124">
        <f t="shared" si="21"/>
        <v>0.0122581066945607</v>
      </c>
      <c r="AO54" s="29">
        <f t="shared" si="23"/>
        <v>3000</v>
      </c>
      <c r="AP54" s="124">
        <f t="shared" si="24"/>
        <v>0.0122581066945607</v>
      </c>
      <c r="AS54" s="29">
        <v>750</v>
      </c>
      <c r="AT54" s="124">
        <f t="shared" si="33"/>
        <v>0.00594700033303202</v>
      </c>
      <c r="AU54" s="29">
        <f t="shared" si="34"/>
        <v>750</v>
      </c>
      <c r="AV54" s="124">
        <f t="shared" si="25"/>
        <v>0.00594700033303202</v>
      </c>
      <c r="AW54" s="29">
        <f t="shared" si="37"/>
        <v>750</v>
      </c>
      <c r="AX54" s="124">
        <f t="shared" si="26"/>
        <v>0.00594700033303202</v>
      </c>
    </row>
    <row r="55" spans="1:50">
      <c r="A55" s="89">
        <v>51</v>
      </c>
      <c r="B55" s="89" t="str">
        <f t="shared" si="7"/>
        <v>51,51</v>
      </c>
      <c r="C55" s="118" t="str">
        <f t="shared" si="28"/>
        <v>[[0,20],[1,4000],[2,20]]</v>
      </c>
      <c r="D55" s="118" t="str">
        <f t="shared" si="8"/>
        <v>[[0,4000],[1,4000],[2,4000]]</v>
      </c>
      <c r="E55" s="118" t="str">
        <f t="shared" si="9"/>
        <v>510,519</v>
      </c>
      <c r="F55" s="118" t="str">
        <f t="shared" si="10"/>
        <v>[[0,0]]</v>
      </c>
      <c r="G55" s="118" t="str">
        <f t="shared" si="29"/>
        <v>[[0,2000],[1,2000],[2,2000]]</v>
      </c>
      <c r="H55" s="118" t="str">
        <f t="shared" si="30"/>
        <v>[[0,750],[1,750],[2,750]]</v>
      </c>
      <c r="O55" s="89">
        <v>51</v>
      </c>
      <c r="P55" s="29">
        <v>20</v>
      </c>
      <c r="Q55" s="124">
        <f t="shared" si="11"/>
        <v>0.00143451441686989</v>
      </c>
      <c r="R55" s="29">
        <v>4000</v>
      </c>
      <c r="S55" s="124">
        <f t="shared" si="12"/>
        <v>0.0140961711275175</v>
      </c>
      <c r="T55" s="29">
        <f t="shared" si="13"/>
        <v>20</v>
      </c>
      <c r="U55" s="124">
        <f t="shared" si="12"/>
        <v>0.00143451441686989</v>
      </c>
      <c r="W55" s="29">
        <v>4000</v>
      </c>
      <c r="X55" s="124">
        <f t="shared" si="14"/>
        <v>0.0140961711275175</v>
      </c>
      <c r="Y55" s="29">
        <v>4000</v>
      </c>
      <c r="Z55" s="124">
        <f t="shared" si="35"/>
        <v>0.0140961711275175</v>
      </c>
      <c r="AA55" s="29">
        <f t="shared" si="16"/>
        <v>4000</v>
      </c>
      <c r="AB55" s="124">
        <f t="shared" si="36"/>
        <v>0.0140961711275175</v>
      </c>
      <c r="AE55" s="30">
        <f t="shared" si="3"/>
        <v>510</v>
      </c>
      <c r="AF55" s="30">
        <f t="shared" si="18"/>
        <v>519</v>
      </c>
      <c r="AG55" s="30">
        <f t="shared" si="19"/>
        <v>514.5</v>
      </c>
      <c r="AH55" s="29">
        <v>0</v>
      </c>
      <c r="AI55" s="124">
        <f t="shared" si="20"/>
        <v>0</v>
      </c>
      <c r="AJ55" s="124"/>
      <c r="AK55" s="29">
        <v>2000</v>
      </c>
      <c r="AL55" s="124">
        <f t="shared" si="21"/>
        <v>0.00817207112970711</v>
      </c>
      <c r="AM55" s="29">
        <f t="shared" si="22"/>
        <v>2000</v>
      </c>
      <c r="AN55" s="124">
        <f t="shared" si="21"/>
        <v>0.00817207112970711</v>
      </c>
      <c r="AO55" s="29">
        <f t="shared" si="23"/>
        <v>2000</v>
      </c>
      <c r="AP55" s="124">
        <f t="shared" si="24"/>
        <v>0.00817207112970711</v>
      </c>
      <c r="AS55" s="29">
        <v>750</v>
      </c>
      <c r="AT55" s="124">
        <f t="shared" si="33"/>
        <v>0.00594700033303202</v>
      </c>
      <c r="AU55" s="29">
        <f t="shared" si="34"/>
        <v>750</v>
      </c>
      <c r="AV55" s="124">
        <f t="shared" si="25"/>
        <v>0.00594700033303202</v>
      </c>
      <c r="AW55" s="29">
        <f t="shared" si="37"/>
        <v>750</v>
      </c>
      <c r="AX55" s="124">
        <f t="shared" si="26"/>
        <v>0.00594700033303202</v>
      </c>
    </row>
    <row r="56" spans="1:50">
      <c r="A56" s="89">
        <v>52</v>
      </c>
      <c r="B56" s="89" t="str">
        <f t="shared" si="7"/>
        <v>52,52</v>
      </c>
      <c r="C56" s="118" t="str">
        <f t="shared" si="28"/>
        <v>[[0,20],[1,3000],[2,20]]</v>
      </c>
      <c r="D56" s="118" t="str">
        <f t="shared" si="8"/>
        <v>[[0,3000],[1,3000],[2,3000]]</v>
      </c>
      <c r="E56" s="118" t="str">
        <f t="shared" si="9"/>
        <v>520,529</v>
      </c>
      <c r="F56" s="118" t="str">
        <f t="shared" si="10"/>
        <v>[[0,0]]</v>
      </c>
      <c r="G56" s="118" t="str">
        <f t="shared" si="29"/>
        <v>[[0,2000],[1,2000],[2,2000]]</v>
      </c>
      <c r="H56" s="118" t="str">
        <f t="shared" si="30"/>
        <v>[[0,750],[1,750],[2,750]]</v>
      </c>
      <c r="O56" s="89">
        <v>52</v>
      </c>
      <c r="P56" s="29">
        <v>20</v>
      </c>
      <c r="Q56" s="124">
        <f t="shared" si="11"/>
        <v>0.00143451441686989</v>
      </c>
      <c r="R56" s="29">
        <v>3000</v>
      </c>
      <c r="S56" s="124">
        <f t="shared" si="12"/>
        <v>0.0105721283456381</v>
      </c>
      <c r="T56" s="29">
        <f t="shared" si="13"/>
        <v>20</v>
      </c>
      <c r="U56" s="124">
        <f t="shared" si="12"/>
        <v>0.00143451441686989</v>
      </c>
      <c r="W56" s="29">
        <v>3000</v>
      </c>
      <c r="X56" s="124">
        <f t="shared" si="14"/>
        <v>0.0105721283456381</v>
      </c>
      <c r="Y56" s="29">
        <v>3000</v>
      </c>
      <c r="Z56" s="124">
        <f t="shared" si="35"/>
        <v>0.0105721283456381</v>
      </c>
      <c r="AA56" s="29">
        <f t="shared" si="16"/>
        <v>3000</v>
      </c>
      <c r="AB56" s="124">
        <f t="shared" si="36"/>
        <v>0.0105721283456381</v>
      </c>
      <c r="AE56" s="30">
        <f t="shared" si="3"/>
        <v>520</v>
      </c>
      <c r="AF56" s="30">
        <f t="shared" si="18"/>
        <v>529</v>
      </c>
      <c r="AG56" s="30">
        <f t="shared" si="19"/>
        <v>524.5</v>
      </c>
      <c r="AH56" s="29">
        <v>0</v>
      </c>
      <c r="AI56" s="124">
        <f t="shared" si="20"/>
        <v>0</v>
      </c>
      <c r="AJ56" s="124"/>
      <c r="AK56" s="29">
        <v>2000</v>
      </c>
      <c r="AL56" s="124">
        <f t="shared" si="21"/>
        <v>0.00817207112970711</v>
      </c>
      <c r="AM56" s="29">
        <f t="shared" si="22"/>
        <v>2000</v>
      </c>
      <c r="AN56" s="124">
        <f t="shared" si="21"/>
        <v>0.00817207112970711</v>
      </c>
      <c r="AO56" s="29">
        <f t="shared" si="23"/>
        <v>2000</v>
      </c>
      <c r="AP56" s="124">
        <f t="shared" si="24"/>
        <v>0.00817207112970711</v>
      </c>
      <c r="AS56" s="29">
        <v>750</v>
      </c>
      <c r="AT56" s="124">
        <f t="shared" si="33"/>
        <v>0.00594700033303202</v>
      </c>
      <c r="AU56" s="29">
        <f t="shared" si="34"/>
        <v>750</v>
      </c>
      <c r="AV56" s="124">
        <f t="shared" si="25"/>
        <v>0.00594700033303202</v>
      </c>
      <c r="AW56" s="29">
        <f t="shared" si="37"/>
        <v>750</v>
      </c>
      <c r="AX56" s="124">
        <f t="shared" si="26"/>
        <v>0.00594700033303202</v>
      </c>
    </row>
    <row r="57" spans="1:50">
      <c r="A57" s="89">
        <v>53</v>
      </c>
      <c r="B57" s="89" t="str">
        <f t="shared" si="7"/>
        <v>53,53</v>
      </c>
      <c r="C57" s="118" t="str">
        <f t="shared" si="28"/>
        <v>[[0,20],[1,3000],[2,20]]</v>
      </c>
      <c r="D57" s="118" t="str">
        <f t="shared" si="8"/>
        <v>[[0,3000],[1,3000],[2,3000]]</v>
      </c>
      <c r="E57" s="118" t="str">
        <f t="shared" si="9"/>
        <v>530,539</v>
      </c>
      <c r="F57" s="118" t="str">
        <f t="shared" si="10"/>
        <v>[[0,0]]</v>
      </c>
      <c r="G57" s="118" t="str">
        <f t="shared" si="29"/>
        <v>[[0,2000],[1,2000],[2,2000]]</v>
      </c>
      <c r="H57" s="118" t="str">
        <f t="shared" si="30"/>
        <v>[[0,750],[1,750],[2,750]]</v>
      </c>
      <c r="O57" s="89">
        <v>53</v>
      </c>
      <c r="P57" s="29">
        <v>20</v>
      </c>
      <c r="Q57" s="124">
        <f t="shared" si="11"/>
        <v>0.00143451441686989</v>
      </c>
      <c r="R57" s="29">
        <v>3000</v>
      </c>
      <c r="S57" s="124">
        <f t="shared" si="12"/>
        <v>0.0105721283456381</v>
      </c>
      <c r="T57" s="29">
        <f t="shared" si="13"/>
        <v>20</v>
      </c>
      <c r="U57" s="124">
        <f t="shared" si="12"/>
        <v>0.00143451441686989</v>
      </c>
      <c r="W57" s="29">
        <v>3000</v>
      </c>
      <c r="X57" s="124">
        <f t="shared" si="14"/>
        <v>0.0105721283456381</v>
      </c>
      <c r="Y57" s="29">
        <v>3000</v>
      </c>
      <c r="Z57" s="124">
        <f t="shared" si="35"/>
        <v>0.0105721283456381</v>
      </c>
      <c r="AA57" s="29">
        <f t="shared" si="16"/>
        <v>3000</v>
      </c>
      <c r="AB57" s="124">
        <f t="shared" si="36"/>
        <v>0.0105721283456381</v>
      </c>
      <c r="AE57" s="30">
        <f t="shared" si="3"/>
        <v>530</v>
      </c>
      <c r="AF57" s="30">
        <f t="shared" si="18"/>
        <v>539</v>
      </c>
      <c r="AG57" s="30">
        <f t="shared" si="19"/>
        <v>534.5</v>
      </c>
      <c r="AH57" s="29">
        <v>0</v>
      </c>
      <c r="AI57" s="124">
        <f t="shared" si="20"/>
        <v>0</v>
      </c>
      <c r="AJ57" s="124"/>
      <c r="AK57" s="29">
        <v>2000</v>
      </c>
      <c r="AL57" s="124">
        <f t="shared" si="21"/>
        <v>0.00817207112970711</v>
      </c>
      <c r="AM57" s="29">
        <f t="shared" si="22"/>
        <v>2000</v>
      </c>
      <c r="AN57" s="124">
        <f t="shared" si="21"/>
        <v>0.00817207112970711</v>
      </c>
      <c r="AO57" s="29">
        <f t="shared" si="23"/>
        <v>2000</v>
      </c>
      <c r="AP57" s="124">
        <f t="shared" si="24"/>
        <v>0.00817207112970711</v>
      </c>
      <c r="AS57" s="29">
        <v>750</v>
      </c>
      <c r="AT57" s="124">
        <f t="shared" si="33"/>
        <v>0.00594700033303202</v>
      </c>
      <c r="AU57" s="29">
        <f t="shared" si="34"/>
        <v>750</v>
      </c>
      <c r="AV57" s="124">
        <f t="shared" si="25"/>
        <v>0.00594700033303202</v>
      </c>
      <c r="AW57" s="29">
        <f t="shared" si="37"/>
        <v>750</v>
      </c>
      <c r="AX57" s="124">
        <f t="shared" si="26"/>
        <v>0.00594700033303202</v>
      </c>
    </row>
    <row r="58" spans="1:50">
      <c r="A58" s="89">
        <v>54</v>
      </c>
      <c r="B58" s="89" t="str">
        <f t="shared" si="7"/>
        <v>54,54</v>
      </c>
      <c r="C58" s="118" t="str">
        <f t="shared" si="28"/>
        <v>[[0,20],[1,3000],[2,20]]</v>
      </c>
      <c r="D58" s="118" t="str">
        <f t="shared" si="8"/>
        <v>[[0,3000],[1,3000],[2,3000]]</v>
      </c>
      <c r="E58" s="118" t="str">
        <f t="shared" si="9"/>
        <v>540,549</v>
      </c>
      <c r="F58" s="118" t="str">
        <f t="shared" si="10"/>
        <v>[[0,0]]</v>
      </c>
      <c r="G58" s="118" t="str">
        <f t="shared" si="29"/>
        <v>[[0,2000],[1,2000],[2,2000]]</v>
      </c>
      <c r="H58" s="118" t="str">
        <f t="shared" si="30"/>
        <v>[[0,750],[1,750],[2,750]]</v>
      </c>
      <c r="O58" s="89">
        <v>54</v>
      </c>
      <c r="P58" s="29">
        <v>20</v>
      </c>
      <c r="Q58" s="124">
        <f t="shared" si="11"/>
        <v>0.00143451441686989</v>
      </c>
      <c r="R58" s="29">
        <v>3000</v>
      </c>
      <c r="S58" s="124">
        <f t="shared" si="12"/>
        <v>0.0105721283456381</v>
      </c>
      <c r="T58" s="29">
        <f t="shared" si="13"/>
        <v>20</v>
      </c>
      <c r="U58" s="124">
        <f t="shared" si="12"/>
        <v>0.00143451441686989</v>
      </c>
      <c r="W58" s="29">
        <v>3000</v>
      </c>
      <c r="X58" s="124">
        <f t="shared" si="14"/>
        <v>0.0105721283456381</v>
      </c>
      <c r="Y58" s="29">
        <v>3000</v>
      </c>
      <c r="Z58" s="124">
        <f t="shared" si="35"/>
        <v>0.0105721283456381</v>
      </c>
      <c r="AA58" s="29">
        <f t="shared" si="16"/>
        <v>3000</v>
      </c>
      <c r="AB58" s="124">
        <f t="shared" si="36"/>
        <v>0.0105721283456381</v>
      </c>
      <c r="AE58" s="30">
        <f t="shared" si="3"/>
        <v>540</v>
      </c>
      <c r="AF58" s="30">
        <f t="shared" si="18"/>
        <v>549</v>
      </c>
      <c r="AG58" s="30">
        <f t="shared" si="19"/>
        <v>544.5</v>
      </c>
      <c r="AH58" s="29">
        <v>0</v>
      </c>
      <c r="AI58" s="124">
        <f t="shared" si="20"/>
        <v>0</v>
      </c>
      <c r="AJ58" s="124"/>
      <c r="AK58" s="29">
        <v>2000</v>
      </c>
      <c r="AL58" s="124">
        <f t="shared" si="21"/>
        <v>0.00817207112970711</v>
      </c>
      <c r="AM58" s="29">
        <f t="shared" si="22"/>
        <v>2000</v>
      </c>
      <c r="AN58" s="124">
        <f t="shared" si="21"/>
        <v>0.00817207112970711</v>
      </c>
      <c r="AO58" s="29">
        <f t="shared" si="23"/>
        <v>2000</v>
      </c>
      <c r="AP58" s="124">
        <f t="shared" si="24"/>
        <v>0.00817207112970711</v>
      </c>
      <c r="AS58" s="29">
        <v>750</v>
      </c>
      <c r="AT58" s="124">
        <f t="shared" si="33"/>
        <v>0.00594700033303202</v>
      </c>
      <c r="AU58" s="29">
        <f t="shared" si="34"/>
        <v>750</v>
      </c>
      <c r="AV58" s="124">
        <f t="shared" si="25"/>
        <v>0.00594700033303202</v>
      </c>
      <c r="AW58" s="29">
        <f t="shared" si="37"/>
        <v>750</v>
      </c>
      <c r="AX58" s="124">
        <f t="shared" si="26"/>
        <v>0.00594700033303202</v>
      </c>
    </row>
    <row r="59" spans="1:50">
      <c r="A59" s="89">
        <v>55</v>
      </c>
      <c r="B59" s="89" t="str">
        <f t="shared" si="7"/>
        <v>55,55</v>
      </c>
      <c r="C59" s="118" t="str">
        <f t="shared" si="28"/>
        <v>[[0,20],[1,3000],[2,20]]</v>
      </c>
      <c r="D59" s="118" t="str">
        <f t="shared" si="8"/>
        <v>[[0,3000],[1,3000],[2,3000]]</v>
      </c>
      <c r="E59" s="118" t="str">
        <f t="shared" si="9"/>
        <v>550,559</v>
      </c>
      <c r="F59" s="118" t="str">
        <f t="shared" si="10"/>
        <v>[[0,0]]</v>
      </c>
      <c r="G59" s="118" t="str">
        <f t="shared" si="29"/>
        <v>[[0,2000],[1,2000],[2,2000]]</v>
      </c>
      <c r="H59" s="118" t="str">
        <f t="shared" si="30"/>
        <v>[[0,750],[1,750],[2,750]]</v>
      </c>
      <c r="O59" s="89">
        <v>55</v>
      </c>
      <c r="P59" s="29">
        <v>20</v>
      </c>
      <c r="Q59" s="124">
        <f t="shared" si="11"/>
        <v>0.00143451441686989</v>
      </c>
      <c r="R59" s="29">
        <v>3000</v>
      </c>
      <c r="S59" s="124">
        <f t="shared" si="12"/>
        <v>0.0105721283456381</v>
      </c>
      <c r="T59" s="29">
        <f t="shared" si="13"/>
        <v>20</v>
      </c>
      <c r="U59" s="124">
        <f t="shared" si="12"/>
        <v>0.00143451441686989</v>
      </c>
      <c r="W59" s="29">
        <v>3000</v>
      </c>
      <c r="X59" s="124">
        <f t="shared" si="14"/>
        <v>0.0105721283456381</v>
      </c>
      <c r="Y59" s="29">
        <v>3000</v>
      </c>
      <c r="Z59" s="124">
        <f t="shared" si="35"/>
        <v>0.0105721283456381</v>
      </c>
      <c r="AA59" s="29">
        <f t="shared" si="16"/>
        <v>3000</v>
      </c>
      <c r="AB59" s="124">
        <f t="shared" si="36"/>
        <v>0.0105721283456381</v>
      </c>
      <c r="AE59" s="30">
        <f t="shared" si="3"/>
        <v>550</v>
      </c>
      <c r="AF59" s="30">
        <f t="shared" si="18"/>
        <v>559</v>
      </c>
      <c r="AG59" s="30">
        <f t="shared" si="19"/>
        <v>554.5</v>
      </c>
      <c r="AH59" s="29">
        <v>0</v>
      </c>
      <c r="AI59" s="124">
        <f t="shared" si="20"/>
        <v>0</v>
      </c>
      <c r="AJ59" s="124"/>
      <c r="AK59" s="29">
        <v>2000</v>
      </c>
      <c r="AL59" s="124">
        <f t="shared" si="21"/>
        <v>0.00817207112970711</v>
      </c>
      <c r="AM59" s="29">
        <f t="shared" si="22"/>
        <v>2000</v>
      </c>
      <c r="AN59" s="124">
        <f t="shared" si="21"/>
        <v>0.00817207112970711</v>
      </c>
      <c r="AO59" s="29">
        <f t="shared" si="23"/>
        <v>2000</v>
      </c>
      <c r="AP59" s="124">
        <f t="shared" si="24"/>
        <v>0.00817207112970711</v>
      </c>
      <c r="AS59" s="29">
        <v>750</v>
      </c>
      <c r="AT59" s="124">
        <f t="shared" si="33"/>
        <v>0.00594700033303202</v>
      </c>
      <c r="AU59" s="29">
        <f t="shared" si="34"/>
        <v>750</v>
      </c>
      <c r="AV59" s="124">
        <f t="shared" si="25"/>
        <v>0.00594700033303202</v>
      </c>
      <c r="AW59" s="29">
        <f t="shared" si="37"/>
        <v>750</v>
      </c>
      <c r="AX59" s="124">
        <f t="shared" si="26"/>
        <v>0.00594700033303202</v>
      </c>
    </row>
    <row r="60" spans="1:50">
      <c r="A60" s="89">
        <v>56</v>
      </c>
      <c r="B60" s="89" t="str">
        <f t="shared" si="7"/>
        <v>56,56</v>
      </c>
      <c r="C60" s="118" t="str">
        <f t="shared" si="28"/>
        <v>[[0,20],[1,2000],[2,20]]</v>
      </c>
      <c r="D60" s="118" t="str">
        <f t="shared" si="8"/>
        <v>[[0,2000],[1,2000],[2,2000]]</v>
      </c>
      <c r="E60" s="118" t="str">
        <f t="shared" si="9"/>
        <v>560,569</v>
      </c>
      <c r="F60" s="118" t="str">
        <f t="shared" si="10"/>
        <v>[[0,0]]</v>
      </c>
      <c r="G60" s="118" t="str">
        <f t="shared" si="29"/>
        <v>[[0,1500],[1,1500],[2,1500]]</v>
      </c>
      <c r="H60" s="118" t="str">
        <f t="shared" si="30"/>
        <v>[[0,500],[1,500],[2,500]]</v>
      </c>
      <c r="O60" s="89">
        <v>56</v>
      </c>
      <c r="P60" s="29">
        <v>20</v>
      </c>
      <c r="Q60" s="124">
        <f t="shared" si="11"/>
        <v>0.00143451441686989</v>
      </c>
      <c r="R60" s="29">
        <v>2000</v>
      </c>
      <c r="S60" s="124">
        <f t="shared" si="12"/>
        <v>0.00704808556375874</v>
      </c>
      <c r="T60" s="29">
        <f t="shared" si="13"/>
        <v>20</v>
      </c>
      <c r="U60" s="124">
        <f t="shared" si="12"/>
        <v>0.00143451441686989</v>
      </c>
      <c r="W60" s="29">
        <v>2000</v>
      </c>
      <c r="X60" s="124">
        <f t="shared" si="14"/>
        <v>0.00704808556375874</v>
      </c>
      <c r="Y60" s="29">
        <v>2000</v>
      </c>
      <c r="Z60" s="124">
        <f t="shared" si="35"/>
        <v>0.00704808556375874</v>
      </c>
      <c r="AA60" s="29">
        <f t="shared" si="16"/>
        <v>2000</v>
      </c>
      <c r="AB60" s="124">
        <f t="shared" si="36"/>
        <v>0.00704808556375874</v>
      </c>
      <c r="AE60" s="30">
        <f t="shared" si="3"/>
        <v>560</v>
      </c>
      <c r="AF60" s="30">
        <f t="shared" si="18"/>
        <v>569</v>
      </c>
      <c r="AG60" s="30">
        <f t="shared" si="19"/>
        <v>564.5</v>
      </c>
      <c r="AH60" s="29">
        <v>0</v>
      </c>
      <c r="AI60" s="124">
        <f t="shared" si="20"/>
        <v>0</v>
      </c>
      <c r="AJ60" s="124"/>
      <c r="AK60" s="29">
        <v>1500</v>
      </c>
      <c r="AL60" s="124">
        <f t="shared" si="21"/>
        <v>0.00612905334728033</v>
      </c>
      <c r="AM60" s="29">
        <f t="shared" si="22"/>
        <v>1500</v>
      </c>
      <c r="AN60" s="124">
        <f t="shared" si="21"/>
        <v>0.00612905334728033</v>
      </c>
      <c r="AO60" s="29">
        <f t="shared" si="23"/>
        <v>1500</v>
      </c>
      <c r="AP60" s="124">
        <f t="shared" ref="AP60" si="38">AO60/SUM(AO$5:AO$103)</f>
        <v>0.00612905334728033</v>
      </c>
      <c r="AS60" s="29">
        <v>500</v>
      </c>
      <c r="AT60" s="124">
        <f t="shared" si="33"/>
        <v>0.00396466688868801</v>
      </c>
      <c r="AU60" s="29">
        <f t="shared" si="34"/>
        <v>500</v>
      </c>
      <c r="AV60" s="124">
        <f t="shared" si="25"/>
        <v>0.00396466688868801</v>
      </c>
      <c r="AW60" s="29">
        <f t="shared" si="37"/>
        <v>500</v>
      </c>
      <c r="AX60" s="124">
        <f t="shared" si="26"/>
        <v>0.00396466688868801</v>
      </c>
    </row>
    <row r="61" spans="1:50">
      <c r="A61" s="89">
        <v>57</v>
      </c>
      <c r="B61" s="89" t="str">
        <f t="shared" si="7"/>
        <v>57,57</v>
      </c>
      <c r="C61" s="118" t="str">
        <f t="shared" si="28"/>
        <v>[[0,20],[1,2000],[2,20]]</v>
      </c>
      <c r="D61" s="118" t="str">
        <f t="shared" si="8"/>
        <v>[[0,2000],[1,2000],[2,2000]]</v>
      </c>
      <c r="E61" s="118" t="str">
        <f t="shared" si="9"/>
        <v>570,579</v>
      </c>
      <c r="F61" s="118" t="str">
        <f t="shared" si="10"/>
        <v>[[0,0]]</v>
      </c>
      <c r="G61" s="118" t="str">
        <f t="shared" si="29"/>
        <v>[[0,1500],[1,1500],[2,1500]]</v>
      </c>
      <c r="H61" s="118" t="str">
        <f t="shared" si="30"/>
        <v>[[0,500],[1,500],[2,500]]</v>
      </c>
      <c r="O61" s="89">
        <v>57</v>
      </c>
      <c r="P61" s="29">
        <v>20</v>
      </c>
      <c r="Q61" s="124">
        <f t="shared" si="11"/>
        <v>0.00143451441686989</v>
      </c>
      <c r="R61" s="29">
        <v>2000</v>
      </c>
      <c r="S61" s="124">
        <f t="shared" si="12"/>
        <v>0.00704808556375874</v>
      </c>
      <c r="T61" s="29">
        <f t="shared" si="13"/>
        <v>20</v>
      </c>
      <c r="U61" s="124">
        <f t="shared" si="12"/>
        <v>0.00143451441686989</v>
      </c>
      <c r="W61" s="29">
        <v>2000</v>
      </c>
      <c r="X61" s="124">
        <f t="shared" si="14"/>
        <v>0.00704808556375874</v>
      </c>
      <c r="Y61" s="29">
        <v>2000</v>
      </c>
      <c r="Z61" s="124">
        <f t="shared" ref="Z61" si="39">Y61/SUM(Y$5:Y$103)</f>
        <v>0.00704808556375874</v>
      </c>
      <c r="AA61" s="29">
        <f t="shared" si="16"/>
        <v>2000</v>
      </c>
      <c r="AB61" s="124">
        <f t="shared" si="36"/>
        <v>0.00704808556375874</v>
      </c>
      <c r="AE61" s="30">
        <f t="shared" si="3"/>
        <v>570</v>
      </c>
      <c r="AF61" s="30">
        <f t="shared" si="18"/>
        <v>579</v>
      </c>
      <c r="AG61" s="30">
        <f t="shared" si="19"/>
        <v>574.5</v>
      </c>
      <c r="AH61" s="29">
        <v>0</v>
      </c>
      <c r="AI61" s="124">
        <f t="shared" si="20"/>
        <v>0</v>
      </c>
      <c r="AJ61" s="124"/>
      <c r="AK61" s="29">
        <v>1500</v>
      </c>
      <c r="AL61" s="124">
        <f t="shared" si="21"/>
        <v>0.00612905334728033</v>
      </c>
      <c r="AM61" s="29">
        <f t="shared" si="22"/>
        <v>1500</v>
      </c>
      <c r="AN61" s="124">
        <f t="shared" si="21"/>
        <v>0.00612905334728033</v>
      </c>
      <c r="AO61" s="29">
        <f t="shared" si="23"/>
        <v>1500</v>
      </c>
      <c r="AP61" s="124">
        <f t="shared" ref="AP61:AP103" si="40">AO61/SUM(AO$5:AO$103)</f>
        <v>0.00612905334728033</v>
      </c>
      <c r="AS61" s="29">
        <v>500</v>
      </c>
      <c r="AT61" s="124">
        <f t="shared" si="33"/>
        <v>0.00396466688868801</v>
      </c>
      <c r="AU61" s="29">
        <f t="shared" si="34"/>
        <v>500</v>
      </c>
      <c r="AV61" s="124">
        <f t="shared" si="25"/>
        <v>0.00396466688868801</v>
      </c>
      <c r="AW61" s="29">
        <f t="shared" si="37"/>
        <v>500</v>
      </c>
      <c r="AX61" s="124">
        <f t="shared" si="26"/>
        <v>0.00396466688868801</v>
      </c>
    </row>
    <row r="62" spans="1:50">
      <c r="A62" s="89">
        <v>58</v>
      </c>
      <c r="B62" s="89" t="str">
        <f t="shared" si="7"/>
        <v>58,58</v>
      </c>
      <c r="C62" s="118" t="str">
        <f t="shared" si="28"/>
        <v>[[0,20],[1,2000],[2,20]]</v>
      </c>
      <c r="D62" s="118" t="str">
        <f t="shared" si="8"/>
        <v>[[0,2000],[1,2000],[2,2000]]</v>
      </c>
      <c r="E62" s="118" t="str">
        <f t="shared" si="9"/>
        <v>580,589</v>
      </c>
      <c r="F62" s="118" t="str">
        <f t="shared" si="10"/>
        <v>[[0,0]]</v>
      </c>
      <c r="G62" s="118" t="str">
        <f t="shared" si="29"/>
        <v>[[0,1500],[1,1500],[2,1500]]</v>
      </c>
      <c r="H62" s="118" t="str">
        <f t="shared" si="30"/>
        <v>[[0,500],[1,500],[2,500]]</v>
      </c>
      <c r="O62" s="89">
        <v>58</v>
      </c>
      <c r="P62" s="29">
        <v>20</v>
      </c>
      <c r="Q62" s="124">
        <f t="shared" si="11"/>
        <v>0.00143451441686989</v>
      </c>
      <c r="R62" s="29">
        <v>2000</v>
      </c>
      <c r="S62" s="124">
        <f t="shared" si="12"/>
        <v>0.00704808556375874</v>
      </c>
      <c r="T62" s="29">
        <f t="shared" si="13"/>
        <v>20</v>
      </c>
      <c r="U62" s="124">
        <f t="shared" si="12"/>
        <v>0.00143451441686989</v>
      </c>
      <c r="W62" s="29">
        <v>2000</v>
      </c>
      <c r="X62" s="124">
        <f t="shared" si="14"/>
        <v>0.00704808556375874</v>
      </c>
      <c r="Y62" s="29">
        <v>2000</v>
      </c>
      <c r="Z62" s="124">
        <f t="shared" ref="Z62:Z68" si="41">Y62/SUM(Y$5:Y$103)</f>
        <v>0.00704808556375874</v>
      </c>
      <c r="AA62" s="29">
        <f t="shared" si="16"/>
        <v>2000</v>
      </c>
      <c r="AB62" s="124">
        <f t="shared" si="36"/>
        <v>0.00704808556375874</v>
      </c>
      <c r="AE62" s="30">
        <f t="shared" si="3"/>
        <v>580</v>
      </c>
      <c r="AF62" s="30">
        <f t="shared" si="18"/>
        <v>589</v>
      </c>
      <c r="AG62" s="30">
        <f t="shared" si="19"/>
        <v>584.5</v>
      </c>
      <c r="AH62" s="29">
        <v>0</v>
      </c>
      <c r="AI62" s="124">
        <f t="shared" si="20"/>
        <v>0</v>
      </c>
      <c r="AJ62" s="124"/>
      <c r="AK62" s="29">
        <v>1500</v>
      </c>
      <c r="AL62" s="124">
        <f t="shared" si="21"/>
        <v>0.00612905334728033</v>
      </c>
      <c r="AM62" s="29">
        <f t="shared" si="22"/>
        <v>1500</v>
      </c>
      <c r="AN62" s="124">
        <f t="shared" si="21"/>
        <v>0.00612905334728033</v>
      </c>
      <c r="AO62" s="29">
        <f t="shared" si="23"/>
        <v>1500</v>
      </c>
      <c r="AP62" s="124">
        <f t="shared" si="40"/>
        <v>0.00612905334728033</v>
      </c>
      <c r="AS62" s="29">
        <v>500</v>
      </c>
      <c r="AT62" s="124">
        <f t="shared" si="33"/>
        <v>0.00396466688868801</v>
      </c>
      <c r="AU62" s="29">
        <f t="shared" si="34"/>
        <v>500</v>
      </c>
      <c r="AV62" s="124">
        <f t="shared" si="25"/>
        <v>0.00396466688868801</v>
      </c>
      <c r="AW62" s="29">
        <f t="shared" si="37"/>
        <v>500</v>
      </c>
      <c r="AX62" s="124">
        <f t="shared" si="26"/>
        <v>0.00396466688868801</v>
      </c>
    </row>
    <row r="63" spans="1:50">
      <c r="A63" s="89">
        <v>59</v>
      </c>
      <c r="B63" s="89" t="str">
        <f t="shared" si="7"/>
        <v>59,59</v>
      </c>
      <c r="C63" s="118" t="str">
        <f t="shared" si="28"/>
        <v>[[0,20],[1,2000],[2,20]]</v>
      </c>
      <c r="D63" s="118" t="str">
        <f t="shared" si="8"/>
        <v>[[0,2000],[1,2000],[2,2000]]</v>
      </c>
      <c r="E63" s="118" t="str">
        <f t="shared" si="9"/>
        <v>590,599</v>
      </c>
      <c r="F63" s="118" t="str">
        <f t="shared" si="10"/>
        <v>[[0,0]]</v>
      </c>
      <c r="G63" s="118" t="str">
        <f t="shared" si="29"/>
        <v>[[0,1500],[1,1500],[2,1500]]</v>
      </c>
      <c r="H63" s="118" t="str">
        <f t="shared" si="30"/>
        <v>[[0,500],[1,500],[2,500]]</v>
      </c>
      <c r="O63" s="89">
        <v>59</v>
      </c>
      <c r="P63" s="29">
        <v>20</v>
      </c>
      <c r="Q63" s="124">
        <f t="shared" si="11"/>
        <v>0.00143451441686989</v>
      </c>
      <c r="R63" s="29">
        <v>2000</v>
      </c>
      <c r="S63" s="124">
        <f t="shared" si="12"/>
        <v>0.00704808556375874</v>
      </c>
      <c r="T63" s="29">
        <f t="shared" si="13"/>
        <v>20</v>
      </c>
      <c r="U63" s="124">
        <f t="shared" si="12"/>
        <v>0.00143451441686989</v>
      </c>
      <c r="W63" s="29">
        <v>2000</v>
      </c>
      <c r="X63" s="124">
        <f t="shared" si="14"/>
        <v>0.00704808556375874</v>
      </c>
      <c r="Y63" s="29">
        <v>2000</v>
      </c>
      <c r="Z63" s="124">
        <f t="shared" si="41"/>
        <v>0.00704808556375874</v>
      </c>
      <c r="AA63" s="29">
        <f t="shared" si="16"/>
        <v>2000</v>
      </c>
      <c r="AB63" s="124">
        <f t="shared" si="36"/>
        <v>0.00704808556375874</v>
      </c>
      <c r="AE63" s="30">
        <f t="shared" si="3"/>
        <v>590</v>
      </c>
      <c r="AF63" s="30">
        <f t="shared" si="18"/>
        <v>599</v>
      </c>
      <c r="AG63" s="30">
        <f t="shared" si="19"/>
        <v>594.5</v>
      </c>
      <c r="AH63" s="29">
        <v>0</v>
      </c>
      <c r="AI63" s="124">
        <f t="shared" si="20"/>
        <v>0</v>
      </c>
      <c r="AJ63" s="124"/>
      <c r="AK63" s="29">
        <v>1500</v>
      </c>
      <c r="AL63" s="124">
        <f t="shared" si="21"/>
        <v>0.00612905334728033</v>
      </c>
      <c r="AM63" s="29">
        <f t="shared" si="22"/>
        <v>1500</v>
      </c>
      <c r="AN63" s="124">
        <f t="shared" si="21"/>
        <v>0.00612905334728033</v>
      </c>
      <c r="AO63" s="29">
        <f t="shared" si="23"/>
        <v>1500</v>
      </c>
      <c r="AP63" s="124">
        <f t="shared" si="40"/>
        <v>0.00612905334728033</v>
      </c>
      <c r="AS63" s="29">
        <v>500</v>
      </c>
      <c r="AT63" s="124">
        <f t="shared" si="33"/>
        <v>0.00396466688868801</v>
      </c>
      <c r="AU63" s="29">
        <f t="shared" si="34"/>
        <v>500</v>
      </c>
      <c r="AV63" s="124">
        <f t="shared" si="25"/>
        <v>0.00396466688868801</v>
      </c>
      <c r="AW63" s="29">
        <f t="shared" si="37"/>
        <v>500</v>
      </c>
      <c r="AX63" s="124">
        <f t="shared" si="26"/>
        <v>0.00396466688868801</v>
      </c>
    </row>
    <row r="64" spans="1:50">
      <c r="A64" s="89">
        <v>60</v>
      </c>
      <c r="B64" s="89" t="str">
        <f t="shared" si="7"/>
        <v>60,60</v>
      </c>
      <c r="C64" s="118" t="str">
        <f t="shared" si="28"/>
        <v>[[0,20],[1,1500],[2,20]]</v>
      </c>
      <c r="D64" s="118" t="str">
        <f t="shared" si="8"/>
        <v>[[0,1500],[1,1500],[2,1500]]</v>
      </c>
      <c r="E64" s="118" t="str">
        <f t="shared" si="9"/>
        <v>600,609</v>
      </c>
      <c r="F64" s="118" t="str">
        <f t="shared" si="10"/>
        <v>[[0,0]]</v>
      </c>
      <c r="G64" s="118" t="str">
        <f t="shared" si="29"/>
        <v>[[0,1500],[1,1500],[2,1500]]</v>
      </c>
      <c r="H64" s="118" t="str">
        <f t="shared" si="30"/>
        <v>[[0,500],[1,500],[2,500]]</v>
      </c>
      <c r="O64" s="89">
        <v>60</v>
      </c>
      <c r="P64" s="29">
        <v>20</v>
      </c>
      <c r="Q64" s="124">
        <f t="shared" si="11"/>
        <v>0.00143451441686989</v>
      </c>
      <c r="R64" s="29">
        <v>1500</v>
      </c>
      <c r="S64" s="124">
        <f t="shared" si="12"/>
        <v>0.00528606417281906</v>
      </c>
      <c r="T64" s="29">
        <f t="shared" si="13"/>
        <v>20</v>
      </c>
      <c r="U64" s="124">
        <f t="shared" si="12"/>
        <v>0.00143451441686989</v>
      </c>
      <c r="W64" s="29">
        <v>1500</v>
      </c>
      <c r="X64" s="124">
        <f t="shared" si="14"/>
        <v>0.00528606417281906</v>
      </c>
      <c r="Y64" s="29">
        <v>1500</v>
      </c>
      <c r="Z64" s="124">
        <f t="shared" si="41"/>
        <v>0.00528606417281906</v>
      </c>
      <c r="AA64" s="29">
        <f t="shared" si="16"/>
        <v>1500</v>
      </c>
      <c r="AB64" s="124">
        <f t="shared" si="36"/>
        <v>0.00528606417281906</v>
      </c>
      <c r="AE64" s="30">
        <f t="shared" si="3"/>
        <v>600</v>
      </c>
      <c r="AF64" s="30">
        <f t="shared" si="18"/>
        <v>609</v>
      </c>
      <c r="AG64" s="30">
        <f t="shared" si="19"/>
        <v>604.5</v>
      </c>
      <c r="AH64" s="29">
        <v>0</v>
      </c>
      <c r="AI64" s="124">
        <f t="shared" si="20"/>
        <v>0</v>
      </c>
      <c r="AJ64" s="124"/>
      <c r="AK64" s="29">
        <v>1500</v>
      </c>
      <c r="AL64" s="124">
        <f t="shared" si="21"/>
        <v>0.00612905334728033</v>
      </c>
      <c r="AM64" s="29">
        <f t="shared" si="22"/>
        <v>1500</v>
      </c>
      <c r="AN64" s="124">
        <f t="shared" si="21"/>
        <v>0.00612905334728033</v>
      </c>
      <c r="AO64" s="29">
        <f t="shared" si="23"/>
        <v>1500</v>
      </c>
      <c r="AP64" s="124">
        <f t="shared" si="40"/>
        <v>0.00612905334728033</v>
      </c>
      <c r="AS64" s="29">
        <v>500</v>
      </c>
      <c r="AT64" s="124">
        <f t="shared" si="33"/>
        <v>0.00396466688868801</v>
      </c>
      <c r="AU64" s="29">
        <f t="shared" si="34"/>
        <v>500</v>
      </c>
      <c r="AV64" s="124">
        <f t="shared" si="25"/>
        <v>0.00396466688868801</v>
      </c>
      <c r="AW64" s="29">
        <f t="shared" si="37"/>
        <v>500</v>
      </c>
      <c r="AX64" s="124">
        <f t="shared" si="26"/>
        <v>0.00396466688868801</v>
      </c>
    </row>
    <row r="65" spans="1:50">
      <c r="A65" s="89">
        <v>61</v>
      </c>
      <c r="B65" s="89" t="str">
        <f t="shared" si="7"/>
        <v>61,61</v>
      </c>
      <c r="C65" s="118" t="str">
        <f t="shared" si="28"/>
        <v>[[0,0],[1,1000],[2,0]]</v>
      </c>
      <c r="D65" s="118" t="str">
        <f t="shared" si="8"/>
        <v>[[0,1000],[1,1000],[2,1000]]</v>
      </c>
      <c r="E65" s="118" t="str">
        <f t="shared" si="9"/>
        <v>610,619</v>
      </c>
      <c r="F65" s="118" t="str">
        <f t="shared" si="10"/>
        <v>[[0,0]]</v>
      </c>
      <c r="G65" s="118" t="str">
        <f t="shared" si="29"/>
        <v>[[0,1000],[1,1000],[2,1000]]</v>
      </c>
      <c r="H65" s="118" t="str">
        <f t="shared" si="30"/>
        <v>[[0,200],[1,200],[2,200]]</v>
      </c>
      <c r="O65" s="89">
        <v>61</v>
      </c>
      <c r="P65" s="29">
        <v>0</v>
      </c>
      <c r="Q65" s="124">
        <f t="shared" si="11"/>
        <v>0</v>
      </c>
      <c r="R65" s="29">
        <v>1000</v>
      </c>
      <c r="S65" s="124">
        <f t="shared" si="12"/>
        <v>0.00352404278187937</v>
      </c>
      <c r="T65" s="29">
        <f t="shared" si="13"/>
        <v>0</v>
      </c>
      <c r="U65" s="124">
        <f t="shared" si="12"/>
        <v>0</v>
      </c>
      <c r="W65" s="29">
        <v>1000</v>
      </c>
      <c r="X65" s="124">
        <f t="shared" si="14"/>
        <v>0.00352404278187937</v>
      </c>
      <c r="Y65" s="29">
        <v>1000</v>
      </c>
      <c r="Z65" s="124">
        <f t="shared" si="41"/>
        <v>0.00352404278187937</v>
      </c>
      <c r="AA65" s="29">
        <f t="shared" si="16"/>
        <v>1000</v>
      </c>
      <c r="AB65" s="124">
        <f t="shared" si="36"/>
        <v>0.00352404278187937</v>
      </c>
      <c r="AE65" s="30">
        <f t="shared" si="3"/>
        <v>610</v>
      </c>
      <c r="AF65" s="30">
        <f t="shared" si="18"/>
        <v>619</v>
      </c>
      <c r="AG65" s="30">
        <f t="shared" si="19"/>
        <v>614.5</v>
      </c>
      <c r="AH65" s="29">
        <v>0</v>
      </c>
      <c r="AI65" s="124">
        <f t="shared" si="20"/>
        <v>0</v>
      </c>
      <c r="AJ65" s="124"/>
      <c r="AK65" s="29">
        <v>1000</v>
      </c>
      <c r="AL65" s="124">
        <f t="shared" si="21"/>
        <v>0.00408603556485356</v>
      </c>
      <c r="AM65" s="29">
        <f t="shared" si="22"/>
        <v>1000</v>
      </c>
      <c r="AN65" s="124">
        <f t="shared" si="21"/>
        <v>0.00408603556485356</v>
      </c>
      <c r="AO65" s="29">
        <f t="shared" si="23"/>
        <v>1000</v>
      </c>
      <c r="AP65" s="124">
        <f t="shared" si="40"/>
        <v>0.00408603556485356</v>
      </c>
      <c r="AS65" s="29">
        <v>200</v>
      </c>
      <c r="AT65" s="124">
        <f t="shared" si="33"/>
        <v>0.0015858667554752</v>
      </c>
      <c r="AU65" s="29">
        <f t="shared" si="34"/>
        <v>200</v>
      </c>
      <c r="AV65" s="124">
        <f t="shared" si="25"/>
        <v>0.0015858667554752</v>
      </c>
      <c r="AW65" s="29">
        <f t="shared" si="37"/>
        <v>200</v>
      </c>
      <c r="AX65" s="124">
        <f t="shared" si="26"/>
        <v>0.0015858667554752</v>
      </c>
    </row>
    <row r="66" spans="1:50">
      <c r="A66" s="89">
        <v>62</v>
      </c>
      <c r="B66" s="89" t="str">
        <f t="shared" si="7"/>
        <v>62,62</v>
      </c>
      <c r="C66" s="118" t="str">
        <f t="shared" si="28"/>
        <v>[[0,0],[1,1000],[2,0]]</v>
      </c>
      <c r="D66" s="118" t="str">
        <f t="shared" si="8"/>
        <v>[[0,1000],[1,1000],[2,1000]]</v>
      </c>
      <c r="E66" s="118" t="str">
        <f t="shared" si="9"/>
        <v>620,629</v>
      </c>
      <c r="F66" s="118" t="str">
        <f t="shared" si="10"/>
        <v>[[0,0]]</v>
      </c>
      <c r="G66" s="118" t="str">
        <f t="shared" si="29"/>
        <v>[[0,1000],[1,1000],[2,1000]]</v>
      </c>
      <c r="H66" s="118" t="str">
        <f t="shared" si="30"/>
        <v>[[0,200],[1,200],[2,200]]</v>
      </c>
      <c r="O66" s="89">
        <v>62</v>
      </c>
      <c r="P66" s="29">
        <v>0</v>
      </c>
      <c r="Q66" s="124">
        <f t="shared" si="11"/>
        <v>0</v>
      </c>
      <c r="R66" s="29">
        <v>1000</v>
      </c>
      <c r="S66" s="124">
        <f t="shared" si="12"/>
        <v>0.00352404278187937</v>
      </c>
      <c r="T66" s="29">
        <f t="shared" si="13"/>
        <v>0</v>
      </c>
      <c r="U66" s="124">
        <f t="shared" si="12"/>
        <v>0</v>
      </c>
      <c r="W66" s="29">
        <v>1000</v>
      </c>
      <c r="X66" s="124">
        <f t="shared" si="14"/>
        <v>0.00352404278187937</v>
      </c>
      <c r="Y66" s="29">
        <v>1000</v>
      </c>
      <c r="Z66" s="124">
        <f t="shared" si="41"/>
        <v>0.00352404278187937</v>
      </c>
      <c r="AA66" s="29">
        <f t="shared" si="16"/>
        <v>1000</v>
      </c>
      <c r="AB66" s="124">
        <f t="shared" si="36"/>
        <v>0.00352404278187937</v>
      </c>
      <c r="AE66" s="30">
        <f t="shared" si="3"/>
        <v>620</v>
      </c>
      <c r="AF66" s="30">
        <f t="shared" si="18"/>
        <v>629</v>
      </c>
      <c r="AG66" s="30">
        <f t="shared" si="19"/>
        <v>624.5</v>
      </c>
      <c r="AH66" s="29">
        <v>0</v>
      </c>
      <c r="AI66" s="124">
        <f t="shared" si="20"/>
        <v>0</v>
      </c>
      <c r="AJ66" s="124"/>
      <c r="AK66" s="29">
        <v>1000</v>
      </c>
      <c r="AL66" s="124">
        <f t="shared" si="21"/>
        <v>0.00408603556485356</v>
      </c>
      <c r="AM66" s="29">
        <f t="shared" si="22"/>
        <v>1000</v>
      </c>
      <c r="AN66" s="124">
        <f t="shared" si="21"/>
        <v>0.00408603556485356</v>
      </c>
      <c r="AO66" s="29">
        <f t="shared" si="23"/>
        <v>1000</v>
      </c>
      <c r="AP66" s="124">
        <f t="shared" si="40"/>
        <v>0.00408603556485356</v>
      </c>
      <c r="AS66" s="29">
        <v>200</v>
      </c>
      <c r="AT66" s="124">
        <f t="shared" si="33"/>
        <v>0.0015858667554752</v>
      </c>
      <c r="AU66" s="29">
        <f t="shared" si="34"/>
        <v>200</v>
      </c>
      <c r="AV66" s="124">
        <f t="shared" si="25"/>
        <v>0.0015858667554752</v>
      </c>
      <c r="AW66" s="29">
        <f t="shared" si="37"/>
        <v>200</v>
      </c>
      <c r="AX66" s="124">
        <f t="shared" si="26"/>
        <v>0.0015858667554752</v>
      </c>
    </row>
    <row r="67" spans="1:50">
      <c r="A67" s="89">
        <v>63</v>
      </c>
      <c r="B67" s="89" t="str">
        <f t="shared" si="7"/>
        <v>63,63</v>
      </c>
      <c r="C67" s="118" t="str">
        <f t="shared" si="28"/>
        <v>[[0,0],[1,1000],[2,0]]</v>
      </c>
      <c r="D67" s="118" t="str">
        <f t="shared" si="8"/>
        <v>[[0,1000],[1,1000],[2,1000]]</v>
      </c>
      <c r="E67" s="118" t="str">
        <f t="shared" si="9"/>
        <v>630,639</v>
      </c>
      <c r="F67" s="118" t="str">
        <f t="shared" si="10"/>
        <v>[[0,0]]</v>
      </c>
      <c r="G67" s="118" t="str">
        <f t="shared" si="29"/>
        <v>[[0,1000],[1,1000],[2,1000]]</v>
      </c>
      <c r="H67" s="118" t="str">
        <f t="shared" si="30"/>
        <v>[[0,200],[1,200],[2,200]]</v>
      </c>
      <c r="O67" s="89">
        <v>63</v>
      </c>
      <c r="P67" s="29">
        <v>0</v>
      </c>
      <c r="Q67" s="124">
        <f t="shared" si="11"/>
        <v>0</v>
      </c>
      <c r="R67" s="29">
        <v>1000</v>
      </c>
      <c r="S67" s="124">
        <f t="shared" si="12"/>
        <v>0.00352404278187937</v>
      </c>
      <c r="T67" s="29">
        <f t="shared" si="13"/>
        <v>0</v>
      </c>
      <c r="U67" s="124">
        <f t="shared" si="12"/>
        <v>0</v>
      </c>
      <c r="W67" s="29">
        <v>1000</v>
      </c>
      <c r="X67" s="124">
        <f t="shared" si="14"/>
        <v>0.00352404278187937</v>
      </c>
      <c r="Y67" s="29">
        <v>1000</v>
      </c>
      <c r="Z67" s="124">
        <f t="shared" si="41"/>
        <v>0.00352404278187937</v>
      </c>
      <c r="AA67" s="29">
        <f t="shared" si="16"/>
        <v>1000</v>
      </c>
      <c r="AB67" s="124">
        <f t="shared" si="36"/>
        <v>0.00352404278187937</v>
      </c>
      <c r="AE67" s="30">
        <f t="shared" si="3"/>
        <v>630</v>
      </c>
      <c r="AF67" s="30">
        <f t="shared" si="18"/>
        <v>639</v>
      </c>
      <c r="AG67" s="30">
        <f t="shared" si="19"/>
        <v>634.5</v>
      </c>
      <c r="AH67" s="29">
        <v>0</v>
      </c>
      <c r="AI67" s="124">
        <f t="shared" si="20"/>
        <v>0</v>
      </c>
      <c r="AJ67" s="124"/>
      <c r="AK67" s="29">
        <v>1000</v>
      </c>
      <c r="AL67" s="124">
        <f t="shared" si="21"/>
        <v>0.00408603556485356</v>
      </c>
      <c r="AM67" s="29">
        <f t="shared" si="22"/>
        <v>1000</v>
      </c>
      <c r="AN67" s="124">
        <f t="shared" si="21"/>
        <v>0.00408603556485356</v>
      </c>
      <c r="AO67" s="29">
        <f t="shared" si="23"/>
        <v>1000</v>
      </c>
      <c r="AP67" s="124">
        <f t="shared" si="40"/>
        <v>0.00408603556485356</v>
      </c>
      <c r="AS67" s="29">
        <v>200</v>
      </c>
      <c r="AT67" s="124">
        <f t="shared" si="33"/>
        <v>0.0015858667554752</v>
      </c>
      <c r="AU67" s="29">
        <f t="shared" si="34"/>
        <v>200</v>
      </c>
      <c r="AV67" s="124">
        <f t="shared" si="25"/>
        <v>0.0015858667554752</v>
      </c>
      <c r="AW67" s="29">
        <f t="shared" si="37"/>
        <v>200</v>
      </c>
      <c r="AX67" s="124">
        <f t="shared" si="26"/>
        <v>0.0015858667554752</v>
      </c>
    </row>
    <row r="68" spans="1:50">
      <c r="A68" s="89">
        <v>64</v>
      </c>
      <c r="B68" s="89" t="str">
        <f t="shared" si="7"/>
        <v>64,64</v>
      </c>
      <c r="C68" s="118" t="str">
        <f t="shared" si="28"/>
        <v>[[0,0],[1,1000],[2,0]]</v>
      </c>
      <c r="D68" s="118" t="str">
        <f t="shared" si="8"/>
        <v>[[0,1000],[1,1000],[2,1000]]</v>
      </c>
      <c r="E68" s="118" t="str">
        <f t="shared" si="9"/>
        <v>640,649</v>
      </c>
      <c r="F68" s="118" t="str">
        <f t="shared" si="10"/>
        <v>[[0,0]]</v>
      </c>
      <c r="G68" s="118" t="str">
        <f t="shared" si="29"/>
        <v>[[0,1000],[1,1000],[2,1000]]</v>
      </c>
      <c r="H68" s="118" t="str">
        <f t="shared" si="30"/>
        <v>[[0,200],[1,200],[2,200]]</v>
      </c>
      <c r="O68" s="89">
        <v>64</v>
      </c>
      <c r="P68" s="29">
        <v>0</v>
      </c>
      <c r="Q68" s="124">
        <f t="shared" si="11"/>
        <v>0</v>
      </c>
      <c r="R68" s="29">
        <v>1000</v>
      </c>
      <c r="S68" s="124">
        <f t="shared" si="12"/>
        <v>0.00352404278187937</v>
      </c>
      <c r="T68" s="29">
        <f t="shared" si="13"/>
        <v>0</v>
      </c>
      <c r="U68" s="124">
        <f t="shared" si="12"/>
        <v>0</v>
      </c>
      <c r="W68" s="29">
        <v>1000</v>
      </c>
      <c r="X68" s="124">
        <f t="shared" si="14"/>
        <v>0.00352404278187937</v>
      </c>
      <c r="Y68" s="29">
        <v>1000</v>
      </c>
      <c r="Z68" s="124">
        <f t="shared" si="41"/>
        <v>0.00352404278187937</v>
      </c>
      <c r="AA68" s="29">
        <f t="shared" si="16"/>
        <v>1000</v>
      </c>
      <c r="AB68" s="124">
        <f t="shared" si="36"/>
        <v>0.00352404278187937</v>
      </c>
      <c r="AE68" s="30">
        <f t="shared" si="3"/>
        <v>640</v>
      </c>
      <c r="AF68" s="30">
        <f t="shared" si="18"/>
        <v>649</v>
      </c>
      <c r="AG68" s="30">
        <f t="shared" si="19"/>
        <v>644.5</v>
      </c>
      <c r="AH68" s="29">
        <v>0</v>
      </c>
      <c r="AI68" s="124">
        <f t="shared" si="20"/>
        <v>0</v>
      </c>
      <c r="AJ68" s="124"/>
      <c r="AK68" s="29">
        <v>1000</v>
      </c>
      <c r="AL68" s="124">
        <f t="shared" si="21"/>
        <v>0.00408603556485356</v>
      </c>
      <c r="AM68" s="29">
        <f t="shared" si="22"/>
        <v>1000</v>
      </c>
      <c r="AN68" s="124">
        <f t="shared" si="21"/>
        <v>0.00408603556485356</v>
      </c>
      <c r="AO68" s="29">
        <f t="shared" si="23"/>
        <v>1000</v>
      </c>
      <c r="AP68" s="124">
        <f t="shared" si="40"/>
        <v>0.00408603556485356</v>
      </c>
      <c r="AS68" s="29">
        <v>200</v>
      </c>
      <c r="AT68" s="124">
        <f t="shared" si="33"/>
        <v>0.0015858667554752</v>
      </c>
      <c r="AU68" s="29">
        <f t="shared" si="34"/>
        <v>200</v>
      </c>
      <c r="AV68" s="124">
        <f t="shared" si="25"/>
        <v>0.0015858667554752</v>
      </c>
      <c r="AW68" s="29">
        <f t="shared" si="37"/>
        <v>200</v>
      </c>
      <c r="AX68" s="124">
        <f t="shared" si="26"/>
        <v>0.0015858667554752</v>
      </c>
    </row>
    <row r="69" spans="1:50">
      <c r="A69" s="89">
        <v>65</v>
      </c>
      <c r="B69" s="89" t="str">
        <f t="shared" si="7"/>
        <v>65,65</v>
      </c>
      <c r="C69" s="118" t="str">
        <f t="shared" ref="C69:C103" si="42">"[["&amp;0&amp;","&amp;P69&amp;"],["&amp;R$2&amp;","&amp;R69&amp;"],["&amp;T$2&amp;","&amp;T69&amp;"]]"</f>
        <v>[[0,0],[1,1000],[2,0]]</v>
      </c>
      <c r="D69" s="118" t="str">
        <f t="shared" si="8"/>
        <v>[[0,1000],[1,1000],[2,1000]]</v>
      </c>
      <c r="E69" s="118" t="str">
        <f t="shared" si="9"/>
        <v>650,659</v>
      </c>
      <c r="F69" s="118" t="str">
        <f t="shared" si="10"/>
        <v>[[0,0]]</v>
      </c>
      <c r="G69" s="118" t="str">
        <f t="shared" ref="G69:G103" si="43">"[["&amp;0&amp;","&amp;AK69&amp;"],["&amp;AM$2&amp;","&amp;AM69&amp;"],["&amp;AO$2&amp;","&amp;AO69&amp;"]]"</f>
        <v>[[0,1000],[1,1000],[2,1000]]</v>
      </c>
      <c r="H69" s="118" t="str">
        <f t="shared" ref="H69:H103" si="44">"[["&amp;0&amp;","&amp;AS69&amp;"],["&amp;AU$2&amp;","&amp;AU69&amp;"],["&amp;AW$2&amp;","&amp;AW69&amp;"]]"</f>
        <v>[[0,200],[1,200],[2,200]]</v>
      </c>
      <c r="O69" s="89">
        <v>65</v>
      </c>
      <c r="P69" s="29">
        <v>0</v>
      </c>
      <c r="Q69" s="124">
        <f t="shared" si="11"/>
        <v>0</v>
      </c>
      <c r="R69" s="29">
        <v>1000</v>
      </c>
      <c r="S69" s="124">
        <f t="shared" si="12"/>
        <v>0.00352404278187937</v>
      </c>
      <c r="T69" s="29">
        <f t="shared" si="13"/>
        <v>0</v>
      </c>
      <c r="U69" s="124">
        <f t="shared" si="12"/>
        <v>0</v>
      </c>
      <c r="W69" s="29">
        <v>1000</v>
      </c>
      <c r="X69" s="124">
        <f t="shared" si="14"/>
        <v>0.00352404278187937</v>
      </c>
      <c r="Y69" s="29">
        <v>1000</v>
      </c>
      <c r="Z69" s="124">
        <f t="shared" ref="Z69" si="45">Y69/SUM(Y$5:Y$103)</f>
        <v>0.00352404278187937</v>
      </c>
      <c r="AA69" s="29">
        <f t="shared" si="16"/>
        <v>1000</v>
      </c>
      <c r="AB69" s="124">
        <f t="shared" ref="AB69" si="46">AA69/SUM(AA$5:AA$103)</f>
        <v>0.00352404278187937</v>
      </c>
      <c r="AE69" s="30">
        <f t="shared" ref="AE69:AE103" si="47">O69*10</f>
        <v>650</v>
      </c>
      <c r="AF69" s="30">
        <f t="shared" si="18"/>
        <v>659</v>
      </c>
      <c r="AG69" s="30">
        <f t="shared" si="19"/>
        <v>654.5</v>
      </c>
      <c r="AH69" s="29">
        <v>0</v>
      </c>
      <c r="AI69" s="124">
        <f t="shared" si="20"/>
        <v>0</v>
      </c>
      <c r="AJ69" s="124"/>
      <c r="AK69" s="29">
        <v>1000</v>
      </c>
      <c r="AL69" s="124">
        <f t="shared" si="21"/>
        <v>0.00408603556485356</v>
      </c>
      <c r="AM69" s="29">
        <f t="shared" si="22"/>
        <v>1000</v>
      </c>
      <c r="AN69" s="124">
        <f t="shared" si="21"/>
        <v>0.00408603556485356</v>
      </c>
      <c r="AO69" s="29">
        <f t="shared" si="23"/>
        <v>1000</v>
      </c>
      <c r="AP69" s="124">
        <f t="shared" si="40"/>
        <v>0.00408603556485356</v>
      </c>
      <c r="AS69" s="29">
        <v>200</v>
      </c>
      <c r="AT69" s="124">
        <f t="shared" ref="AT69:AT100" si="48">AS69/SUM(AS$5:AS$103)</f>
        <v>0.0015858667554752</v>
      </c>
      <c r="AU69" s="29">
        <f t="shared" ref="AU69:AU103" si="49">AS69</f>
        <v>200</v>
      </c>
      <c r="AV69" s="124">
        <f t="shared" si="25"/>
        <v>0.0015858667554752</v>
      </c>
      <c r="AW69" s="29">
        <f t="shared" si="37"/>
        <v>200</v>
      </c>
      <c r="AX69" s="124">
        <f t="shared" si="26"/>
        <v>0.0015858667554752</v>
      </c>
    </row>
    <row r="70" spans="1:50">
      <c r="A70" s="89">
        <v>66</v>
      </c>
      <c r="B70" s="89" t="str">
        <f t="shared" ref="B70:B103" si="50">O70&amp;","&amp;O70</f>
        <v>66,66</v>
      </c>
      <c r="C70" s="118" t="str">
        <f t="shared" si="42"/>
        <v>[[0,0],[1,1000],[2,0]]</v>
      </c>
      <c r="D70" s="118" t="str">
        <f t="shared" ref="D70:D103" si="51">"[["&amp;0&amp;","&amp;W70&amp;"],["&amp;Y$2&amp;","&amp;Y70&amp;"],["&amp;AA$2&amp;","&amp;AA70&amp;"]]"</f>
        <v>[[0,1000],[1,1000],[2,1000]]</v>
      </c>
      <c r="E70" s="118" t="str">
        <f t="shared" ref="E70:E103" si="52">AE70&amp;","&amp;AF70</f>
        <v>660,669</v>
      </c>
      <c r="F70" s="118" t="str">
        <f t="shared" ref="F70:F103" si="53">"[["&amp;0&amp;","&amp;AH70&amp;"]]"</f>
        <v>[[0,0]]</v>
      </c>
      <c r="G70" s="118" t="str">
        <f t="shared" si="43"/>
        <v>[[0,800],[1,800],[2,800]]</v>
      </c>
      <c r="H70" s="118" t="str">
        <f t="shared" si="44"/>
        <v>[[0,200],[1,200],[2,200]]</v>
      </c>
      <c r="O70" s="89">
        <v>66</v>
      </c>
      <c r="P70" s="29">
        <v>0</v>
      </c>
      <c r="Q70" s="124">
        <f t="shared" ref="Q70:Q103" si="54">P70/SUM(P$5:P$103)</f>
        <v>0</v>
      </c>
      <c r="R70" s="29">
        <v>1000</v>
      </c>
      <c r="S70" s="124">
        <f t="shared" ref="S70:U103" si="55">R70/SUM(R$5:R$103)</f>
        <v>0.00352404278187937</v>
      </c>
      <c r="T70" s="29">
        <f t="shared" ref="T70:T103" si="56">P70</f>
        <v>0</v>
      </c>
      <c r="U70" s="124">
        <f t="shared" si="55"/>
        <v>0</v>
      </c>
      <c r="W70" s="29">
        <v>1000</v>
      </c>
      <c r="X70" s="124">
        <f t="shared" ref="X70:X103" si="57">W70/SUM(W$5:W$103)</f>
        <v>0.00352404278187937</v>
      </c>
      <c r="Y70" s="29">
        <v>1000</v>
      </c>
      <c r="Z70" s="124">
        <f t="shared" ref="Z70:Z103" si="58">Y70/SUM(Y$5:Y$103)</f>
        <v>0.00352404278187937</v>
      </c>
      <c r="AA70" s="29">
        <f t="shared" ref="AA70:AA103" si="59">W70</f>
        <v>1000</v>
      </c>
      <c r="AB70" s="124">
        <f t="shared" ref="AB70:AB103" si="60">AA70/SUM(AA$5:AA$103)</f>
        <v>0.00352404278187937</v>
      </c>
      <c r="AE70" s="30">
        <f t="shared" si="47"/>
        <v>660</v>
      </c>
      <c r="AF70" s="30">
        <f t="shared" ref="AF70:AF103" si="61">AE70+9</f>
        <v>669</v>
      </c>
      <c r="AG70" s="30">
        <f t="shared" ref="AG70:AG103" si="62">AVERAGE(AE70:AF70)</f>
        <v>664.5</v>
      </c>
      <c r="AH70" s="29">
        <v>0</v>
      </c>
      <c r="AI70" s="124">
        <f t="shared" ref="AI70:AI103" si="63">AH70/SUM(AH$5:AH$103)</f>
        <v>0</v>
      </c>
      <c r="AJ70" s="124"/>
      <c r="AK70" s="29">
        <v>800</v>
      </c>
      <c r="AL70" s="124">
        <f t="shared" ref="AL70:AN103" si="64">AK70/SUM(AK$5:AK$103)</f>
        <v>0.00326882845188285</v>
      </c>
      <c r="AM70" s="29">
        <f t="shared" ref="AM70:AM103" si="65">AK70</f>
        <v>800</v>
      </c>
      <c r="AN70" s="124">
        <f t="shared" si="64"/>
        <v>0.00326882845188285</v>
      </c>
      <c r="AO70" s="29">
        <f t="shared" ref="AO70:AO103" si="66">AK70</f>
        <v>800</v>
      </c>
      <c r="AP70" s="124">
        <f t="shared" si="40"/>
        <v>0.00326882845188285</v>
      </c>
      <c r="AS70" s="29">
        <v>200</v>
      </c>
      <c r="AT70" s="124">
        <f t="shared" si="48"/>
        <v>0.0015858667554752</v>
      </c>
      <c r="AU70" s="29">
        <f t="shared" si="49"/>
        <v>200</v>
      </c>
      <c r="AV70" s="124">
        <f t="shared" ref="AV70:AV103" si="67">AU70/SUM(AU$5:AU$103)</f>
        <v>0.0015858667554752</v>
      </c>
      <c r="AW70" s="29">
        <f t="shared" si="37"/>
        <v>200</v>
      </c>
      <c r="AX70" s="124">
        <f t="shared" ref="AX70:AX103" si="68">AW70/SUM(AW$5:AW$103)</f>
        <v>0.0015858667554752</v>
      </c>
    </row>
    <row r="71" spans="1:50">
      <c r="A71" s="89">
        <v>67</v>
      </c>
      <c r="B71" s="89" t="str">
        <f t="shared" si="50"/>
        <v>67,67</v>
      </c>
      <c r="C71" s="118" t="str">
        <f t="shared" si="42"/>
        <v>[[0,0],[1,1000],[2,0]]</v>
      </c>
      <c r="D71" s="118" t="str">
        <f t="shared" si="51"/>
        <v>[[0,1000],[1,1000],[2,1000]]</v>
      </c>
      <c r="E71" s="118" t="str">
        <f t="shared" si="52"/>
        <v>670,679</v>
      </c>
      <c r="F71" s="118" t="str">
        <f t="shared" si="53"/>
        <v>[[0,0]]</v>
      </c>
      <c r="G71" s="118" t="str">
        <f t="shared" si="43"/>
        <v>[[0,800],[1,800],[2,800]]</v>
      </c>
      <c r="H71" s="118" t="str">
        <f t="shared" si="44"/>
        <v>[[0,200],[1,200],[2,200]]</v>
      </c>
      <c r="O71" s="89">
        <v>67</v>
      </c>
      <c r="P71" s="29">
        <v>0</v>
      </c>
      <c r="Q71" s="124">
        <f t="shared" si="54"/>
        <v>0</v>
      </c>
      <c r="R71" s="29">
        <v>1000</v>
      </c>
      <c r="S71" s="124">
        <f t="shared" si="55"/>
        <v>0.00352404278187937</v>
      </c>
      <c r="T71" s="29">
        <f t="shared" si="56"/>
        <v>0</v>
      </c>
      <c r="U71" s="124">
        <f t="shared" si="55"/>
        <v>0</v>
      </c>
      <c r="W71" s="29">
        <v>1000</v>
      </c>
      <c r="X71" s="124">
        <f t="shared" si="57"/>
        <v>0.00352404278187937</v>
      </c>
      <c r="Y71" s="29">
        <v>1000</v>
      </c>
      <c r="Z71" s="124">
        <f t="shared" si="58"/>
        <v>0.00352404278187937</v>
      </c>
      <c r="AA71" s="29">
        <f t="shared" si="59"/>
        <v>1000</v>
      </c>
      <c r="AB71" s="124">
        <f t="shared" si="60"/>
        <v>0.00352404278187937</v>
      </c>
      <c r="AE71" s="30">
        <f t="shared" si="47"/>
        <v>670</v>
      </c>
      <c r="AF71" s="30">
        <f t="shared" si="61"/>
        <v>679</v>
      </c>
      <c r="AG71" s="30">
        <f t="shared" si="62"/>
        <v>674.5</v>
      </c>
      <c r="AH71" s="29">
        <v>0</v>
      </c>
      <c r="AI71" s="124">
        <f t="shared" si="63"/>
        <v>0</v>
      </c>
      <c r="AJ71" s="124"/>
      <c r="AK71" s="29">
        <v>800</v>
      </c>
      <c r="AL71" s="124">
        <f t="shared" si="64"/>
        <v>0.00326882845188285</v>
      </c>
      <c r="AM71" s="29">
        <f t="shared" si="65"/>
        <v>800</v>
      </c>
      <c r="AN71" s="124">
        <f t="shared" si="64"/>
        <v>0.00326882845188285</v>
      </c>
      <c r="AO71" s="29">
        <f t="shared" si="66"/>
        <v>800</v>
      </c>
      <c r="AP71" s="124">
        <f t="shared" si="40"/>
        <v>0.00326882845188285</v>
      </c>
      <c r="AS71" s="29">
        <v>200</v>
      </c>
      <c r="AT71" s="124">
        <f t="shared" si="48"/>
        <v>0.0015858667554752</v>
      </c>
      <c r="AU71" s="29">
        <f t="shared" si="49"/>
        <v>200</v>
      </c>
      <c r="AV71" s="124">
        <f t="shared" si="67"/>
        <v>0.0015858667554752</v>
      </c>
      <c r="AW71" s="29">
        <f t="shared" si="37"/>
        <v>200</v>
      </c>
      <c r="AX71" s="124">
        <f t="shared" si="68"/>
        <v>0.0015858667554752</v>
      </c>
    </row>
    <row r="72" spans="1:50">
      <c r="A72" s="89">
        <v>68</v>
      </c>
      <c r="B72" s="89" t="str">
        <f t="shared" si="50"/>
        <v>68,68</v>
      </c>
      <c r="C72" s="118" t="str">
        <f t="shared" si="42"/>
        <v>[[0,0],[1,1000],[2,0]]</v>
      </c>
      <c r="D72" s="118" t="str">
        <f t="shared" si="51"/>
        <v>[[0,1000],[1,1000],[2,1000]]</v>
      </c>
      <c r="E72" s="118" t="str">
        <f t="shared" si="52"/>
        <v>680,689</v>
      </c>
      <c r="F72" s="118" t="str">
        <f t="shared" si="53"/>
        <v>[[0,0]]</v>
      </c>
      <c r="G72" s="118" t="str">
        <f t="shared" si="43"/>
        <v>[[0,800],[1,800],[2,800]]</v>
      </c>
      <c r="H72" s="118" t="str">
        <f t="shared" si="44"/>
        <v>[[0,200],[1,200],[2,200]]</v>
      </c>
      <c r="O72" s="89">
        <v>68</v>
      </c>
      <c r="P72" s="29">
        <v>0</v>
      </c>
      <c r="Q72" s="124">
        <f t="shared" si="54"/>
        <v>0</v>
      </c>
      <c r="R72" s="29">
        <v>1000</v>
      </c>
      <c r="S72" s="124">
        <f t="shared" si="55"/>
        <v>0.00352404278187937</v>
      </c>
      <c r="T72" s="29">
        <f t="shared" si="56"/>
        <v>0</v>
      </c>
      <c r="U72" s="124">
        <f t="shared" si="55"/>
        <v>0</v>
      </c>
      <c r="W72" s="29">
        <v>1000</v>
      </c>
      <c r="X72" s="124">
        <f t="shared" si="57"/>
        <v>0.00352404278187937</v>
      </c>
      <c r="Y72" s="29">
        <v>1000</v>
      </c>
      <c r="Z72" s="124">
        <f t="shared" si="58"/>
        <v>0.00352404278187937</v>
      </c>
      <c r="AA72" s="29">
        <f t="shared" si="59"/>
        <v>1000</v>
      </c>
      <c r="AB72" s="124">
        <f t="shared" si="60"/>
        <v>0.00352404278187937</v>
      </c>
      <c r="AE72" s="30">
        <f t="shared" si="47"/>
        <v>680</v>
      </c>
      <c r="AF72" s="30">
        <f t="shared" si="61"/>
        <v>689</v>
      </c>
      <c r="AG72" s="30">
        <f t="shared" si="62"/>
        <v>684.5</v>
      </c>
      <c r="AH72" s="29">
        <v>0</v>
      </c>
      <c r="AI72" s="124">
        <f t="shared" si="63"/>
        <v>0</v>
      </c>
      <c r="AJ72" s="124"/>
      <c r="AK72" s="29">
        <v>800</v>
      </c>
      <c r="AL72" s="124">
        <f t="shared" si="64"/>
        <v>0.00326882845188285</v>
      </c>
      <c r="AM72" s="29">
        <f t="shared" si="65"/>
        <v>800</v>
      </c>
      <c r="AN72" s="124">
        <f t="shared" si="64"/>
        <v>0.00326882845188285</v>
      </c>
      <c r="AO72" s="29">
        <f t="shared" si="66"/>
        <v>800</v>
      </c>
      <c r="AP72" s="124">
        <f t="shared" si="40"/>
        <v>0.00326882845188285</v>
      </c>
      <c r="AS72" s="29">
        <v>200</v>
      </c>
      <c r="AT72" s="124">
        <f t="shared" si="48"/>
        <v>0.0015858667554752</v>
      </c>
      <c r="AU72" s="29">
        <f t="shared" si="49"/>
        <v>200</v>
      </c>
      <c r="AV72" s="124">
        <f t="shared" si="67"/>
        <v>0.0015858667554752</v>
      </c>
      <c r="AW72" s="29">
        <f t="shared" si="37"/>
        <v>200</v>
      </c>
      <c r="AX72" s="124">
        <f t="shared" si="68"/>
        <v>0.0015858667554752</v>
      </c>
    </row>
    <row r="73" spans="1:50">
      <c r="A73" s="89">
        <v>69</v>
      </c>
      <c r="B73" s="89" t="str">
        <f t="shared" si="50"/>
        <v>69,69</v>
      </c>
      <c r="C73" s="118" t="str">
        <f t="shared" si="42"/>
        <v>[[0,0],[1,1000],[2,0]]</v>
      </c>
      <c r="D73" s="118" t="str">
        <f t="shared" si="51"/>
        <v>[[0,1000],[1,1000],[2,1000]]</v>
      </c>
      <c r="E73" s="118" t="str">
        <f t="shared" si="52"/>
        <v>690,699</v>
      </c>
      <c r="F73" s="118" t="str">
        <f t="shared" si="53"/>
        <v>[[0,0]]</v>
      </c>
      <c r="G73" s="118" t="str">
        <f t="shared" si="43"/>
        <v>[[0,800],[1,800],[2,800]]</v>
      </c>
      <c r="H73" s="118" t="str">
        <f t="shared" si="44"/>
        <v>[[0,200],[1,200],[2,200]]</v>
      </c>
      <c r="O73" s="89">
        <v>69</v>
      </c>
      <c r="P73" s="29">
        <v>0</v>
      </c>
      <c r="Q73" s="124">
        <f t="shared" si="54"/>
        <v>0</v>
      </c>
      <c r="R73" s="29">
        <v>1000</v>
      </c>
      <c r="S73" s="124">
        <f t="shared" si="55"/>
        <v>0.00352404278187937</v>
      </c>
      <c r="T73" s="29">
        <f t="shared" si="56"/>
        <v>0</v>
      </c>
      <c r="U73" s="124">
        <f t="shared" si="55"/>
        <v>0</v>
      </c>
      <c r="W73" s="29">
        <v>1000</v>
      </c>
      <c r="X73" s="124">
        <f t="shared" si="57"/>
        <v>0.00352404278187937</v>
      </c>
      <c r="Y73" s="29">
        <v>1000</v>
      </c>
      <c r="Z73" s="124">
        <f t="shared" si="58"/>
        <v>0.00352404278187937</v>
      </c>
      <c r="AA73" s="29">
        <f t="shared" si="59"/>
        <v>1000</v>
      </c>
      <c r="AB73" s="124">
        <f t="shared" si="60"/>
        <v>0.00352404278187937</v>
      </c>
      <c r="AE73" s="30">
        <f t="shared" si="47"/>
        <v>690</v>
      </c>
      <c r="AF73" s="30">
        <f t="shared" si="61"/>
        <v>699</v>
      </c>
      <c r="AG73" s="30">
        <f t="shared" si="62"/>
        <v>694.5</v>
      </c>
      <c r="AH73" s="29">
        <v>0</v>
      </c>
      <c r="AI73" s="124">
        <f t="shared" si="63"/>
        <v>0</v>
      </c>
      <c r="AJ73" s="124"/>
      <c r="AK73" s="29">
        <v>800</v>
      </c>
      <c r="AL73" s="124">
        <f t="shared" si="64"/>
        <v>0.00326882845188285</v>
      </c>
      <c r="AM73" s="29">
        <f t="shared" si="65"/>
        <v>800</v>
      </c>
      <c r="AN73" s="124">
        <f t="shared" si="64"/>
        <v>0.00326882845188285</v>
      </c>
      <c r="AO73" s="29">
        <f t="shared" si="66"/>
        <v>800</v>
      </c>
      <c r="AP73" s="124">
        <f t="shared" si="40"/>
        <v>0.00326882845188285</v>
      </c>
      <c r="AS73" s="29">
        <v>200</v>
      </c>
      <c r="AT73" s="124">
        <f t="shared" si="48"/>
        <v>0.0015858667554752</v>
      </c>
      <c r="AU73" s="29">
        <f t="shared" si="49"/>
        <v>200</v>
      </c>
      <c r="AV73" s="124">
        <f t="shared" si="67"/>
        <v>0.0015858667554752</v>
      </c>
      <c r="AW73" s="29">
        <f t="shared" si="37"/>
        <v>200</v>
      </c>
      <c r="AX73" s="124">
        <f t="shared" si="68"/>
        <v>0.0015858667554752</v>
      </c>
    </row>
    <row r="74" spans="1:50">
      <c r="A74" s="89">
        <v>70</v>
      </c>
      <c r="B74" s="89" t="str">
        <f t="shared" si="50"/>
        <v>70,70</v>
      </c>
      <c r="C74" s="118" t="str">
        <f t="shared" si="42"/>
        <v>[[0,0],[1,1000],[2,0]]</v>
      </c>
      <c r="D74" s="118" t="str">
        <f t="shared" si="51"/>
        <v>[[0,1000],[1,1000],[2,1000]]</v>
      </c>
      <c r="E74" s="118" t="str">
        <f t="shared" si="52"/>
        <v>700,709</v>
      </c>
      <c r="F74" s="118" t="str">
        <f t="shared" si="53"/>
        <v>[[0,0]]</v>
      </c>
      <c r="G74" s="118" t="str">
        <f t="shared" si="43"/>
        <v>[[0,800],[1,800],[2,800]]</v>
      </c>
      <c r="H74" s="118" t="str">
        <f t="shared" si="44"/>
        <v>[[0,200],[1,200],[2,200]]</v>
      </c>
      <c r="O74" s="89">
        <v>70</v>
      </c>
      <c r="P74" s="29">
        <v>0</v>
      </c>
      <c r="Q74" s="124">
        <f t="shared" si="54"/>
        <v>0</v>
      </c>
      <c r="R74" s="29">
        <v>1000</v>
      </c>
      <c r="S74" s="124">
        <f t="shared" si="55"/>
        <v>0.00352404278187937</v>
      </c>
      <c r="T74" s="29">
        <f t="shared" si="56"/>
        <v>0</v>
      </c>
      <c r="U74" s="124">
        <f t="shared" si="55"/>
        <v>0</v>
      </c>
      <c r="W74" s="29">
        <v>1000</v>
      </c>
      <c r="X74" s="124">
        <f t="shared" si="57"/>
        <v>0.00352404278187937</v>
      </c>
      <c r="Y74" s="29">
        <v>1000</v>
      </c>
      <c r="Z74" s="124">
        <f t="shared" si="58"/>
        <v>0.00352404278187937</v>
      </c>
      <c r="AA74" s="29">
        <f t="shared" si="59"/>
        <v>1000</v>
      </c>
      <c r="AB74" s="124">
        <f t="shared" si="60"/>
        <v>0.00352404278187937</v>
      </c>
      <c r="AE74" s="30">
        <f t="shared" si="47"/>
        <v>700</v>
      </c>
      <c r="AF74" s="30">
        <f t="shared" si="61"/>
        <v>709</v>
      </c>
      <c r="AG74" s="30">
        <f t="shared" si="62"/>
        <v>704.5</v>
      </c>
      <c r="AH74" s="29">
        <v>0</v>
      </c>
      <c r="AI74" s="124">
        <f t="shared" si="63"/>
        <v>0</v>
      </c>
      <c r="AJ74" s="124"/>
      <c r="AK74" s="29">
        <v>800</v>
      </c>
      <c r="AL74" s="124">
        <f t="shared" si="64"/>
        <v>0.00326882845188285</v>
      </c>
      <c r="AM74" s="29">
        <f t="shared" si="65"/>
        <v>800</v>
      </c>
      <c r="AN74" s="124">
        <f t="shared" si="64"/>
        <v>0.00326882845188285</v>
      </c>
      <c r="AO74" s="29">
        <f t="shared" si="66"/>
        <v>800</v>
      </c>
      <c r="AP74" s="124">
        <f t="shared" si="40"/>
        <v>0.00326882845188285</v>
      </c>
      <c r="AS74" s="29">
        <v>200</v>
      </c>
      <c r="AT74" s="124">
        <f t="shared" si="48"/>
        <v>0.0015858667554752</v>
      </c>
      <c r="AU74" s="29">
        <f t="shared" si="49"/>
        <v>200</v>
      </c>
      <c r="AV74" s="124">
        <f t="shared" si="67"/>
        <v>0.0015858667554752</v>
      </c>
      <c r="AW74" s="29">
        <f t="shared" si="37"/>
        <v>200</v>
      </c>
      <c r="AX74" s="124">
        <f t="shared" si="68"/>
        <v>0.0015858667554752</v>
      </c>
    </row>
    <row r="75" spans="1:50">
      <c r="A75" s="89">
        <v>71</v>
      </c>
      <c r="B75" s="89" t="str">
        <f t="shared" si="50"/>
        <v>71,71</v>
      </c>
      <c r="C75" s="118" t="str">
        <f t="shared" si="42"/>
        <v>[[0,0],[1,1000],[2,0]]</v>
      </c>
      <c r="D75" s="118" t="str">
        <f t="shared" si="51"/>
        <v>[[0,1000],[1,1000],[2,1000]]</v>
      </c>
      <c r="E75" s="118" t="str">
        <f t="shared" si="52"/>
        <v>710,719</v>
      </c>
      <c r="F75" s="118" t="str">
        <f t="shared" si="53"/>
        <v>[[0,0]]</v>
      </c>
      <c r="G75" s="118" t="str">
        <f t="shared" si="43"/>
        <v>[[0,600],[1,600],[2,600]]</v>
      </c>
      <c r="H75" s="118" t="str">
        <f t="shared" si="44"/>
        <v>[[0,100],[1,100],[2,100]]</v>
      </c>
      <c r="O75" s="89">
        <v>71</v>
      </c>
      <c r="P75" s="29">
        <v>0</v>
      </c>
      <c r="Q75" s="124">
        <f t="shared" si="54"/>
        <v>0</v>
      </c>
      <c r="R75" s="29">
        <v>1000</v>
      </c>
      <c r="S75" s="124">
        <f t="shared" si="55"/>
        <v>0.00352404278187937</v>
      </c>
      <c r="T75" s="29">
        <f t="shared" si="56"/>
        <v>0</v>
      </c>
      <c r="U75" s="124">
        <f t="shared" si="55"/>
        <v>0</v>
      </c>
      <c r="W75" s="29">
        <v>1000</v>
      </c>
      <c r="X75" s="124">
        <f t="shared" si="57"/>
        <v>0.00352404278187937</v>
      </c>
      <c r="Y75" s="29">
        <v>1000</v>
      </c>
      <c r="Z75" s="124">
        <f t="shared" si="58"/>
        <v>0.00352404278187937</v>
      </c>
      <c r="AA75" s="29">
        <f t="shared" si="59"/>
        <v>1000</v>
      </c>
      <c r="AB75" s="124">
        <f t="shared" si="60"/>
        <v>0.00352404278187937</v>
      </c>
      <c r="AE75" s="30">
        <f t="shared" si="47"/>
        <v>710</v>
      </c>
      <c r="AF75" s="30">
        <f t="shared" si="61"/>
        <v>719</v>
      </c>
      <c r="AG75" s="30">
        <f t="shared" si="62"/>
        <v>714.5</v>
      </c>
      <c r="AH75" s="29">
        <v>0</v>
      </c>
      <c r="AI75" s="124">
        <f t="shared" si="63"/>
        <v>0</v>
      </c>
      <c r="AJ75" s="124"/>
      <c r="AK75" s="29">
        <v>600</v>
      </c>
      <c r="AL75" s="124">
        <f t="shared" si="64"/>
        <v>0.00245162133891213</v>
      </c>
      <c r="AM75" s="29">
        <f t="shared" si="65"/>
        <v>600</v>
      </c>
      <c r="AN75" s="124">
        <f t="shared" si="64"/>
        <v>0.00245162133891213</v>
      </c>
      <c r="AO75" s="29">
        <f t="shared" si="66"/>
        <v>600</v>
      </c>
      <c r="AP75" s="124">
        <f t="shared" si="40"/>
        <v>0.00245162133891213</v>
      </c>
      <c r="AS75" s="29">
        <v>100</v>
      </c>
      <c r="AT75" s="124">
        <f t="shared" si="48"/>
        <v>0.000792933377737602</v>
      </c>
      <c r="AU75" s="29">
        <f t="shared" si="49"/>
        <v>100</v>
      </c>
      <c r="AV75" s="124">
        <f t="shared" si="67"/>
        <v>0.000792933377737602</v>
      </c>
      <c r="AW75" s="29">
        <f t="shared" si="37"/>
        <v>100</v>
      </c>
      <c r="AX75" s="124">
        <f t="shared" si="68"/>
        <v>0.000792933377737602</v>
      </c>
    </row>
    <row r="76" spans="1:50">
      <c r="A76" s="89">
        <v>72</v>
      </c>
      <c r="B76" s="89" t="str">
        <f t="shared" si="50"/>
        <v>72,72</v>
      </c>
      <c r="C76" s="118" t="str">
        <f t="shared" si="42"/>
        <v>[[0,0],[1,1000],[2,0]]</v>
      </c>
      <c r="D76" s="118" t="str">
        <f t="shared" si="51"/>
        <v>[[0,1000],[1,1000],[2,1000]]</v>
      </c>
      <c r="E76" s="118" t="str">
        <f t="shared" si="52"/>
        <v>720,729</v>
      </c>
      <c r="F76" s="118" t="str">
        <f t="shared" si="53"/>
        <v>[[0,0]]</v>
      </c>
      <c r="G76" s="118" t="str">
        <f t="shared" si="43"/>
        <v>[[0,600],[1,600],[2,600]]</v>
      </c>
      <c r="H76" s="118" t="str">
        <f t="shared" si="44"/>
        <v>[[0,100],[1,100],[2,100]]</v>
      </c>
      <c r="O76" s="89">
        <v>72</v>
      </c>
      <c r="P76" s="29">
        <v>0</v>
      </c>
      <c r="Q76" s="124">
        <f t="shared" si="54"/>
        <v>0</v>
      </c>
      <c r="R76" s="29">
        <v>1000</v>
      </c>
      <c r="S76" s="124">
        <f t="shared" si="55"/>
        <v>0.00352404278187937</v>
      </c>
      <c r="T76" s="29">
        <f t="shared" si="56"/>
        <v>0</v>
      </c>
      <c r="U76" s="124">
        <f t="shared" si="55"/>
        <v>0</v>
      </c>
      <c r="W76" s="29">
        <v>1000</v>
      </c>
      <c r="X76" s="124">
        <f t="shared" si="57"/>
        <v>0.00352404278187937</v>
      </c>
      <c r="Y76" s="29">
        <v>1000</v>
      </c>
      <c r="Z76" s="124">
        <f t="shared" si="58"/>
        <v>0.00352404278187937</v>
      </c>
      <c r="AA76" s="29">
        <f t="shared" si="59"/>
        <v>1000</v>
      </c>
      <c r="AB76" s="124">
        <f t="shared" si="60"/>
        <v>0.00352404278187937</v>
      </c>
      <c r="AE76" s="30">
        <f t="shared" si="47"/>
        <v>720</v>
      </c>
      <c r="AF76" s="30">
        <f t="shared" si="61"/>
        <v>729</v>
      </c>
      <c r="AG76" s="30">
        <f t="shared" si="62"/>
        <v>724.5</v>
      </c>
      <c r="AH76" s="29">
        <v>0</v>
      </c>
      <c r="AI76" s="124">
        <f t="shared" si="63"/>
        <v>0</v>
      </c>
      <c r="AJ76" s="124"/>
      <c r="AK76" s="29">
        <v>600</v>
      </c>
      <c r="AL76" s="124">
        <f t="shared" si="64"/>
        <v>0.00245162133891213</v>
      </c>
      <c r="AM76" s="29">
        <f t="shared" si="65"/>
        <v>600</v>
      </c>
      <c r="AN76" s="124">
        <f t="shared" si="64"/>
        <v>0.00245162133891213</v>
      </c>
      <c r="AO76" s="29">
        <f t="shared" si="66"/>
        <v>600</v>
      </c>
      <c r="AP76" s="124">
        <f t="shared" si="40"/>
        <v>0.00245162133891213</v>
      </c>
      <c r="AS76" s="29">
        <v>100</v>
      </c>
      <c r="AT76" s="124">
        <f t="shared" si="48"/>
        <v>0.000792933377737602</v>
      </c>
      <c r="AU76" s="29">
        <f t="shared" si="49"/>
        <v>100</v>
      </c>
      <c r="AV76" s="124">
        <f t="shared" si="67"/>
        <v>0.000792933377737602</v>
      </c>
      <c r="AW76" s="29">
        <f t="shared" si="37"/>
        <v>100</v>
      </c>
      <c r="AX76" s="124">
        <f t="shared" si="68"/>
        <v>0.000792933377737602</v>
      </c>
    </row>
    <row r="77" spans="1:50">
      <c r="A77" s="89">
        <v>73</v>
      </c>
      <c r="B77" s="89" t="str">
        <f t="shared" si="50"/>
        <v>73,73</v>
      </c>
      <c r="C77" s="118" t="str">
        <f t="shared" si="42"/>
        <v>[[0,0],[1,1000],[2,0]]</v>
      </c>
      <c r="D77" s="118" t="str">
        <f t="shared" si="51"/>
        <v>[[0,1000],[1,1000],[2,1000]]</v>
      </c>
      <c r="E77" s="118" t="str">
        <f t="shared" si="52"/>
        <v>730,739</v>
      </c>
      <c r="F77" s="118" t="str">
        <f t="shared" si="53"/>
        <v>[[0,0]]</v>
      </c>
      <c r="G77" s="118" t="str">
        <f t="shared" si="43"/>
        <v>[[0,600],[1,600],[2,600]]</v>
      </c>
      <c r="H77" s="118" t="str">
        <f t="shared" si="44"/>
        <v>[[0,100],[1,100],[2,100]]</v>
      </c>
      <c r="O77" s="89">
        <v>73</v>
      </c>
      <c r="P77" s="29">
        <v>0</v>
      </c>
      <c r="Q77" s="124">
        <f t="shared" si="54"/>
        <v>0</v>
      </c>
      <c r="R77" s="29">
        <v>1000</v>
      </c>
      <c r="S77" s="124">
        <f t="shared" si="55"/>
        <v>0.00352404278187937</v>
      </c>
      <c r="T77" s="29">
        <f t="shared" si="56"/>
        <v>0</v>
      </c>
      <c r="U77" s="124">
        <f t="shared" si="55"/>
        <v>0</v>
      </c>
      <c r="W77" s="29">
        <v>1000</v>
      </c>
      <c r="X77" s="124">
        <f t="shared" si="57"/>
        <v>0.00352404278187937</v>
      </c>
      <c r="Y77" s="29">
        <v>1000</v>
      </c>
      <c r="Z77" s="124">
        <f t="shared" si="58"/>
        <v>0.00352404278187937</v>
      </c>
      <c r="AA77" s="29">
        <f t="shared" si="59"/>
        <v>1000</v>
      </c>
      <c r="AB77" s="124">
        <f t="shared" si="60"/>
        <v>0.00352404278187937</v>
      </c>
      <c r="AE77" s="30">
        <f t="shared" si="47"/>
        <v>730</v>
      </c>
      <c r="AF77" s="30">
        <f t="shared" si="61"/>
        <v>739</v>
      </c>
      <c r="AG77" s="30">
        <f t="shared" si="62"/>
        <v>734.5</v>
      </c>
      <c r="AH77" s="29">
        <v>0</v>
      </c>
      <c r="AI77" s="124">
        <f t="shared" si="63"/>
        <v>0</v>
      </c>
      <c r="AJ77" s="124"/>
      <c r="AK77" s="29">
        <v>600</v>
      </c>
      <c r="AL77" s="124">
        <f t="shared" si="64"/>
        <v>0.00245162133891213</v>
      </c>
      <c r="AM77" s="29">
        <f t="shared" si="65"/>
        <v>600</v>
      </c>
      <c r="AN77" s="124">
        <f t="shared" si="64"/>
        <v>0.00245162133891213</v>
      </c>
      <c r="AO77" s="29">
        <f t="shared" si="66"/>
        <v>600</v>
      </c>
      <c r="AP77" s="124">
        <f t="shared" si="40"/>
        <v>0.00245162133891213</v>
      </c>
      <c r="AS77" s="29">
        <v>100</v>
      </c>
      <c r="AT77" s="124">
        <f t="shared" si="48"/>
        <v>0.000792933377737602</v>
      </c>
      <c r="AU77" s="29">
        <f t="shared" si="49"/>
        <v>100</v>
      </c>
      <c r="AV77" s="124">
        <f t="shared" si="67"/>
        <v>0.000792933377737602</v>
      </c>
      <c r="AW77" s="29">
        <f t="shared" si="37"/>
        <v>100</v>
      </c>
      <c r="AX77" s="124">
        <f t="shared" si="68"/>
        <v>0.000792933377737602</v>
      </c>
    </row>
    <row r="78" spans="1:50">
      <c r="A78" s="89">
        <v>74</v>
      </c>
      <c r="B78" s="89" t="str">
        <f t="shared" si="50"/>
        <v>74,74</v>
      </c>
      <c r="C78" s="118" t="str">
        <f t="shared" si="42"/>
        <v>[[0,0],[1,1000],[2,0]]</v>
      </c>
      <c r="D78" s="118" t="str">
        <f t="shared" si="51"/>
        <v>[[0,1000],[1,1000],[2,1000]]</v>
      </c>
      <c r="E78" s="118" t="str">
        <f t="shared" si="52"/>
        <v>740,749</v>
      </c>
      <c r="F78" s="118" t="str">
        <f t="shared" si="53"/>
        <v>[[0,0]]</v>
      </c>
      <c r="G78" s="118" t="str">
        <f t="shared" si="43"/>
        <v>[[0,600],[1,600],[2,600]]</v>
      </c>
      <c r="H78" s="118" t="str">
        <f t="shared" si="44"/>
        <v>[[0,100],[1,100],[2,100]]</v>
      </c>
      <c r="O78" s="89">
        <v>74</v>
      </c>
      <c r="P78" s="29">
        <v>0</v>
      </c>
      <c r="Q78" s="124">
        <f t="shared" si="54"/>
        <v>0</v>
      </c>
      <c r="R78" s="29">
        <v>1000</v>
      </c>
      <c r="S78" s="124">
        <f t="shared" si="55"/>
        <v>0.00352404278187937</v>
      </c>
      <c r="T78" s="29">
        <f t="shared" si="56"/>
        <v>0</v>
      </c>
      <c r="U78" s="124">
        <f t="shared" si="55"/>
        <v>0</v>
      </c>
      <c r="W78" s="29">
        <v>1000</v>
      </c>
      <c r="X78" s="124">
        <f t="shared" si="57"/>
        <v>0.00352404278187937</v>
      </c>
      <c r="Y78" s="29">
        <v>1000</v>
      </c>
      <c r="Z78" s="124">
        <f t="shared" si="58"/>
        <v>0.00352404278187937</v>
      </c>
      <c r="AA78" s="29">
        <f t="shared" si="59"/>
        <v>1000</v>
      </c>
      <c r="AB78" s="124">
        <f t="shared" si="60"/>
        <v>0.00352404278187937</v>
      </c>
      <c r="AE78" s="30">
        <f t="shared" si="47"/>
        <v>740</v>
      </c>
      <c r="AF78" s="30">
        <f t="shared" si="61"/>
        <v>749</v>
      </c>
      <c r="AG78" s="30">
        <f t="shared" si="62"/>
        <v>744.5</v>
      </c>
      <c r="AH78" s="29">
        <v>0</v>
      </c>
      <c r="AI78" s="124">
        <f t="shared" si="63"/>
        <v>0</v>
      </c>
      <c r="AJ78" s="124"/>
      <c r="AK78" s="29">
        <v>600</v>
      </c>
      <c r="AL78" s="124">
        <f t="shared" si="64"/>
        <v>0.00245162133891213</v>
      </c>
      <c r="AM78" s="29">
        <f t="shared" si="65"/>
        <v>600</v>
      </c>
      <c r="AN78" s="124">
        <f t="shared" si="64"/>
        <v>0.00245162133891213</v>
      </c>
      <c r="AO78" s="29">
        <f t="shared" si="66"/>
        <v>600</v>
      </c>
      <c r="AP78" s="124">
        <f t="shared" si="40"/>
        <v>0.00245162133891213</v>
      </c>
      <c r="AS78" s="29">
        <v>100</v>
      </c>
      <c r="AT78" s="124">
        <f t="shared" si="48"/>
        <v>0.000792933377737602</v>
      </c>
      <c r="AU78" s="29">
        <f t="shared" si="49"/>
        <v>100</v>
      </c>
      <c r="AV78" s="124">
        <f t="shared" si="67"/>
        <v>0.000792933377737602</v>
      </c>
      <c r="AW78" s="29">
        <f t="shared" si="37"/>
        <v>100</v>
      </c>
      <c r="AX78" s="124">
        <f t="shared" si="68"/>
        <v>0.000792933377737602</v>
      </c>
    </row>
    <row r="79" spans="1:50">
      <c r="A79" s="89">
        <v>75</v>
      </c>
      <c r="B79" s="89" t="str">
        <f t="shared" si="50"/>
        <v>75,75</v>
      </c>
      <c r="C79" s="118" t="str">
        <f t="shared" si="42"/>
        <v>[[0,0],[1,1000],[2,0]]</v>
      </c>
      <c r="D79" s="118" t="str">
        <f t="shared" si="51"/>
        <v>[[0,1000],[1,1000],[2,1000]]</v>
      </c>
      <c r="E79" s="118" t="str">
        <f t="shared" si="52"/>
        <v>750,759</v>
      </c>
      <c r="F79" s="118" t="str">
        <f t="shared" si="53"/>
        <v>[[0,0]]</v>
      </c>
      <c r="G79" s="118" t="str">
        <f t="shared" si="43"/>
        <v>[[0,600],[1,600],[2,600]]</v>
      </c>
      <c r="H79" s="118" t="str">
        <f t="shared" si="44"/>
        <v>[[0,100],[1,100],[2,100]]</v>
      </c>
      <c r="O79" s="89">
        <v>75</v>
      </c>
      <c r="P79" s="29">
        <v>0</v>
      </c>
      <c r="Q79" s="124">
        <f t="shared" si="54"/>
        <v>0</v>
      </c>
      <c r="R79" s="29">
        <v>1000</v>
      </c>
      <c r="S79" s="124">
        <f t="shared" si="55"/>
        <v>0.00352404278187937</v>
      </c>
      <c r="T79" s="29">
        <f t="shared" si="56"/>
        <v>0</v>
      </c>
      <c r="U79" s="124">
        <f t="shared" si="55"/>
        <v>0</v>
      </c>
      <c r="W79" s="29">
        <v>1000</v>
      </c>
      <c r="X79" s="124">
        <f t="shared" si="57"/>
        <v>0.00352404278187937</v>
      </c>
      <c r="Y79" s="29">
        <v>1000</v>
      </c>
      <c r="Z79" s="124">
        <f t="shared" si="58"/>
        <v>0.00352404278187937</v>
      </c>
      <c r="AA79" s="29">
        <f t="shared" si="59"/>
        <v>1000</v>
      </c>
      <c r="AB79" s="124">
        <f t="shared" si="60"/>
        <v>0.00352404278187937</v>
      </c>
      <c r="AE79" s="30">
        <f t="shared" si="47"/>
        <v>750</v>
      </c>
      <c r="AF79" s="30">
        <f t="shared" si="61"/>
        <v>759</v>
      </c>
      <c r="AG79" s="30">
        <f t="shared" si="62"/>
        <v>754.5</v>
      </c>
      <c r="AH79" s="29">
        <v>0</v>
      </c>
      <c r="AI79" s="124">
        <f t="shared" si="63"/>
        <v>0</v>
      </c>
      <c r="AJ79" s="124"/>
      <c r="AK79" s="29">
        <v>600</v>
      </c>
      <c r="AL79" s="124">
        <f t="shared" si="64"/>
        <v>0.00245162133891213</v>
      </c>
      <c r="AM79" s="29">
        <f t="shared" si="65"/>
        <v>600</v>
      </c>
      <c r="AN79" s="124">
        <f t="shared" si="64"/>
        <v>0.00245162133891213</v>
      </c>
      <c r="AO79" s="29">
        <f t="shared" si="66"/>
        <v>600</v>
      </c>
      <c r="AP79" s="124">
        <f t="shared" si="40"/>
        <v>0.00245162133891213</v>
      </c>
      <c r="AS79" s="29">
        <v>100</v>
      </c>
      <c r="AT79" s="124">
        <f t="shared" si="48"/>
        <v>0.000792933377737602</v>
      </c>
      <c r="AU79" s="29">
        <f t="shared" si="49"/>
        <v>100</v>
      </c>
      <c r="AV79" s="124">
        <f t="shared" si="67"/>
        <v>0.000792933377737602</v>
      </c>
      <c r="AW79" s="29">
        <f t="shared" ref="AW79:AW94" si="69">AS79</f>
        <v>100</v>
      </c>
      <c r="AX79" s="124">
        <f t="shared" si="68"/>
        <v>0.000792933377737602</v>
      </c>
    </row>
    <row r="80" spans="1:50">
      <c r="A80" s="89">
        <v>76</v>
      </c>
      <c r="B80" s="89" t="str">
        <f t="shared" si="50"/>
        <v>76,76</v>
      </c>
      <c r="C80" s="118" t="str">
        <f t="shared" si="42"/>
        <v>[[0,0],[1,1000],[2,0]]</v>
      </c>
      <c r="D80" s="118" t="str">
        <f t="shared" si="51"/>
        <v>[[0,1000],[1,1000],[2,1000]]</v>
      </c>
      <c r="E80" s="118" t="str">
        <f t="shared" si="52"/>
        <v>760,769</v>
      </c>
      <c r="F80" s="118" t="str">
        <f t="shared" si="53"/>
        <v>[[0,0]]</v>
      </c>
      <c r="G80" s="118" t="str">
        <f t="shared" si="43"/>
        <v>[[0,500],[1,500],[2,500]]</v>
      </c>
      <c r="H80" s="118" t="str">
        <f t="shared" si="44"/>
        <v>[[0,100],[1,100],[2,100]]</v>
      </c>
      <c r="O80" s="89">
        <v>76</v>
      </c>
      <c r="P80" s="29">
        <v>0</v>
      </c>
      <c r="Q80" s="124">
        <f t="shared" si="54"/>
        <v>0</v>
      </c>
      <c r="R80" s="29">
        <v>1000</v>
      </c>
      <c r="S80" s="124">
        <f t="shared" si="55"/>
        <v>0.00352404278187937</v>
      </c>
      <c r="T80" s="29">
        <f t="shared" si="56"/>
        <v>0</v>
      </c>
      <c r="U80" s="124">
        <f t="shared" si="55"/>
        <v>0</v>
      </c>
      <c r="W80" s="29">
        <v>1000</v>
      </c>
      <c r="X80" s="124">
        <f t="shared" si="57"/>
        <v>0.00352404278187937</v>
      </c>
      <c r="Y80" s="29">
        <v>1000</v>
      </c>
      <c r="Z80" s="124">
        <f t="shared" si="58"/>
        <v>0.00352404278187937</v>
      </c>
      <c r="AA80" s="29">
        <f t="shared" si="59"/>
        <v>1000</v>
      </c>
      <c r="AB80" s="124">
        <f t="shared" si="60"/>
        <v>0.00352404278187937</v>
      </c>
      <c r="AE80" s="30">
        <f t="shared" si="47"/>
        <v>760</v>
      </c>
      <c r="AF80" s="30">
        <f t="shared" si="61"/>
        <v>769</v>
      </c>
      <c r="AG80" s="30">
        <f t="shared" si="62"/>
        <v>764.5</v>
      </c>
      <c r="AH80" s="29">
        <v>0</v>
      </c>
      <c r="AI80" s="124">
        <f t="shared" si="63"/>
        <v>0</v>
      </c>
      <c r="AJ80" s="124"/>
      <c r="AK80" s="29">
        <v>500</v>
      </c>
      <c r="AL80" s="124">
        <f t="shared" si="64"/>
        <v>0.00204301778242678</v>
      </c>
      <c r="AM80" s="29">
        <f t="shared" si="65"/>
        <v>500</v>
      </c>
      <c r="AN80" s="124">
        <f t="shared" si="64"/>
        <v>0.00204301778242678</v>
      </c>
      <c r="AO80" s="29">
        <f t="shared" si="66"/>
        <v>500</v>
      </c>
      <c r="AP80" s="124">
        <f t="shared" si="40"/>
        <v>0.00204301778242678</v>
      </c>
      <c r="AS80" s="29">
        <v>100</v>
      </c>
      <c r="AT80" s="124">
        <f t="shared" si="48"/>
        <v>0.000792933377737602</v>
      </c>
      <c r="AU80" s="29">
        <f t="shared" si="49"/>
        <v>100</v>
      </c>
      <c r="AV80" s="124">
        <f t="shared" si="67"/>
        <v>0.000792933377737602</v>
      </c>
      <c r="AW80" s="29">
        <f t="shared" si="69"/>
        <v>100</v>
      </c>
      <c r="AX80" s="124">
        <f t="shared" si="68"/>
        <v>0.000792933377737602</v>
      </c>
    </row>
    <row r="81" spans="1:50">
      <c r="A81" s="89">
        <v>77</v>
      </c>
      <c r="B81" s="89" t="str">
        <f t="shared" si="50"/>
        <v>77,77</v>
      </c>
      <c r="C81" s="118" t="str">
        <f t="shared" si="42"/>
        <v>[[0,0],[1,1000],[2,0]]</v>
      </c>
      <c r="D81" s="118" t="str">
        <f t="shared" si="51"/>
        <v>[[0,1000],[1,1000],[2,1000]]</v>
      </c>
      <c r="E81" s="118" t="str">
        <f t="shared" si="52"/>
        <v>770,779</v>
      </c>
      <c r="F81" s="118" t="str">
        <f t="shared" si="53"/>
        <v>[[0,0]]</v>
      </c>
      <c r="G81" s="118" t="str">
        <f t="shared" si="43"/>
        <v>[[0,500],[1,500],[2,500]]</v>
      </c>
      <c r="H81" s="118" t="str">
        <f t="shared" si="44"/>
        <v>[[0,100],[1,100],[2,100]]</v>
      </c>
      <c r="O81" s="89">
        <v>77</v>
      </c>
      <c r="P81" s="29">
        <v>0</v>
      </c>
      <c r="Q81" s="124">
        <f t="shared" si="54"/>
        <v>0</v>
      </c>
      <c r="R81" s="29">
        <v>1000</v>
      </c>
      <c r="S81" s="124">
        <f t="shared" si="55"/>
        <v>0.00352404278187937</v>
      </c>
      <c r="T81" s="29">
        <f t="shared" si="56"/>
        <v>0</v>
      </c>
      <c r="U81" s="124">
        <f t="shared" si="55"/>
        <v>0</v>
      </c>
      <c r="W81" s="29">
        <v>1000</v>
      </c>
      <c r="X81" s="124">
        <f t="shared" si="57"/>
        <v>0.00352404278187937</v>
      </c>
      <c r="Y81" s="29">
        <v>1000</v>
      </c>
      <c r="Z81" s="124">
        <f t="shared" si="58"/>
        <v>0.00352404278187937</v>
      </c>
      <c r="AA81" s="29">
        <f t="shared" si="59"/>
        <v>1000</v>
      </c>
      <c r="AB81" s="124">
        <f t="shared" si="60"/>
        <v>0.00352404278187937</v>
      </c>
      <c r="AE81" s="30">
        <f t="shared" si="47"/>
        <v>770</v>
      </c>
      <c r="AF81" s="30">
        <f t="shared" si="61"/>
        <v>779</v>
      </c>
      <c r="AG81" s="30">
        <f t="shared" si="62"/>
        <v>774.5</v>
      </c>
      <c r="AH81" s="29">
        <v>0</v>
      </c>
      <c r="AI81" s="124">
        <f t="shared" si="63"/>
        <v>0</v>
      </c>
      <c r="AJ81" s="124"/>
      <c r="AK81" s="29">
        <v>500</v>
      </c>
      <c r="AL81" s="124">
        <f t="shared" si="64"/>
        <v>0.00204301778242678</v>
      </c>
      <c r="AM81" s="29">
        <f t="shared" si="65"/>
        <v>500</v>
      </c>
      <c r="AN81" s="124">
        <f t="shared" si="64"/>
        <v>0.00204301778242678</v>
      </c>
      <c r="AO81" s="29">
        <f t="shared" si="66"/>
        <v>500</v>
      </c>
      <c r="AP81" s="124">
        <f t="shared" si="40"/>
        <v>0.00204301778242678</v>
      </c>
      <c r="AS81" s="29">
        <v>100</v>
      </c>
      <c r="AT81" s="124">
        <f t="shared" si="48"/>
        <v>0.000792933377737602</v>
      </c>
      <c r="AU81" s="29">
        <f t="shared" si="49"/>
        <v>100</v>
      </c>
      <c r="AV81" s="124">
        <f t="shared" si="67"/>
        <v>0.000792933377737602</v>
      </c>
      <c r="AW81" s="29">
        <f t="shared" si="69"/>
        <v>100</v>
      </c>
      <c r="AX81" s="124">
        <f t="shared" si="68"/>
        <v>0.000792933377737602</v>
      </c>
    </row>
    <row r="82" spans="1:50">
      <c r="A82" s="89">
        <v>78</v>
      </c>
      <c r="B82" s="89" t="str">
        <f t="shared" si="50"/>
        <v>78,78</v>
      </c>
      <c r="C82" s="118" t="str">
        <f t="shared" si="42"/>
        <v>[[0,0],[1,1000],[2,0]]</v>
      </c>
      <c r="D82" s="118" t="str">
        <f t="shared" si="51"/>
        <v>[[0,1000],[1,1000],[2,1000]]</v>
      </c>
      <c r="E82" s="118" t="str">
        <f t="shared" si="52"/>
        <v>780,789</v>
      </c>
      <c r="F82" s="118" t="str">
        <f t="shared" si="53"/>
        <v>[[0,0]]</v>
      </c>
      <c r="G82" s="118" t="str">
        <f t="shared" si="43"/>
        <v>[[0,500],[1,500],[2,500]]</v>
      </c>
      <c r="H82" s="118" t="str">
        <f t="shared" si="44"/>
        <v>[[0,100],[1,100],[2,100]]</v>
      </c>
      <c r="O82" s="89">
        <v>78</v>
      </c>
      <c r="P82" s="29">
        <v>0</v>
      </c>
      <c r="Q82" s="124">
        <f t="shared" si="54"/>
        <v>0</v>
      </c>
      <c r="R82" s="29">
        <v>1000</v>
      </c>
      <c r="S82" s="124">
        <f t="shared" si="55"/>
        <v>0.00352404278187937</v>
      </c>
      <c r="T82" s="29">
        <f t="shared" si="56"/>
        <v>0</v>
      </c>
      <c r="U82" s="124">
        <f t="shared" si="55"/>
        <v>0</v>
      </c>
      <c r="W82" s="29">
        <v>1000</v>
      </c>
      <c r="X82" s="124">
        <f t="shared" si="57"/>
        <v>0.00352404278187937</v>
      </c>
      <c r="Y82" s="29">
        <v>1000</v>
      </c>
      <c r="Z82" s="124">
        <f t="shared" si="58"/>
        <v>0.00352404278187937</v>
      </c>
      <c r="AA82" s="29">
        <f t="shared" si="59"/>
        <v>1000</v>
      </c>
      <c r="AB82" s="124">
        <f t="shared" si="60"/>
        <v>0.00352404278187937</v>
      </c>
      <c r="AE82" s="30">
        <f t="shared" si="47"/>
        <v>780</v>
      </c>
      <c r="AF82" s="30">
        <f t="shared" si="61"/>
        <v>789</v>
      </c>
      <c r="AG82" s="30">
        <f t="shared" si="62"/>
        <v>784.5</v>
      </c>
      <c r="AH82" s="29">
        <v>0</v>
      </c>
      <c r="AI82" s="124">
        <f t="shared" si="63"/>
        <v>0</v>
      </c>
      <c r="AJ82" s="124"/>
      <c r="AK82" s="29">
        <v>500</v>
      </c>
      <c r="AL82" s="124">
        <f t="shared" si="64"/>
        <v>0.00204301778242678</v>
      </c>
      <c r="AM82" s="29">
        <f t="shared" si="65"/>
        <v>500</v>
      </c>
      <c r="AN82" s="124">
        <f t="shared" si="64"/>
        <v>0.00204301778242678</v>
      </c>
      <c r="AO82" s="29">
        <f t="shared" si="66"/>
        <v>500</v>
      </c>
      <c r="AP82" s="124">
        <f t="shared" si="40"/>
        <v>0.00204301778242678</v>
      </c>
      <c r="AS82" s="29">
        <v>100</v>
      </c>
      <c r="AT82" s="124">
        <f t="shared" si="48"/>
        <v>0.000792933377737602</v>
      </c>
      <c r="AU82" s="29">
        <f t="shared" si="49"/>
        <v>100</v>
      </c>
      <c r="AV82" s="124">
        <f t="shared" si="67"/>
        <v>0.000792933377737602</v>
      </c>
      <c r="AW82" s="29">
        <f t="shared" si="69"/>
        <v>100</v>
      </c>
      <c r="AX82" s="124">
        <f t="shared" si="68"/>
        <v>0.000792933377737602</v>
      </c>
    </row>
    <row r="83" spans="1:50">
      <c r="A83" s="89">
        <v>79</v>
      </c>
      <c r="B83" s="89" t="str">
        <f t="shared" si="50"/>
        <v>79,79</v>
      </c>
      <c r="C83" s="118" t="str">
        <f t="shared" si="42"/>
        <v>[[0,0],[1,1000],[2,0]]</v>
      </c>
      <c r="D83" s="118" t="str">
        <f t="shared" si="51"/>
        <v>[[0,1000],[1,1000],[2,1000]]</v>
      </c>
      <c r="E83" s="118" t="str">
        <f t="shared" si="52"/>
        <v>790,799</v>
      </c>
      <c r="F83" s="118" t="str">
        <f t="shared" si="53"/>
        <v>[[0,0]]</v>
      </c>
      <c r="G83" s="118" t="str">
        <f t="shared" si="43"/>
        <v>[[0,500],[1,500],[2,500]]</v>
      </c>
      <c r="H83" s="118" t="str">
        <f t="shared" si="44"/>
        <v>[[0,100],[1,100],[2,100]]</v>
      </c>
      <c r="O83" s="89">
        <v>79</v>
      </c>
      <c r="P83" s="29">
        <v>0</v>
      </c>
      <c r="Q83" s="124">
        <f t="shared" si="54"/>
        <v>0</v>
      </c>
      <c r="R83" s="29">
        <v>1000</v>
      </c>
      <c r="S83" s="124">
        <f t="shared" si="55"/>
        <v>0.00352404278187937</v>
      </c>
      <c r="T83" s="29">
        <f t="shared" si="56"/>
        <v>0</v>
      </c>
      <c r="U83" s="124">
        <f t="shared" si="55"/>
        <v>0</v>
      </c>
      <c r="W83" s="29">
        <v>1000</v>
      </c>
      <c r="X83" s="124">
        <f t="shared" si="57"/>
        <v>0.00352404278187937</v>
      </c>
      <c r="Y83" s="29">
        <v>1000</v>
      </c>
      <c r="Z83" s="124">
        <f t="shared" si="58"/>
        <v>0.00352404278187937</v>
      </c>
      <c r="AA83" s="29">
        <f t="shared" si="59"/>
        <v>1000</v>
      </c>
      <c r="AB83" s="124">
        <f t="shared" si="60"/>
        <v>0.00352404278187937</v>
      </c>
      <c r="AE83" s="30">
        <f t="shared" si="47"/>
        <v>790</v>
      </c>
      <c r="AF83" s="30">
        <f t="shared" si="61"/>
        <v>799</v>
      </c>
      <c r="AG83" s="30">
        <f t="shared" si="62"/>
        <v>794.5</v>
      </c>
      <c r="AH83" s="29">
        <v>0</v>
      </c>
      <c r="AI83" s="124">
        <f t="shared" si="63"/>
        <v>0</v>
      </c>
      <c r="AJ83" s="124"/>
      <c r="AK83" s="29">
        <v>500</v>
      </c>
      <c r="AL83" s="124">
        <f t="shared" si="64"/>
        <v>0.00204301778242678</v>
      </c>
      <c r="AM83" s="29">
        <f t="shared" si="65"/>
        <v>500</v>
      </c>
      <c r="AN83" s="124">
        <f t="shared" si="64"/>
        <v>0.00204301778242678</v>
      </c>
      <c r="AO83" s="29">
        <f t="shared" si="66"/>
        <v>500</v>
      </c>
      <c r="AP83" s="124">
        <f t="shared" si="40"/>
        <v>0.00204301778242678</v>
      </c>
      <c r="AS83" s="29">
        <v>100</v>
      </c>
      <c r="AT83" s="124">
        <f t="shared" si="48"/>
        <v>0.000792933377737602</v>
      </c>
      <c r="AU83" s="29">
        <f t="shared" si="49"/>
        <v>100</v>
      </c>
      <c r="AV83" s="124">
        <f t="shared" si="67"/>
        <v>0.000792933377737602</v>
      </c>
      <c r="AW83" s="29">
        <f t="shared" si="69"/>
        <v>100</v>
      </c>
      <c r="AX83" s="124">
        <f t="shared" si="68"/>
        <v>0.000792933377737602</v>
      </c>
    </row>
    <row r="84" spans="1:50">
      <c r="A84" s="89">
        <v>80</v>
      </c>
      <c r="B84" s="89" t="str">
        <f t="shared" si="50"/>
        <v>80,80</v>
      </c>
      <c r="C84" s="118" t="str">
        <f t="shared" si="42"/>
        <v>[[0,0],[1,999],[2,0]]</v>
      </c>
      <c r="D84" s="118" t="str">
        <f t="shared" si="51"/>
        <v>[[0,999],[1,999],[2,999]]</v>
      </c>
      <c r="E84" s="118" t="str">
        <f t="shared" si="52"/>
        <v>800,809</v>
      </c>
      <c r="F84" s="118" t="str">
        <f t="shared" si="53"/>
        <v>[[0,0]]</v>
      </c>
      <c r="G84" s="118" t="str">
        <f t="shared" si="43"/>
        <v>[[0,500],[1,500],[2,500]]</v>
      </c>
      <c r="H84" s="118" t="str">
        <f t="shared" si="44"/>
        <v>[[0,100],[1,100],[2,100]]</v>
      </c>
      <c r="O84" s="89">
        <v>80</v>
      </c>
      <c r="P84" s="29">
        <v>0</v>
      </c>
      <c r="Q84" s="124">
        <f t="shared" si="54"/>
        <v>0</v>
      </c>
      <c r="R84" s="29">
        <v>999</v>
      </c>
      <c r="S84" s="124">
        <f t="shared" si="55"/>
        <v>0.00352051873909749</v>
      </c>
      <c r="T84" s="29">
        <f t="shared" si="56"/>
        <v>0</v>
      </c>
      <c r="U84" s="124">
        <f t="shared" si="55"/>
        <v>0</v>
      </c>
      <c r="W84" s="29">
        <v>999</v>
      </c>
      <c r="X84" s="124">
        <f t="shared" si="57"/>
        <v>0.00352051873909749</v>
      </c>
      <c r="Y84" s="29">
        <v>999</v>
      </c>
      <c r="Z84" s="124">
        <f t="shared" si="58"/>
        <v>0.00352051873909749</v>
      </c>
      <c r="AA84" s="29">
        <f t="shared" si="59"/>
        <v>999</v>
      </c>
      <c r="AB84" s="124">
        <f t="shared" si="60"/>
        <v>0.00352051873909749</v>
      </c>
      <c r="AE84" s="30">
        <f t="shared" si="47"/>
        <v>800</v>
      </c>
      <c r="AF84" s="30">
        <f t="shared" si="61"/>
        <v>809</v>
      </c>
      <c r="AG84" s="30">
        <f t="shared" si="62"/>
        <v>804.5</v>
      </c>
      <c r="AH84" s="29">
        <v>0</v>
      </c>
      <c r="AI84" s="124">
        <f t="shared" si="63"/>
        <v>0</v>
      </c>
      <c r="AJ84" s="124"/>
      <c r="AK84" s="29">
        <v>500</v>
      </c>
      <c r="AL84" s="124">
        <f t="shared" si="64"/>
        <v>0.00204301778242678</v>
      </c>
      <c r="AM84" s="29">
        <f t="shared" si="65"/>
        <v>500</v>
      </c>
      <c r="AN84" s="124">
        <f t="shared" si="64"/>
        <v>0.00204301778242678</v>
      </c>
      <c r="AO84" s="29">
        <f t="shared" si="66"/>
        <v>500</v>
      </c>
      <c r="AP84" s="124">
        <f t="shared" si="40"/>
        <v>0.00204301778242678</v>
      </c>
      <c r="AS84" s="29">
        <v>100</v>
      </c>
      <c r="AT84" s="124">
        <f t="shared" si="48"/>
        <v>0.000792933377737602</v>
      </c>
      <c r="AU84" s="29">
        <f t="shared" si="49"/>
        <v>100</v>
      </c>
      <c r="AV84" s="124">
        <f t="shared" si="67"/>
        <v>0.000792933377737602</v>
      </c>
      <c r="AW84" s="29">
        <f t="shared" si="69"/>
        <v>100</v>
      </c>
      <c r="AX84" s="124">
        <f t="shared" si="68"/>
        <v>0.000792933377737602</v>
      </c>
    </row>
    <row r="85" spans="1:50">
      <c r="A85" s="89">
        <v>81</v>
      </c>
      <c r="B85" s="89" t="str">
        <f t="shared" si="50"/>
        <v>81,81</v>
      </c>
      <c r="C85" s="118" t="str">
        <f t="shared" si="42"/>
        <v>[[0,0],[1,913],[2,0]]</v>
      </c>
      <c r="D85" s="118" t="str">
        <f t="shared" si="51"/>
        <v>[[0,913],[1,913],[2,913]]</v>
      </c>
      <c r="E85" s="118" t="str">
        <f t="shared" si="52"/>
        <v>810,819</v>
      </c>
      <c r="F85" s="118" t="str">
        <f t="shared" si="53"/>
        <v>[[0,0]]</v>
      </c>
      <c r="G85" s="118" t="str">
        <f t="shared" si="43"/>
        <v>[[0,400],[1,400],[2,400]]</v>
      </c>
      <c r="H85" s="118" t="str">
        <f t="shared" si="44"/>
        <v>[[0,100],[1,100],[2,100]]</v>
      </c>
      <c r="O85" s="89">
        <v>81</v>
      </c>
      <c r="P85" s="29">
        <v>0</v>
      </c>
      <c r="Q85" s="124">
        <f t="shared" si="54"/>
        <v>0</v>
      </c>
      <c r="R85" s="29">
        <v>913</v>
      </c>
      <c r="S85" s="124">
        <f t="shared" si="55"/>
        <v>0.00321745105985587</v>
      </c>
      <c r="T85" s="29">
        <f t="shared" si="56"/>
        <v>0</v>
      </c>
      <c r="U85" s="124">
        <f t="shared" si="55"/>
        <v>0</v>
      </c>
      <c r="W85" s="29">
        <v>913</v>
      </c>
      <c r="X85" s="124">
        <f t="shared" si="57"/>
        <v>0.00321745105985587</v>
      </c>
      <c r="Y85" s="29">
        <v>913</v>
      </c>
      <c r="Z85" s="124">
        <f t="shared" si="58"/>
        <v>0.00321745105985587</v>
      </c>
      <c r="AA85" s="29">
        <f t="shared" si="59"/>
        <v>913</v>
      </c>
      <c r="AB85" s="124">
        <f t="shared" si="60"/>
        <v>0.00321745105985587</v>
      </c>
      <c r="AE85" s="30">
        <f t="shared" si="47"/>
        <v>810</v>
      </c>
      <c r="AF85" s="30">
        <f t="shared" si="61"/>
        <v>819</v>
      </c>
      <c r="AG85" s="30">
        <f t="shared" si="62"/>
        <v>814.5</v>
      </c>
      <c r="AH85" s="29">
        <v>0</v>
      </c>
      <c r="AI85" s="124">
        <f t="shared" si="63"/>
        <v>0</v>
      </c>
      <c r="AJ85" s="124"/>
      <c r="AK85" s="29">
        <v>400</v>
      </c>
      <c r="AL85" s="124">
        <f t="shared" si="64"/>
        <v>0.00163441422594142</v>
      </c>
      <c r="AM85" s="29">
        <f t="shared" si="65"/>
        <v>400</v>
      </c>
      <c r="AN85" s="124">
        <f t="shared" si="64"/>
        <v>0.00163441422594142</v>
      </c>
      <c r="AO85" s="29">
        <f t="shared" si="66"/>
        <v>400</v>
      </c>
      <c r="AP85" s="124">
        <f t="shared" si="40"/>
        <v>0.00163441422594142</v>
      </c>
      <c r="AS85" s="29">
        <v>100</v>
      </c>
      <c r="AT85" s="124">
        <f t="shared" si="48"/>
        <v>0.000792933377737602</v>
      </c>
      <c r="AU85" s="29">
        <f t="shared" si="49"/>
        <v>100</v>
      </c>
      <c r="AV85" s="124">
        <f t="shared" si="67"/>
        <v>0.000792933377737602</v>
      </c>
      <c r="AW85" s="29">
        <f t="shared" si="69"/>
        <v>100</v>
      </c>
      <c r="AX85" s="124">
        <f t="shared" si="68"/>
        <v>0.000792933377737602</v>
      </c>
    </row>
    <row r="86" spans="1:50">
      <c r="A86" s="89">
        <v>82</v>
      </c>
      <c r="B86" s="89" t="str">
        <f t="shared" si="50"/>
        <v>82,82</v>
      </c>
      <c r="C86" s="118" t="str">
        <f t="shared" si="42"/>
        <v>[[0,0],[1,900],[2,0]]</v>
      </c>
      <c r="D86" s="118" t="str">
        <f t="shared" si="51"/>
        <v>[[0,900],[1,900],[2,900]]</v>
      </c>
      <c r="E86" s="118" t="str">
        <f t="shared" si="52"/>
        <v>820,829</v>
      </c>
      <c r="F86" s="118" t="str">
        <f t="shared" si="53"/>
        <v>[[0,0]]</v>
      </c>
      <c r="G86" s="118" t="str">
        <f t="shared" si="43"/>
        <v>[[0,400],[1,400],[2,400]]</v>
      </c>
      <c r="H86" s="118" t="str">
        <f t="shared" si="44"/>
        <v>[[0,100],[1,100],[2,100]]</v>
      </c>
      <c r="O86" s="89">
        <v>82</v>
      </c>
      <c r="P86" s="29">
        <v>0</v>
      </c>
      <c r="Q86" s="124">
        <f t="shared" si="54"/>
        <v>0</v>
      </c>
      <c r="R86" s="29">
        <v>900</v>
      </c>
      <c r="S86" s="124">
        <f t="shared" si="55"/>
        <v>0.00317163850369143</v>
      </c>
      <c r="T86" s="29">
        <f t="shared" si="56"/>
        <v>0</v>
      </c>
      <c r="U86" s="124">
        <f t="shared" si="55"/>
        <v>0</v>
      </c>
      <c r="W86" s="29">
        <v>900</v>
      </c>
      <c r="X86" s="124">
        <f t="shared" si="57"/>
        <v>0.00317163850369143</v>
      </c>
      <c r="Y86" s="29">
        <v>900</v>
      </c>
      <c r="Z86" s="124">
        <f t="shared" si="58"/>
        <v>0.00317163850369143</v>
      </c>
      <c r="AA86" s="29">
        <f t="shared" si="59"/>
        <v>900</v>
      </c>
      <c r="AB86" s="124">
        <f t="shared" si="60"/>
        <v>0.00317163850369143</v>
      </c>
      <c r="AE86" s="30">
        <f t="shared" si="47"/>
        <v>820</v>
      </c>
      <c r="AF86" s="30">
        <f t="shared" si="61"/>
        <v>829</v>
      </c>
      <c r="AG86" s="30">
        <f t="shared" si="62"/>
        <v>824.5</v>
      </c>
      <c r="AH86" s="29">
        <v>0</v>
      </c>
      <c r="AI86" s="124">
        <f t="shared" si="63"/>
        <v>0</v>
      </c>
      <c r="AJ86" s="124"/>
      <c r="AK86" s="29">
        <v>400</v>
      </c>
      <c r="AL86" s="124">
        <f t="shared" si="64"/>
        <v>0.00163441422594142</v>
      </c>
      <c r="AM86" s="29">
        <f t="shared" si="65"/>
        <v>400</v>
      </c>
      <c r="AN86" s="124">
        <f t="shared" si="64"/>
        <v>0.00163441422594142</v>
      </c>
      <c r="AO86" s="29">
        <f t="shared" si="66"/>
        <v>400</v>
      </c>
      <c r="AP86" s="124">
        <f t="shared" si="40"/>
        <v>0.00163441422594142</v>
      </c>
      <c r="AS86" s="29">
        <v>100</v>
      </c>
      <c r="AT86" s="124">
        <f t="shared" si="48"/>
        <v>0.000792933377737602</v>
      </c>
      <c r="AU86" s="29">
        <f t="shared" si="49"/>
        <v>100</v>
      </c>
      <c r="AV86" s="124">
        <f t="shared" si="67"/>
        <v>0.000792933377737602</v>
      </c>
      <c r="AW86" s="29">
        <f t="shared" si="69"/>
        <v>100</v>
      </c>
      <c r="AX86" s="124">
        <f t="shared" si="68"/>
        <v>0.000792933377737602</v>
      </c>
    </row>
    <row r="87" spans="1:50">
      <c r="A87" s="89">
        <v>83</v>
      </c>
      <c r="B87" s="89" t="str">
        <f t="shared" si="50"/>
        <v>83,83</v>
      </c>
      <c r="C87" s="118" t="str">
        <f t="shared" si="42"/>
        <v>[[0,0],[1,900],[2,0]]</v>
      </c>
      <c r="D87" s="118" t="str">
        <f t="shared" si="51"/>
        <v>[[0,900],[1,900],[2,900]]</v>
      </c>
      <c r="E87" s="118" t="str">
        <f t="shared" si="52"/>
        <v>830,839</v>
      </c>
      <c r="F87" s="118" t="str">
        <f t="shared" si="53"/>
        <v>[[0,0]]</v>
      </c>
      <c r="G87" s="118" t="str">
        <f t="shared" si="43"/>
        <v>[[0,400],[1,400],[2,400]]</v>
      </c>
      <c r="H87" s="118" t="str">
        <f t="shared" si="44"/>
        <v>[[0,100],[1,100],[2,100]]</v>
      </c>
      <c r="O87" s="89">
        <v>83</v>
      </c>
      <c r="P87" s="29">
        <v>0</v>
      </c>
      <c r="Q87" s="124">
        <f t="shared" si="54"/>
        <v>0</v>
      </c>
      <c r="R87" s="29">
        <v>900</v>
      </c>
      <c r="S87" s="124">
        <f t="shared" si="55"/>
        <v>0.00317163850369143</v>
      </c>
      <c r="T87" s="29">
        <f t="shared" si="56"/>
        <v>0</v>
      </c>
      <c r="U87" s="124">
        <f t="shared" si="55"/>
        <v>0</v>
      </c>
      <c r="W87" s="29">
        <v>900</v>
      </c>
      <c r="X87" s="124">
        <f t="shared" si="57"/>
        <v>0.00317163850369143</v>
      </c>
      <c r="Y87" s="29">
        <v>900</v>
      </c>
      <c r="Z87" s="124">
        <f t="shared" si="58"/>
        <v>0.00317163850369143</v>
      </c>
      <c r="AA87" s="29">
        <f t="shared" si="59"/>
        <v>900</v>
      </c>
      <c r="AB87" s="124">
        <f t="shared" si="60"/>
        <v>0.00317163850369143</v>
      </c>
      <c r="AE87" s="30">
        <f t="shared" si="47"/>
        <v>830</v>
      </c>
      <c r="AF87" s="30">
        <f t="shared" si="61"/>
        <v>839</v>
      </c>
      <c r="AG87" s="30">
        <f t="shared" si="62"/>
        <v>834.5</v>
      </c>
      <c r="AH87" s="29">
        <v>0</v>
      </c>
      <c r="AI87" s="124">
        <f t="shared" si="63"/>
        <v>0</v>
      </c>
      <c r="AJ87" s="124"/>
      <c r="AK87" s="29">
        <v>400</v>
      </c>
      <c r="AL87" s="124">
        <f t="shared" si="64"/>
        <v>0.00163441422594142</v>
      </c>
      <c r="AM87" s="29">
        <f t="shared" si="65"/>
        <v>400</v>
      </c>
      <c r="AN87" s="124">
        <f t="shared" si="64"/>
        <v>0.00163441422594142</v>
      </c>
      <c r="AO87" s="29">
        <f t="shared" si="66"/>
        <v>400</v>
      </c>
      <c r="AP87" s="124">
        <f t="shared" si="40"/>
        <v>0.00163441422594142</v>
      </c>
      <c r="AS87" s="29">
        <v>100</v>
      </c>
      <c r="AT87" s="124">
        <f t="shared" si="48"/>
        <v>0.000792933377737602</v>
      </c>
      <c r="AU87" s="29">
        <f t="shared" si="49"/>
        <v>100</v>
      </c>
      <c r="AV87" s="124">
        <f t="shared" si="67"/>
        <v>0.000792933377737602</v>
      </c>
      <c r="AW87" s="29">
        <f t="shared" si="69"/>
        <v>100</v>
      </c>
      <c r="AX87" s="124">
        <f t="shared" si="68"/>
        <v>0.000792933377737602</v>
      </c>
    </row>
    <row r="88" spans="1:50">
      <c r="A88" s="89">
        <v>84</v>
      </c>
      <c r="B88" s="89" t="str">
        <f t="shared" si="50"/>
        <v>84,84</v>
      </c>
      <c r="C88" s="118" t="str">
        <f t="shared" si="42"/>
        <v>[[0,0],[1,900],[2,0]]</v>
      </c>
      <c r="D88" s="118" t="str">
        <f t="shared" si="51"/>
        <v>[[0,900],[1,900],[2,900]]</v>
      </c>
      <c r="E88" s="118" t="str">
        <f t="shared" si="52"/>
        <v>840,849</v>
      </c>
      <c r="F88" s="118" t="str">
        <f t="shared" si="53"/>
        <v>[[0,0]]</v>
      </c>
      <c r="G88" s="118" t="str">
        <f t="shared" si="43"/>
        <v>[[0,400],[1,400],[2,400]]</v>
      </c>
      <c r="H88" s="118" t="str">
        <f t="shared" si="44"/>
        <v>[[0,100],[1,100],[2,100]]</v>
      </c>
      <c r="O88" s="89">
        <v>84</v>
      </c>
      <c r="P88" s="29">
        <v>0</v>
      </c>
      <c r="Q88" s="124">
        <f t="shared" si="54"/>
        <v>0</v>
      </c>
      <c r="R88" s="29">
        <v>900</v>
      </c>
      <c r="S88" s="124">
        <f t="shared" si="55"/>
        <v>0.00317163850369143</v>
      </c>
      <c r="T88" s="29">
        <f t="shared" si="56"/>
        <v>0</v>
      </c>
      <c r="U88" s="124">
        <f t="shared" si="55"/>
        <v>0</v>
      </c>
      <c r="W88" s="29">
        <v>900</v>
      </c>
      <c r="X88" s="124">
        <f t="shared" si="57"/>
        <v>0.00317163850369143</v>
      </c>
      <c r="Y88" s="29">
        <v>900</v>
      </c>
      <c r="Z88" s="124">
        <f t="shared" si="58"/>
        <v>0.00317163850369143</v>
      </c>
      <c r="AA88" s="29">
        <f t="shared" si="59"/>
        <v>900</v>
      </c>
      <c r="AB88" s="124">
        <f t="shared" si="60"/>
        <v>0.00317163850369143</v>
      </c>
      <c r="AE88" s="30">
        <f t="shared" si="47"/>
        <v>840</v>
      </c>
      <c r="AF88" s="30">
        <f t="shared" si="61"/>
        <v>849</v>
      </c>
      <c r="AG88" s="30">
        <f t="shared" si="62"/>
        <v>844.5</v>
      </c>
      <c r="AH88" s="29">
        <v>0</v>
      </c>
      <c r="AI88" s="124">
        <f t="shared" si="63"/>
        <v>0</v>
      </c>
      <c r="AJ88" s="124"/>
      <c r="AK88" s="29">
        <v>400</v>
      </c>
      <c r="AL88" s="124">
        <f t="shared" si="64"/>
        <v>0.00163441422594142</v>
      </c>
      <c r="AM88" s="29">
        <f t="shared" si="65"/>
        <v>400</v>
      </c>
      <c r="AN88" s="124">
        <f t="shared" si="64"/>
        <v>0.00163441422594142</v>
      </c>
      <c r="AO88" s="29">
        <f t="shared" si="66"/>
        <v>400</v>
      </c>
      <c r="AP88" s="124">
        <f t="shared" si="40"/>
        <v>0.00163441422594142</v>
      </c>
      <c r="AS88" s="29">
        <v>100</v>
      </c>
      <c r="AT88" s="124">
        <f t="shared" si="48"/>
        <v>0.000792933377737602</v>
      </c>
      <c r="AU88" s="29">
        <f t="shared" si="49"/>
        <v>100</v>
      </c>
      <c r="AV88" s="124">
        <f t="shared" si="67"/>
        <v>0.000792933377737602</v>
      </c>
      <c r="AW88" s="29">
        <f t="shared" si="69"/>
        <v>100</v>
      </c>
      <c r="AX88" s="124">
        <f t="shared" si="68"/>
        <v>0.000792933377737602</v>
      </c>
    </row>
    <row r="89" spans="1:50">
      <c r="A89" s="89">
        <v>85</v>
      </c>
      <c r="B89" s="89" t="str">
        <f t="shared" si="50"/>
        <v>85,85</v>
      </c>
      <c r="C89" s="118" t="str">
        <f t="shared" si="42"/>
        <v>[[0,0],[1,900],[2,0]]</v>
      </c>
      <c r="D89" s="118" t="str">
        <f t="shared" si="51"/>
        <v>[[0,900],[1,900],[2,900]]</v>
      </c>
      <c r="E89" s="118" t="str">
        <f t="shared" si="52"/>
        <v>850,859</v>
      </c>
      <c r="F89" s="118" t="str">
        <f t="shared" si="53"/>
        <v>[[0,0]]</v>
      </c>
      <c r="G89" s="118" t="str">
        <f t="shared" si="43"/>
        <v>[[0,400],[1,400],[2,400]]</v>
      </c>
      <c r="H89" s="118" t="str">
        <f t="shared" si="44"/>
        <v>[[0,100],[1,100],[2,100]]</v>
      </c>
      <c r="O89" s="89">
        <v>85</v>
      </c>
      <c r="P89" s="29">
        <v>0</v>
      </c>
      <c r="Q89" s="124">
        <f t="shared" si="54"/>
        <v>0</v>
      </c>
      <c r="R89" s="29">
        <v>900</v>
      </c>
      <c r="S89" s="124">
        <f t="shared" si="55"/>
        <v>0.00317163850369143</v>
      </c>
      <c r="T89" s="29">
        <f t="shared" si="56"/>
        <v>0</v>
      </c>
      <c r="U89" s="124">
        <f t="shared" si="55"/>
        <v>0</v>
      </c>
      <c r="W89" s="29">
        <v>900</v>
      </c>
      <c r="X89" s="124">
        <f t="shared" si="57"/>
        <v>0.00317163850369143</v>
      </c>
      <c r="Y89" s="29">
        <v>900</v>
      </c>
      <c r="Z89" s="124">
        <f t="shared" si="58"/>
        <v>0.00317163850369143</v>
      </c>
      <c r="AA89" s="29">
        <f t="shared" si="59"/>
        <v>900</v>
      </c>
      <c r="AB89" s="124">
        <f t="shared" si="60"/>
        <v>0.00317163850369143</v>
      </c>
      <c r="AE89" s="30">
        <f t="shared" si="47"/>
        <v>850</v>
      </c>
      <c r="AF89" s="30">
        <f t="shared" si="61"/>
        <v>859</v>
      </c>
      <c r="AG89" s="30">
        <f t="shared" si="62"/>
        <v>854.5</v>
      </c>
      <c r="AH89" s="29">
        <v>0</v>
      </c>
      <c r="AI89" s="124">
        <f t="shared" si="63"/>
        <v>0</v>
      </c>
      <c r="AJ89" s="124"/>
      <c r="AK89" s="29">
        <v>400</v>
      </c>
      <c r="AL89" s="124">
        <f t="shared" si="64"/>
        <v>0.00163441422594142</v>
      </c>
      <c r="AM89" s="29">
        <f t="shared" si="65"/>
        <v>400</v>
      </c>
      <c r="AN89" s="124">
        <f t="shared" si="64"/>
        <v>0.00163441422594142</v>
      </c>
      <c r="AO89" s="29">
        <f t="shared" si="66"/>
        <v>400</v>
      </c>
      <c r="AP89" s="124">
        <f t="shared" si="40"/>
        <v>0.00163441422594142</v>
      </c>
      <c r="AS89" s="29">
        <v>100</v>
      </c>
      <c r="AT89" s="124">
        <f t="shared" si="48"/>
        <v>0.000792933377737602</v>
      </c>
      <c r="AU89" s="29">
        <f t="shared" si="49"/>
        <v>100</v>
      </c>
      <c r="AV89" s="124">
        <f t="shared" si="67"/>
        <v>0.000792933377737602</v>
      </c>
      <c r="AW89" s="29">
        <f t="shared" si="69"/>
        <v>100</v>
      </c>
      <c r="AX89" s="124">
        <f t="shared" si="68"/>
        <v>0.000792933377737602</v>
      </c>
    </row>
    <row r="90" spans="1:50">
      <c r="A90" s="89">
        <v>86</v>
      </c>
      <c r="B90" s="89" t="str">
        <f t="shared" si="50"/>
        <v>86,86</v>
      </c>
      <c r="C90" s="118" t="str">
        <f t="shared" si="42"/>
        <v>[[0,0],[1,800],[2,0]]</v>
      </c>
      <c r="D90" s="118" t="str">
        <f t="shared" si="51"/>
        <v>[[0,800],[1,800],[2,800]]</v>
      </c>
      <c r="E90" s="118" t="str">
        <f t="shared" si="52"/>
        <v>860,869</v>
      </c>
      <c r="F90" s="118" t="str">
        <f t="shared" si="53"/>
        <v>[[0,0]]</v>
      </c>
      <c r="G90" s="118" t="str">
        <f t="shared" si="43"/>
        <v>[[0,300],[1,300],[2,300]]</v>
      </c>
      <c r="H90" s="118" t="str">
        <f t="shared" si="44"/>
        <v>[[0,100],[1,100],[2,100]]</v>
      </c>
      <c r="O90" s="89">
        <v>86</v>
      </c>
      <c r="P90" s="29">
        <v>0</v>
      </c>
      <c r="Q90" s="124">
        <f t="shared" si="54"/>
        <v>0</v>
      </c>
      <c r="R90" s="29">
        <v>800</v>
      </c>
      <c r="S90" s="124">
        <f t="shared" si="55"/>
        <v>0.0028192342255035</v>
      </c>
      <c r="T90" s="29">
        <f t="shared" si="56"/>
        <v>0</v>
      </c>
      <c r="U90" s="124">
        <f t="shared" si="55"/>
        <v>0</v>
      </c>
      <c r="W90" s="29">
        <v>800</v>
      </c>
      <c r="X90" s="124">
        <f t="shared" si="57"/>
        <v>0.0028192342255035</v>
      </c>
      <c r="Y90" s="29">
        <v>800</v>
      </c>
      <c r="Z90" s="124">
        <f t="shared" si="58"/>
        <v>0.0028192342255035</v>
      </c>
      <c r="AA90" s="29">
        <f t="shared" si="59"/>
        <v>800</v>
      </c>
      <c r="AB90" s="124">
        <f t="shared" si="60"/>
        <v>0.0028192342255035</v>
      </c>
      <c r="AE90" s="30">
        <f t="shared" si="47"/>
        <v>860</v>
      </c>
      <c r="AF90" s="30">
        <f t="shared" si="61"/>
        <v>869</v>
      </c>
      <c r="AG90" s="30">
        <f t="shared" si="62"/>
        <v>864.5</v>
      </c>
      <c r="AH90" s="29">
        <v>0</v>
      </c>
      <c r="AI90" s="124">
        <f t="shared" si="63"/>
        <v>0</v>
      </c>
      <c r="AJ90" s="124"/>
      <c r="AK90" s="29">
        <v>300</v>
      </c>
      <c r="AL90" s="124">
        <f t="shared" si="64"/>
        <v>0.00122581066945607</v>
      </c>
      <c r="AM90" s="29">
        <f t="shared" si="65"/>
        <v>300</v>
      </c>
      <c r="AN90" s="124">
        <f t="shared" si="64"/>
        <v>0.00122581066945607</v>
      </c>
      <c r="AO90" s="29">
        <f t="shared" si="66"/>
        <v>300</v>
      </c>
      <c r="AP90" s="124">
        <f t="shared" si="40"/>
        <v>0.00122581066945607</v>
      </c>
      <c r="AS90" s="29">
        <v>100</v>
      </c>
      <c r="AT90" s="124">
        <f t="shared" si="48"/>
        <v>0.000792933377737602</v>
      </c>
      <c r="AU90" s="29">
        <f t="shared" si="49"/>
        <v>100</v>
      </c>
      <c r="AV90" s="124">
        <f t="shared" si="67"/>
        <v>0.000792933377737602</v>
      </c>
      <c r="AW90" s="29">
        <f t="shared" si="69"/>
        <v>100</v>
      </c>
      <c r="AX90" s="124">
        <f t="shared" si="68"/>
        <v>0.000792933377737602</v>
      </c>
    </row>
    <row r="91" spans="1:50">
      <c r="A91" s="89">
        <v>87</v>
      </c>
      <c r="B91" s="89" t="str">
        <f t="shared" si="50"/>
        <v>87,87</v>
      </c>
      <c r="C91" s="118" t="str">
        <f t="shared" si="42"/>
        <v>[[0,0],[1,800],[2,0]]</v>
      </c>
      <c r="D91" s="118" t="str">
        <f t="shared" si="51"/>
        <v>[[0,800],[1,800],[2,800]]</v>
      </c>
      <c r="E91" s="118" t="str">
        <f t="shared" si="52"/>
        <v>870,879</v>
      </c>
      <c r="F91" s="118" t="str">
        <f t="shared" si="53"/>
        <v>[[0,0]]</v>
      </c>
      <c r="G91" s="118" t="str">
        <f t="shared" si="43"/>
        <v>[[0,300],[1,300],[2,300]]</v>
      </c>
      <c r="H91" s="118" t="str">
        <f t="shared" si="44"/>
        <v>[[0,100],[1,100],[2,100]]</v>
      </c>
      <c r="O91" s="89">
        <v>87</v>
      </c>
      <c r="P91" s="29">
        <v>0</v>
      </c>
      <c r="Q91" s="124">
        <f t="shared" si="54"/>
        <v>0</v>
      </c>
      <c r="R91" s="29">
        <v>800</v>
      </c>
      <c r="S91" s="124">
        <f t="shared" si="55"/>
        <v>0.0028192342255035</v>
      </c>
      <c r="T91" s="29">
        <f t="shared" si="56"/>
        <v>0</v>
      </c>
      <c r="U91" s="124">
        <f t="shared" si="55"/>
        <v>0</v>
      </c>
      <c r="W91" s="29">
        <v>800</v>
      </c>
      <c r="X91" s="124">
        <f t="shared" si="57"/>
        <v>0.0028192342255035</v>
      </c>
      <c r="Y91" s="29">
        <v>800</v>
      </c>
      <c r="Z91" s="124">
        <f t="shared" si="58"/>
        <v>0.0028192342255035</v>
      </c>
      <c r="AA91" s="29">
        <f t="shared" si="59"/>
        <v>800</v>
      </c>
      <c r="AB91" s="124">
        <f t="shared" si="60"/>
        <v>0.0028192342255035</v>
      </c>
      <c r="AE91" s="30">
        <f t="shared" si="47"/>
        <v>870</v>
      </c>
      <c r="AF91" s="30">
        <f t="shared" si="61"/>
        <v>879</v>
      </c>
      <c r="AG91" s="30">
        <f t="shared" si="62"/>
        <v>874.5</v>
      </c>
      <c r="AH91" s="29">
        <v>0</v>
      </c>
      <c r="AI91" s="124">
        <f t="shared" si="63"/>
        <v>0</v>
      </c>
      <c r="AJ91" s="124"/>
      <c r="AK91" s="29">
        <v>300</v>
      </c>
      <c r="AL91" s="124">
        <f t="shared" si="64"/>
        <v>0.00122581066945607</v>
      </c>
      <c r="AM91" s="29">
        <f t="shared" si="65"/>
        <v>300</v>
      </c>
      <c r="AN91" s="124">
        <f t="shared" si="64"/>
        <v>0.00122581066945607</v>
      </c>
      <c r="AO91" s="29">
        <f t="shared" si="66"/>
        <v>300</v>
      </c>
      <c r="AP91" s="124">
        <f t="shared" si="40"/>
        <v>0.00122581066945607</v>
      </c>
      <c r="AS91" s="29">
        <v>100</v>
      </c>
      <c r="AT91" s="124">
        <f t="shared" si="48"/>
        <v>0.000792933377737602</v>
      </c>
      <c r="AU91" s="29">
        <f t="shared" si="49"/>
        <v>100</v>
      </c>
      <c r="AV91" s="124">
        <f t="shared" si="67"/>
        <v>0.000792933377737602</v>
      </c>
      <c r="AW91" s="29">
        <f t="shared" si="69"/>
        <v>100</v>
      </c>
      <c r="AX91" s="124">
        <f t="shared" si="68"/>
        <v>0.000792933377737602</v>
      </c>
    </row>
    <row r="92" spans="1:50">
      <c r="A92" s="89">
        <v>88</v>
      </c>
      <c r="B92" s="89" t="str">
        <f t="shared" si="50"/>
        <v>88,88</v>
      </c>
      <c r="C92" s="118" t="str">
        <f t="shared" si="42"/>
        <v>[[0,0],[1,800],[2,0]]</v>
      </c>
      <c r="D92" s="118" t="str">
        <f t="shared" si="51"/>
        <v>[[0,800],[1,800],[2,800]]</v>
      </c>
      <c r="E92" s="118" t="str">
        <f t="shared" si="52"/>
        <v>880,889</v>
      </c>
      <c r="F92" s="118" t="str">
        <f t="shared" si="53"/>
        <v>[[0,0]]</v>
      </c>
      <c r="G92" s="118" t="str">
        <f t="shared" si="43"/>
        <v>[[0,300],[1,300],[2,300]]</v>
      </c>
      <c r="H92" s="118" t="str">
        <f t="shared" si="44"/>
        <v>[[0,100],[1,100],[2,100]]</v>
      </c>
      <c r="O92" s="89">
        <v>88</v>
      </c>
      <c r="P92" s="29">
        <v>0</v>
      </c>
      <c r="Q92" s="124">
        <f t="shared" si="54"/>
        <v>0</v>
      </c>
      <c r="R92" s="29">
        <v>800</v>
      </c>
      <c r="S92" s="124">
        <f t="shared" si="55"/>
        <v>0.0028192342255035</v>
      </c>
      <c r="T92" s="29">
        <f t="shared" si="56"/>
        <v>0</v>
      </c>
      <c r="U92" s="124">
        <f t="shared" si="55"/>
        <v>0</v>
      </c>
      <c r="W92" s="29">
        <v>800</v>
      </c>
      <c r="X92" s="124">
        <f t="shared" si="57"/>
        <v>0.0028192342255035</v>
      </c>
      <c r="Y92" s="29">
        <v>800</v>
      </c>
      <c r="Z92" s="124">
        <f t="shared" si="58"/>
        <v>0.0028192342255035</v>
      </c>
      <c r="AA92" s="29">
        <f t="shared" si="59"/>
        <v>800</v>
      </c>
      <c r="AB92" s="124">
        <f t="shared" si="60"/>
        <v>0.0028192342255035</v>
      </c>
      <c r="AE92" s="30">
        <f t="shared" si="47"/>
        <v>880</v>
      </c>
      <c r="AF92" s="30">
        <f t="shared" si="61"/>
        <v>889</v>
      </c>
      <c r="AG92" s="30">
        <f t="shared" si="62"/>
        <v>884.5</v>
      </c>
      <c r="AH92" s="29">
        <v>0</v>
      </c>
      <c r="AI92" s="124">
        <f t="shared" si="63"/>
        <v>0</v>
      </c>
      <c r="AJ92" s="124"/>
      <c r="AK92" s="29">
        <v>300</v>
      </c>
      <c r="AL92" s="124">
        <f t="shared" si="64"/>
        <v>0.00122581066945607</v>
      </c>
      <c r="AM92" s="29">
        <f t="shared" si="65"/>
        <v>300</v>
      </c>
      <c r="AN92" s="124">
        <f t="shared" si="64"/>
        <v>0.00122581066945607</v>
      </c>
      <c r="AO92" s="29">
        <f t="shared" si="66"/>
        <v>300</v>
      </c>
      <c r="AP92" s="124">
        <f t="shared" si="40"/>
        <v>0.00122581066945607</v>
      </c>
      <c r="AS92" s="29">
        <v>100</v>
      </c>
      <c r="AT92" s="124">
        <f t="shared" si="48"/>
        <v>0.000792933377737602</v>
      </c>
      <c r="AU92" s="29">
        <f t="shared" si="49"/>
        <v>100</v>
      </c>
      <c r="AV92" s="124">
        <f t="shared" si="67"/>
        <v>0.000792933377737602</v>
      </c>
      <c r="AW92" s="29">
        <f t="shared" si="69"/>
        <v>100</v>
      </c>
      <c r="AX92" s="124">
        <f t="shared" si="68"/>
        <v>0.000792933377737602</v>
      </c>
    </row>
    <row r="93" spans="1:50">
      <c r="A93" s="89">
        <v>89</v>
      </c>
      <c r="B93" s="89" t="str">
        <f t="shared" si="50"/>
        <v>89,89</v>
      </c>
      <c r="C93" s="118" t="str">
        <f t="shared" si="42"/>
        <v>[[0,0],[1,800],[2,0]]</v>
      </c>
      <c r="D93" s="118" t="str">
        <f t="shared" si="51"/>
        <v>[[0,800],[1,800],[2,800]]</v>
      </c>
      <c r="E93" s="118" t="str">
        <f t="shared" si="52"/>
        <v>890,899</v>
      </c>
      <c r="F93" s="118" t="str">
        <f t="shared" si="53"/>
        <v>[[0,0]]</v>
      </c>
      <c r="G93" s="118" t="str">
        <f t="shared" si="43"/>
        <v>[[0,300],[1,300],[2,300]]</v>
      </c>
      <c r="H93" s="118" t="str">
        <f t="shared" si="44"/>
        <v>[[0,100],[1,100],[2,100]]</v>
      </c>
      <c r="O93" s="89">
        <v>89</v>
      </c>
      <c r="P93" s="29">
        <v>0</v>
      </c>
      <c r="Q93" s="124">
        <f t="shared" si="54"/>
        <v>0</v>
      </c>
      <c r="R93" s="29">
        <v>800</v>
      </c>
      <c r="S93" s="124">
        <f t="shared" si="55"/>
        <v>0.0028192342255035</v>
      </c>
      <c r="T93" s="29">
        <f t="shared" si="56"/>
        <v>0</v>
      </c>
      <c r="U93" s="124">
        <f t="shared" si="55"/>
        <v>0</v>
      </c>
      <c r="W93" s="29">
        <v>800</v>
      </c>
      <c r="X93" s="124">
        <f t="shared" si="57"/>
        <v>0.0028192342255035</v>
      </c>
      <c r="Y93" s="29">
        <v>800</v>
      </c>
      <c r="Z93" s="124">
        <f t="shared" si="58"/>
        <v>0.0028192342255035</v>
      </c>
      <c r="AA93" s="29">
        <f t="shared" si="59"/>
        <v>800</v>
      </c>
      <c r="AB93" s="124">
        <f t="shared" si="60"/>
        <v>0.0028192342255035</v>
      </c>
      <c r="AE93" s="30">
        <f t="shared" si="47"/>
        <v>890</v>
      </c>
      <c r="AF93" s="30">
        <f t="shared" si="61"/>
        <v>899</v>
      </c>
      <c r="AG93" s="30">
        <f t="shared" si="62"/>
        <v>894.5</v>
      </c>
      <c r="AH93" s="29">
        <v>0</v>
      </c>
      <c r="AI93" s="124">
        <f t="shared" si="63"/>
        <v>0</v>
      </c>
      <c r="AJ93" s="124"/>
      <c r="AK93" s="29">
        <v>300</v>
      </c>
      <c r="AL93" s="124">
        <f t="shared" si="64"/>
        <v>0.00122581066945607</v>
      </c>
      <c r="AM93" s="29">
        <f t="shared" si="65"/>
        <v>300</v>
      </c>
      <c r="AN93" s="124">
        <f t="shared" si="64"/>
        <v>0.00122581066945607</v>
      </c>
      <c r="AO93" s="29">
        <f t="shared" si="66"/>
        <v>300</v>
      </c>
      <c r="AP93" s="124">
        <f t="shared" si="40"/>
        <v>0.00122581066945607</v>
      </c>
      <c r="AS93" s="29">
        <v>100</v>
      </c>
      <c r="AT93" s="124">
        <f t="shared" si="48"/>
        <v>0.000792933377737602</v>
      </c>
      <c r="AU93" s="29">
        <f t="shared" si="49"/>
        <v>100</v>
      </c>
      <c r="AV93" s="124">
        <f t="shared" si="67"/>
        <v>0.000792933377737602</v>
      </c>
      <c r="AW93" s="29">
        <f t="shared" si="69"/>
        <v>100</v>
      </c>
      <c r="AX93" s="124">
        <f t="shared" si="68"/>
        <v>0.000792933377737602</v>
      </c>
    </row>
    <row r="94" spans="1:50">
      <c r="A94" s="89">
        <v>90</v>
      </c>
      <c r="B94" s="89" t="str">
        <f t="shared" si="50"/>
        <v>90,90</v>
      </c>
      <c r="C94" s="118" t="str">
        <f t="shared" si="42"/>
        <v>[[0,0],[1,800],[2,0]]</v>
      </c>
      <c r="D94" s="118" t="str">
        <f t="shared" si="51"/>
        <v>[[0,800],[1,800],[2,800]]</v>
      </c>
      <c r="E94" s="118" t="str">
        <f t="shared" si="52"/>
        <v>900,909</v>
      </c>
      <c r="F94" s="118" t="str">
        <f t="shared" si="53"/>
        <v>[[0,0]]</v>
      </c>
      <c r="G94" s="118" t="str">
        <f t="shared" si="43"/>
        <v>[[0,300],[1,300],[2,300]]</v>
      </c>
      <c r="H94" s="118" t="str">
        <f t="shared" si="44"/>
        <v>[[0,100],[1,100],[2,100]]</v>
      </c>
      <c r="O94" s="89">
        <v>90</v>
      </c>
      <c r="P94" s="29">
        <v>0</v>
      </c>
      <c r="Q94" s="124">
        <f t="shared" si="54"/>
        <v>0</v>
      </c>
      <c r="R94" s="29">
        <v>800</v>
      </c>
      <c r="S94" s="124">
        <f t="shared" si="55"/>
        <v>0.0028192342255035</v>
      </c>
      <c r="T94" s="29">
        <f t="shared" si="56"/>
        <v>0</v>
      </c>
      <c r="U94" s="124">
        <f t="shared" si="55"/>
        <v>0</v>
      </c>
      <c r="W94" s="29">
        <v>800</v>
      </c>
      <c r="X94" s="124">
        <f t="shared" si="57"/>
        <v>0.0028192342255035</v>
      </c>
      <c r="Y94" s="29">
        <v>800</v>
      </c>
      <c r="Z94" s="124">
        <f t="shared" si="58"/>
        <v>0.0028192342255035</v>
      </c>
      <c r="AA94" s="29">
        <f t="shared" si="59"/>
        <v>800</v>
      </c>
      <c r="AB94" s="124">
        <f t="shared" si="60"/>
        <v>0.0028192342255035</v>
      </c>
      <c r="AE94" s="30">
        <f t="shared" si="47"/>
        <v>900</v>
      </c>
      <c r="AF94" s="30">
        <f t="shared" si="61"/>
        <v>909</v>
      </c>
      <c r="AG94" s="30">
        <f t="shared" si="62"/>
        <v>904.5</v>
      </c>
      <c r="AH94" s="29">
        <v>0</v>
      </c>
      <c r="AI94" s="124">
        <f t="shared" si="63"/>
        <v>0</v>
      </c>
      <c r="AJ94" s="124"/>
      <c r="AK94" s="29">
        <v>300</v>
      </c>
      <c r="AL94" s="124">
        <f t="shared" si="64"/>
        <v>0.00122581066945607</v>
      </c>
      <c r="AM94" s="29">
        <f t="shared" si="65"/>
        <v>300</v>
      </c>
      <c r="AN94" s="124">
        <f t="shared" si="64"/>
        <v>0.00122581066945607</v>
      </c>
      <c r="AO94" s="29">
        <f t="shared" si="66"/>
        <v>300</v>
      </c>
      <c r="AP94" s="124">
        <f t="shared" si="40"/>
        <v>0.00122581066945607</v>
      </c>
      <c r="AS94" s="29">
        <v>100</v>
      </c>
      <c r="AT94" s="124">
        <f t="shared" si="48"/>
        <v>0.000792933377737602</v>
      </c>
      <c r="AU94" s="29">
        <f t="shared" si="49"/>
        <v>100</v>
      </c>
      <c r="AV94" s="124">
        <f t="shared" si="67"/>
        <v>0.000792933377737602</v>
      </c>
      <c r="AW94" s="29">
        <f t="shared" si="69"/>
        <v>100</v>
      </c>
      <c r="AX94" s="124">
        <f t="shared" si="68"/>
        <v>0.000792933377737602</v>
      </c>
    </row>
    <row r="95" spans="1:50">
      <c r="A95" s="89">
        <v>91</v>
      </c>
      <c r="B95" s="89" t="str">
        <f t="shared" si="50"/>
        <v>91,91</v>
      </c>
      <c r="C95" s="118" t="str">
        <f t="shared" si="42"/>
        <v>[[0,0],[1,800],[2,0]]</v>
      </c>
      <c r="D95" s="118" t="str">
        <f t="shared" si="51"/>
        <v>[[0,800],[1,800],[2,800]]</v>
      </c>
      <c r="E95" s="118" t="str">
        <f t="shared" si="52"/>
        <v>910,919</v>
      </c>
      <c r="F95" s="118" t="str">
        <f t="shared" si="53"/>
        <v>[[0,0]]</v>
      </c>
      <c r="G95" s="118" t="str">
        <f t="shared" si="43"/>
        <v>[[0,200],[1,200],[2,200]]</v>
      </c>
      <c r="H95" s="118" t="str">
        <f t="shared" si="44"/>
        <v>[[0,50],[1,50],[2,50]]</v>
      </c>
      <c r="O95" s="89">
        <v>91</v>
      </c>
      <c r="P95" s="29">
        <v>0</v>
      </c>
      <c r="Q95" s="124">
        <f t="shared" si="54"/>
        <v>0</v>
      </c>
      <c r="R95" s="29">
        <v>800</v>
      </c>
      <c r="S95" s="124">
        <f t="shared" si="55"/>
        <v>0.0028192342255035</v>
      </c>
      <c r="T95" s="29">
        <f t="shared" si="56"/>
        <v>0</v>
      </c>
      <c r="U95" s="124">
        <f t="shared" si="55"/>
        <v>0</v>
      </c>
      <c r="W95" s="29">
        <v>800</v>
      </c>
      <c r="X95" s="124">
        <f t="shared" si="57"/>
        <v>0.0028192342255035</v>
      </c>
      <c r="Y95" s="29">
        <v>800</v>
      </c>
      <c r="Z95" s="124">
        <f t="shared" si="58"/>
        <v>0.0028192342255035</v>
      </c>
      <c r="AA95" s="29">
        <f t="shared" si="59"/>
        <v>800</v>
      </c>
      <c r="AB95" s="124">
        <f t="shared" si="60"/>
        <v>0.0028192342255035</v>
      </c>
      <c r="AE95" s="30">
        <f t="shared" si="47"/>
        <v>910</v>
      </c>
      <c r="AF95" s="30">
        <f t="shared" si="61"/>
        <v>919</v>
      </c>
      <c r="AG95" s="30">
        <f t="shared" si="62"/>
        <v>914.5</v>
      </c>
      <c r="AH95" s="29">
        <v>0</v>
      </c>
      <c r="AI95" s="124">
        <f t="shared" si="63"/>
        <v>0</v>
      </c>
      <c r="AJ95" s="124"/>
      <c r="AK95" s="29">
        <v>200</v>
      </c>
      <c r="AL95" s="124">
        <f t="shared" si="64"/>
        <v>0.000817207112970711</v>
      </c>
      <c r="AM95" s="29">
        <f t="shared" si="65"/>
        <v>200</v>
      </c>
      <c r="AN95" s="124">
        <f t="shared" si="64"/>
        <v>0.000817207112970711</v>
      </c>
      <c r="AO95" s="29">
        <f t="shared" si="66"/>
        <v>200</v>
      </c>
      <c r="AP95" s="124">
        <f t="shared" si="40"/>
        <v>0.000817207112970711</v>
      </c>
      <c r="AS95" s="29">
        <v>50</v>
      </c>
      <c r="AT95" s="124">
        <f t="shared" si="48"/>
        <v>0.000396466688868801</v>
      </c>
      <c r="AU95" s="29">
        <f t="shared" si="49"/>
        <v>50</v>
      </c>
      <c r="AV95" s="124">
        <f t="shared" si="67"/>
        <v>0.000396466688868801</v>
      </c>
      <c r="AW95" s="29">
        <f t="shared" ref="AW95:AW103" si="70">AS95</f>
        <v>50</v>
      </c>
      <c r="AX95" s="124">
        <f t="shared" si="68"/>
        <v>0.000396466688868801</v>
      </c>
    </row>
    <row r="96" spans="1:50">
      <c r="A96" s="89">
        <v>92</v>
      </c>
      <c r="B96" s="89" t="str">
        <f t="shared" si="50"/>
        <v>92,92</v>
      </c>
      <c r="C96" s="118" t="str">
        <f t="shared" si="42"/>
        <v>[[0,0],[1,800],[2,0]]</v>
      </c>
      <c r="D96" s="118" t="str">
        <f t="shared" si="51"/>
        <v>[[0,800],[1,800],[2,800]]</v>
      </c>
      <c r="E96" s="118" t="str">
        <f t="shared" si="52"/>
        <v>920,929</v>
      </c>
      <c r="F96" s="118" t="str">
        <f t="shared" si="53"/>
        <v>[[0,0]]</v>
      </c>
      <c r="G96" s="118" t="str">
        <f t="shared" si="43"/>
        <v>[[0,200],[1,200],[2,200]]</v>
      </c>
      <c r="H96" s="118" t="str">
        <f t="shared" si="44"/>
        <v>[[0,50],[1,50],[2,50]]</v>
      </c>
      <c r="O96" s="89">
        <v>92</v>
      </c>
      <c r="P96" s="29">
        <v>0</v>
      </c>
      <c r="Q96" s="124">
        <f t="shared" si="54"/>
        <v>0</v>
      </c>
      <c r="R96" s="29">
        <v>800</v>
      </c>
      <c r="S96" s="124">
        <f t="shared" si="55"/>
        <v>0.0028192342255035</v>
      </c>
      <c r="T96" s="29">
        <f t="shared" si="56"/>
        <v>0</v>
      </c>
      <c r="U96" s="124">
        <f t="shared" si="55"/>
        <v>0</v>
      </c>
      <c r="W96" s="29">
        <v>800</v>
      </c>
      <c r="X96" s="124">
        <f t="shared" si="57"/>
        <v>0.0028192342255035</v>
      </c>
      <c r="Y96" s="29">
        <v>800</v>
      </c>
      <c r="Z96" s="124">
        <f t="shared" si="58"/>
        <v>0.0028192342255035</v>
      </c>
      <c r="AA96" s="29">
        <f t="shared" si="59"/>
        <v>800</v>
      </c>
      <c r="AB96" s="124">
        <f t="shared" si="60"/>
        <v>0.0028192342255035</v>
      </c>
      <c r="AE96" s="30">
        <f t="shared" si="47"/>
        <v>920</v>
      </c>
      <c r="AF96" s="30">
        <f t="shared" si="61"/>
        <v>929</v>
      </c>
      <c r="AG96" s="30">
        <f t="shared" si="62"/>
        <v>924.5</v>
      </c>
      <c r="AH96" s="29">
        <v>0</v>
      </c>
      <c r="AI96" s="124">
        <f t="shared" si="63"/>
        <v>0</v>
      </c>
      <c r="AJ96" s="124"/>
      <c r="AK96" s="29">
        <v>200</v>
      </c>
      <c r="AL96" s="124">
        <f t="shared" si="64"/>
        <v>0.000817207112970711</v>
      </c>
      <c r="AM96" s="29">
        <f t="shared" si="65"/>
        <v>200</v>
      </c>
      <c r="AN96" s="124">
        <f t="shared" si="64"/>
        <v>0.000817207112970711</v>
      </c>
      <c r="AO96" s="29">
        <f t="shared" si="66"/>
        <v>200</v>
      </c>
      <c r="AP96" s="124">
        <f t="shared" si="40"/>
        <v>0.000817207112970711</v>
      </c>
      <c r="AS96" s="29">
        <v>50</v>
      </c>
      <c r="AT96" s="124">
        <f t="shared" si="48"/>
        <v>0.000396466688868801</v>
      </c>
      <c r="AU96" s="29">
        <f t="shared" si="49"/>
        <v>50</v>
      </c>
      <c r="AV96" s="124">
        <f t="shared" si="67"/>
        <v>0.000396466688868801</v>
      </c>
      <c r="AW96" s="29">
        <f t="shared" si="70"/>
        <v>50</v>
      </c>
      <c r="AX96" s="124">
        <f t="shared" si="68"/>
        <v>0.000396466688868801</v>
      </c>
    </row>
    <row r="97" spans="1:50">
      <c r="A97" s="89">
        <v>93</v>
      </c>
      <c r="B97" s="89" t="str">
        <f t="shared" si="50"/>
        <v>93,93</v>
      </c>
      <c r="C97" s="118" t="str">
        <f t="shared" si="42"/>
        <v>[[0,0],[1,800],[2,0]]</v>
      </c>
      <c r="D97" s="118" t="str">
        <f t="shared" si="51"/>
        <v>[[0,800],[1,800],[2,800]]</v>
      </c>
      <c r="E97" s="118" t="str">
        <f t="shared" si="52"/>
        <v>930,939</v>
      </c>
      <c r="F97" s="118" t="str">
        <f t="shared" si="53"/>
        <v>[[0,0]]</v>
      </c>
      <c r="G97" s="118" t="str">
        <f t="shared" si="43"/>
        <v>[[0,200],[1,200],[2,200]]</v>
      </c>
      <c r="H97" s="118" t="str">
        <f t="shared" si="44"/>
        <v>[[0,50],[1,50],[2,50]]</v>
      </c>
      <c r="O97" s="89">
        <v>93</v>
      </c>
      <c r="P97" s="29">
        <v>0</v>
      </c>
      <c r="Q97" s="124">
        <f t="shared" si="54"/>
        <v>0</v>
      </c>
      <c r="R97" s="29">
        <v>800</v>
      </c>
      <c r="S97" s="124">
        <f t="shared" si="55"/>
        <v>0.0028192342255035</v>
      </c>
      <c r="T97" s="29">
        <f t="shared" si="56"/>
        <v>0</v>
      </c>
      <c r="U97" s="124">
        <f t="shared" si="55"/>
        <v>0</v>
      </c>
      <c r="W97" s="29">
        <v>800</v>
      </c>
      <c r="X97" s="124">
        <f t="shared" si="57"/>
        <v>0.0028192342255035</v>
      </c>
      <c r="Y97" s="29">
        <v>800</v>
      </c>
      <c r="Z97" s="124">
        <f t="shared" si="58"/>
        <v>0.0028192342255035</v>
      </c>
      <c r="AA97" s="29">
        <f t="shared" si="59"/>
        <v>800</v>
      </c>
      <c r="AB97" s="124">
        <f t="shared" si="60"/>
        <v>0.0028192342255035</v>
      </c>
      <c r="AE97" s="30">
        <f t="shared" si="47"/>
        <v>930</v>
      </c>
      <c r="AF97" s="30">
        <f t="shared" si="61"/>
        <v>939</v>
      </c>
      <c r="AG97" s="30">
        <f t="shared" si="62"/>
        <v>934.5</v>
      </c>
      <c r="AH97" s="29">
        <v>0</v>
      </c>
      <c r="AI97" s="124">
        <f t="shared" si="63"/>
        <v>0</v>
      </c>
      <c r="AJ97" s="124"/>
      <c r="AK97" s="29">
        <v>200</v>
      </c>
      <c r="AL97" s="124">
        <f t="shared" si="64"/>
        <v>0.000817207112970711</v>
      </c>
      <c r="AM97" s="29">
        <f t="shared" si="65"/>
        <v>200</v>
      </c>
      <c r="AN97" s="124">
        <f t="shared" si="64"/>
        <v>0.000817207112970711</v>
      </c>
      <c r="AO97" s="29">
        <f t="shared" si="66"/>
        <v>200</v>
      </c>
      <c r="AP97" s="124">
        <f t="shared" si="40"/>
        <v>0.000817207112970711</v>
      </c>
      <c r="AS97" s="29">
        <v>50</v>
      </c>
      <c r="AT97" s="124">
        <f t="shared" si="48"/>
        <v>0.000396466688868801</v>
      </c>
      <c r="AU97" s="29">
        <f t="shared" si="49"/>
        <v>50</v>
      </c>
      <c r="AV97" s="124">
        <f t="shared" si="67"/>
        <v>0.000396466688868801</v>
      </c>
      <c r="AW97" s="29">
        <f t="shared" si="70"/>
        <v>50</v>
      </c>
      <c r="AX97" s="124">
        <f t="shared" si="68"/>
        <v>0.000396466688868801</v>
      </c>
    </row>
    <row r="98" spans="1:50">
      <c r="A98" s="89">
        <v>94</v>
      </c>
      <c r="B98" s="89" t="str">
        <f t="shared" si="50"/>
        <v>94,94</v>
      </c>
      <c r="C98" s="118" t="str">
        <f t="shared" si="42"/>
        <v>[[0,0],[1,800],[2,0]]</v>
      </c>
      <c r="D98" s="118" t="str">
        <f t="shared" si="51"/>
        <v>[[0,800],[1,800],[2,800]]</v>
      </c>
      <c r="E98" s="118" t="str">
        <f t="shared" si="52"/>
        <v>940,949</v>
      </c>
      <c r="F98" s="118" t="str">
        <f t="shared" si="53"/>
        <v>[[0,0]]</v>
      </c>
      <c r="G98" s="118" t="str">
        <f t="shared" si="43"/>
        <v>[[0,200],[1,200],[2,200]]</v>
      </c>
      <c r="H98" s="118" t="str">
        <f t="shared" si="44"/>
        <v>[[0,50],[1,50],[2,50]]</v>
      </c>
      <c r="O98" s="89">
        <v>94</v>
      </c>
      <c r="P98" s="29">
        <v>0</v>
      </c>
      <c r="Q98" s="124">
        <f t="shared" si="54"/>
        <v>0</v>
      </c>
      <c r="R98" s="29">
        <v>800</v>
      </c>
      <c r="S98" s="124">
        <f t="shared" si="55"/>
        <v>0.0028192342255035</v>
      </c>
      <c r="T98" s="29">
        <f t="shared" si="56"/>
        <v>0</v>
      </c>
      <c r="U98" s="124">
        <f t="shared" si="55"/>
        <v>0</v>
      </c>
      <c r="W98" s="29">
        <v>800</v>
      </c>
      <c r="X98" s="124">
        <f t="shared" si="57"/>
        <v>0.0028192342255035</v>
      </c>
      <c r="Y98" s="29">
        <v>800</v>
      </c>
      <c r="Z98" s="124">
        <f t="shared" si="58"/>
        <v>0.0028192342255035</v>
      </c>
      <c r="AA98" s="29">
        <f t="shared" si="59"/>
        <v>800</v>
      </c>
      <c r="AB98" s="124">
        <f t="shared" si="60"/>
        <v>0.0028192342255035</v>
      </c>
      <c r="AE98" s="30">
        <f t="shared" si="47"/>
        <v>940</v>
      </c>
      <c r="AF98" s="30">
        <f t="shared" si="61"/>
        <v>949</v>
      </c>
      <c r="AG98" s="30">
        <f t="shared" si="62"/>
        <v>944.5</v>
      </c>
      <c r="AH98" s="29">
        <v>0</v>
      </c>
      <c r="AI98" s="124">
        <f t="shared" si="63"/>
        <v>0</v>
      </c>
      <c r="AJ98" s="124"/>
      <c r="AK98" s="29">
        <v>200</v>
      </c>
      <c r="AL98" s="124">
        <f t="shared" si="64"/>
        <v>0.000817207112970711</v>
      </c>
      <c r="AM98" s="29">
        <f t="shared" si="65"/>
        <v>200</v>
      </c>
      <c r="AN98" s="124">
        <f t="shared" si="64"/>
        <v>0.000817207112970711</v>
      </c>
      <c r="AO98" s="29">
        <f t="shared" si="66"/>
        <v>200</v>
      </c>
      <c r="AP98" s="124">
        <f t="shared" si="40"/>
        <v>0.000817207112970711</v>
      </c>
      <c r="AS98" s="29">
        <v>50</v>
      </c>
      <c r="AT98" s="124">
        <f t="shared" si="48"/>
        <v>0.000396466688868801</v>
      </c>
      <c r="AU98" s="29">
        <f t="shared" si="49"/>
        <v>50</v>
      </c>
      <c r="AV98" s="124">
        <f t="shared" si="67"/>
        <v>0.000396466688868801</v>
      </c>
      <c r="AW98" s="29">
        <f t="shared" si="70"/>
        <v>50</v>
      </c>
      <c r="AX98" s="124">
        <f t="shared" si="68"/>
        <v>0.000396466688868801</v>
      </c>
    </row>
    <row r="99" spans="1:50">
      <c r="A99" s="89">
        <v>95</v>
      </c>
      <c r="B99" s="89" t="str">
        <f t="shared" si="50"/>
        <v>95,95</v>
      </c>
      <c r="C99" s="118" t="str">
        <f t="shared" si="42"/>
        <v>[[0,0],[1,500],[2,0]]</v>
      </c>
      <c r="D99" s="118" t="str">
        <f t="shared" si="51"/>
        <v>[[0,500],[1,500],[2,500]]</v>
      </c>
      <c r="E99" s="118" t="str">
        <f t="shared" si="52"/>
        <v>950,959</v>
      </c>
      <c r="F99" s="118" t="str">
        <f t="shared" si="53"/>
        <v>[[0,0]]</v>
      </c>
      <c r="G99" s="118" t="str">
        <f t="shared" si="43"/>
        <v>[[0,100],[1,100],[2,100]]</v>
      </c>
      <c r="H99" s="118" t="str">
        <f t="shared" si="44"/>
        <v>[[0,50],[1,50],[2,50]]</v>
      </c>
      <c r="O99" s="89">
        <v>95</v>
      </c>
      <c r="P99" s="29">
        <v>0</v>
      </c>
      <c r="Q99" s="124">
        <f t="shared" si="54"/>
        <v>0</v>
      </c>
      <c r="R99" s="29">
        <v>500</v>
      </c>
      <c r="S99" s="124">
        <f t="shared" si="55"/>
        <v>0.00176202139093969</v>
      </c>
      <c r="T99" s="29">
        <f t="shared" si="56"/>
        <v>0</v>
      </c>
      <c r="U99" s="124">
        <f t="shared" si="55"/>
        <v>0</v>
      </c>
      <c r="W99" s="29">
        <v>500</v>
      </c>
      <c r="X99" s="124">
        <f t="shared" si="57"/>
        <v>0.00176202139093969</v>
      </c>
      <c r="Y99" s="29">
        <v>500</v>
      </c>
      <c r="Z99" s="124">
        <f t="shared" si="58"/>
        <v>0.00176202139093969</v>
      </c>
      <c r="AA99" s="29">
        <f t="shared" si="59"/>
        <v>500</v>
      </c>
      <c r="AB99" s="124">
        <f t="shared" si="60"/>
        <v>0.00176202139093969</v>
      </c>
      <c r="AE99" s="30">
        <f t="shared" si="47"/>
        <v>950</v>
      </c>
      <c r="AF99" s="30">
        <f t="shared" si="61"/>
        <v>959</v>
      </c>
      <c r="AG99" s="30">
        <f t="shared" si="62"/>
        <v>954.5</v>
      </c>
      <c r="AH99" s="29">
        <v>0</v>
      </c>
      <c r="AI99" s="124">
        <f t="shared" si="63"/>
        <v>0</v>
      </c>
      <c r="AJ99" s="124"/>
      <c r="AK99" s="29">
        <v>100</v>
      </c>
      <c r="AL99" s="124">
        <f t="shared" si="64"/>
        <v>0.000408603556485356</v>
      </c>
      <c r="AM99" s="29">
        <f t="shared" si="65"/>
        <v>100</v>
      </c>
      <c r="AN99" s="124">
        <f t="shared" si="64"/>
        <v>0.000408603556485356</v>
      </c>
      <c r="AO99" s="29">
        <f t="shared" si="66"/>
        <v>100</v>
      </c>
      <c r="AP99" s="124">
        <f t="shared" si="40"/>
        <v>0.000408603556485356</v>
      </c>
      <c r="AS99" s="29">
        <v>50</v>
      </c>
      <c r="AT99" s="124">
        <f t="shared" si="48"/>
        <v>0.000396466688868801</v>
      </c>
      <c r="AU99" s="29">
        <f t="shared" si="49"/>
        <v>50</v>
      </c>
      <c r="AV99" s="124">
        <f t="shared" si="67"/>
        <v>0.000396466688868801</v>
      </c>
      <c r="AW99" s="29">
        <f t="shared" si="70"/>
        <v>50</v>
      </c>
      <c r="AX99" s="124">
        <f t="shared" si="68"/>
        <v>0.000396466688868801</v>
      </c>
    </row>
    <row r="100" spans="1:50">
      <c r="A100" s="89">
        <v>96</v>
      </c>
      <c r="B100" s="89" t="str">
        <f t="shared" si="50"/>
        <v>96,96</v>
      </c>
      <c r="C100" s="118" t="str">
        <f t="shared" si="42"/>
        <v>[[0,0],[1,500],[2,0]]</v>
      </c>
      <c r="D100" s="118" t="str">
        <f t="shared" si="51"/>
        <v>[[0,500],[1,500],[2,500]]</v>
      </c>
      <c r="E100" s="118" t="str">
        <f t="shared" si="52"/>
        <v>960,969</v>
      </c>
      <c r="F100" s="118" t="str">
        <f t="shared" si="53"/>
        <v>[[0,0]]</v>
      </c>
      <c r="G100" s="118" t="str">
        <f t="shared" si="43"/>
        <v>[[0,100],[1,100],[2,100]]</v>
      </c>
      <c r="H100" s="118" t="str">
        <f t="shared" si="44"/>
        <v>[[0,50],[1,50],[2,50]]</v>
      </c>
      <c r="O100" s="89">
        <v>96</v>
      </c>
      <c r="P100" s="29">
        <v>0</v>
      </c>
      <c r="Q100" s="124">
        <f t="shared" si="54"/>
        <v>0</v>
      </c>
      <c r="R100" s="29">
        <v>500</v>
      </c>
      <c r="S100" s="124">
        <f t="shared" si="55"/>
        <v>0.00176202139093969</v>
      </c>
      <c r="T100" s="29">
        <f t="shared" si="56"/>
        <v>0</v>
      </c>
      <c r="U100" s="124">
        <f t="shared" si="55"/>
        <v>0</v>
      </c>
      <c r="W100" s="29">
        <v>500</v>
      </c>
      <c r="X100" s="124">
        <f t="shared" si="57"/>
        <v>0.00176202139093969</v>
      </c>
      <c r="Y100" s="29">
        <v>500</v>
      </c>
      <c r="Z100" s="124">
        <f t="shared" si="58"/>
        <v>0.00176202139093969</v>
      </c>
      <c r="AA100" s="29">
        <f t="shared" si="59"/>
        <v>500</v>
      </c>
      <c r="AB100" s="124">
        <f t="shared" si="60"/>
        <v>0.00176202139093969</v>
      </c>
      <c r="AE100" s="30">
        <f t="shared" si="47"/>
        <v>960</v>
      </c>
      <c r="AF100" s="30">
        <f t="shared" si="61"/>
        <v>969</v>
      </c>
      <c r="AG100" s="30">
        <f t="shared" si="62"/>
        <v>964.5</v>
      </c>
      <c r="AH100" s="29">
        <v>0</v>
      </c>
      <c r="AI100" s="124">
        <f t="shared" si="63"/>
        <v>0</v>
      </c>
      <c r="AJ100" s="124"/>
      <c r="AK100" s="29">
        <v>100</v>
      </c>
      <c r="AL100" s="124">
        <f t="shared" si="64"/>
        <v>0.000408603556485356</v>
      </c>
      <c r="AM100" s="29">
        <f t="shared" si="65"/>
        <v>100</v>
      </c>
      <c r="AN100" s="124">
        <f t="shared" si="64"/>
        <v>0.000408603556485356</v>
      </c>
      <c r="AO100" s="29">
        <f t="shared" si="66"/>
        <v>100</v>
      </c>
      <c r="AP100" s="124">
        <f t="shared" si="40"/>
        <v>0.000408603556485356</v>
      </c>
      <c r="AS100" s="29">
        <v>50</v>
      </c>
      <c r="AT100" s="124">
        <f t="shared" si="48"/>
        <v>0.000396466688868801</v>
      </c>
      <c r="AU100" s="29">
        <f t="shared" si="49"/>
        <v>50</v>
      </c>
      <c r="AV100" s="124">
        <f t="shared" si="67"/>
        <v>0.000396466688868801</v>
      </c>
      <c r="AW100" s="29">
        <f t="shared" si="70"/>
        <v>50</v>
      </c>
      <c r="AX100" s="124">
        <f t="shared" si="68"/>
        <v>0.000396466688868801</v>
      </c>
    </row>
    <row r="101" spans="1:50">
      <c r="A101" s="89">
        <v>97</v>
      </c>
      <c r="B101" s="89" t="str">
        <f t="shared" si="50"/>
        <v>97,97</v>
      </c>
      <c r="C101" s="118" t="str">
        <f t="shared" si="42"/>
        <v>[[0,0],[1,500],[2,0]]</v>
      </c>
      <c r="D101" s="118" t="str">
        <f t="shared" si="51"/>
        <v>[[0,500],[1,500],[2,500]]</v>
      </c>
      <c r="E101" s="118" t="str">
        <f t="shared" si="52"/>
        <v>970,979</v>
      </c>
      <c r="F101" s="118" t="str">
        <f t="shared" si="53"/>
        <v>[[0,0]]</v>
      </c>
      <c r="G101" s="118" t="str">
        <f t="shared" si="43"/>
        <v>[[0,100],[1,100],[2,100]]</v>
      </c>
      <c r="H101" s="118" t="str">
        <f t="shared" si="44"/>
        <v>[[0,50],[1,50],[2,50]]</v>
      </c>
      <c r="O101" s="89">
        <v>97</v>
      </c>
      <c r="P101" s="29">
        <v>0</v>
      </c>
      <c r="Q101" s="124">
        <f t="shared" si="54"/>
        <v>0</v>
      </c>
      <c r="R101" s="29">
        <v>500</v>
      </c>
      <c r="S101" s="124">
        <f t="shared" si="55"/>
        <v>0.00176202139093969</v>
      </c>
      <c r="T101" s="29">
        <f t="shared" si="56"/>
        <v>0</v>
      </c>
      <c r="U101" s="124">
        <f t="shared" si="55"/>
        <v>0</v>
      </c>
      <c r="W101" s="29">
        <v>500</v>
      </c>
      <c r="X101" s="124">
        <f t="shared" si="57"/>
        <v>0.00176202139093969</v>
      </c>
      <c r="Y101" s="29">
        <v>500</v>
      </c>
      <c r="Z101" s="124">
        <f t="shared" si="58"/>
        <v>0.00176202139093969</v>
      </c>
      <c r="AA101" s="29">
        <f t="shared" si="59"/>
        <v>500</v>
      </c>
      <c r="AB101" s="124">
        <f t="shared" si="60"/>
        <v>0.00176202139093969</v>
      </c>
      <c r="AE101" s="30">
        <f t="shared" si="47"/>
        <v>970</v>
      </c>
      <c r="AF101" s="30">
        <f t="shared" si="61"/>
        <v>979</v>
      </c>
      <c r="AG101" s="30">
        <f t="shared" si="62"/>
        <v>974.5</v>
      </c>
      <c r="AH101" s="29">
        <v>0</v>
      </c>
      <c r="AI101" s="124">
        <f t="shared" si="63"/>
        <v>0</v>
      </c>
      <c r="AJ101" s="124"/>
      <c r="AK101" s="29">
        <v>100</v>
      </c>
      <c r="AL101" s="124">
        <f t="shared" si="64"/>
        <v>0.000408603556485356</v>
      </c>
      <c r="AM101" s="29">
        <f t="shared" si="65"/>
        <v>100</v>
      </c>
      <c r="AN101" s="124">
        <f t="shared" si="64"/>
        <v>0.000408603556485356</v>
      </c>
      <c r="AO101" s="29">
        <f t="shared" si="66"/>
        <v>100</v>
      </c>
      <c r="AP101" s="124">
        <f t="shared" si="40"/>
        <v>0.000408603556485356</v>
      </c>
      <c r="AS101" s="29">
        <v>50</v>
      </c>
      <c r="AT101" s="124">
        <f t="shared" ref="AT101:AT103" si="71">AS101/SUM(AS$5:AS$103)</f>
        <v>0.000396466688868801</v>
      </c>
      <c r="AU101" s="29">
        <f t="shared" si="49"/>
        <v>50</v>
      </c>
      <c r="AV101" s="124">
        <f t="shared" si="67"/>
        <v>0.000396466688868801</v>
      </c>
      <c r="AW101" s="29">
        <f t="shared" si="70"/>
        <v>50</v>
      </c>
      <c r="AX101" s="124">
        <f t="shared" si="68"/>
        <v>0.000396466688868801</v>
      </c>
    </row>
    <row r="102" spans="1:50">
      <c r="A102" s="89">
        <v>98</v>
      </c>
      <c r="B102" s="89" t="str">
        <f t="shared" si="50"/>
        <v>98,98</v>
      </c>
      <c r="C102" s="118" t="str">
        <f t="shared" si="42"/>
        <v>[[0,0],[1,500],[2,0]]</v>
      </c>
      <c r="D102" s="118" t="str">
        <f t="shared" si="51"/>
        <v>[[0,500],[1,500],[2,500]]</v>
      </c>
      <c r="E102" s="118" t="str">
        <f t="shared" si="52"/>
        <v>980,989</v>
      </c>
      <c r="F102" s="118" t="str">
        <f t="shared" si="53"/>
        <v>[[0,0]]</v>
      </c>
      <c r="G102" s="118" t="str">
        <f t="shared" si="43"/>
        <v>[[0,100],[1,100],[2,100]]</v>
      </c>
      <c r="H102" s="118" t="str">
        <f t="shared" si="44"/>
        <v>[[0,50],[1,50],[2,50]]</v>
      </c>
      <c r="O102" s="89">
        <v>98</v>
      </c>
      <c r="P102" s="29">
        <v>0</v>
      </c>
      <c r="Q102" s="124">
        <f t="shared" si="54"/>
        <v>0</v>
      </c>
      <c r="R102" s="29">
        <v>500</v>
      </c>
      <c r="S102" s="124">
        <f t="shared" si="55"/>
        <v>0.00176202139093969</v>
      </c>
      <c r="T102" s="29">
        <f t="shared" si="56"/>
        <v>0</v>
      </c>
      <c r="U102" s="124">
        <f t="shared" si="55"/>
        <v>0</v>
      </c>
      <c r="W102" s="29">
        <v>500</v>
      </c>
      <c r="X102" s="124">
        <f t="shared" si="57"/>
        <v>0.00176202139093969</v>
      </c>
      <c r="Y102" s="29">
        <v>500</v>
      </c>
      <c r="Z102" s="124">
        <f t="shared" si="58"/>
        <v>0.00176202139093969</v>
      </c>
      <c r="AA102" s="29">
        <f t="shared" si="59"/>
        <v>500</v>
      </c>
      <c r="AB102" s="124">
        <f t="shared" si="60"/>
        <v>0.00176202139093969</v>
      </c>
      <c r="AE102" s="30">
        <f t="shared" si="47"/>
        <v>980</v>
      </c>
      <c r="AF102" s="30">
        <f t="shared" si="61"/>
        <v>989</v>
      </c>
      <c r="AG102" s="30">
        <f t="shared" si="62"/>
        <v>984.5</v>
      </c>
      <c r="AH102" s="29">
        <v>0</v>
      </c>
      <c r="AI102" s="124">
        <f t="shared" si="63"/>
        <v>0</v>
      </c>
      <c r="AJ102" s="124"/>
      <c r="AK102" s="29">
        <v>100</v>
      </c>
      <c r="AL102" s="124">
        <f t="shared" si="64"/>
        <v>0.000408603556485356</v>
      </c>
      <c r="AM102" s="29">
        <f t="shared" si="65"/>
        <v>100</v>
      </c>
      <c r="AN102" s="124">
        <f t="shared" si="64"/>
        <v>0.000408603556485356</v>
      </c>
      <c r="AO102" s="29">
        <f t="shared" si="66"/>
        <v>100</v>
      </c>
      <c r="AP102" s="124">
        <f t="shared" si="40"/>
        <v>0.000408603556485356</v>
      </c>
      <c r="AS102" s="29">
        <v>50</v>
      </c>
      <c r="AT102" s="124">
        <f t="shared" si="71"/>
        <v>0.000396466688868801</v>
      </c>
      <c r="AU102" s="29">
        <f t="shared" si="49"/>
        <v>50</v>
      </c>
      <c r="AV102" s="124">
        <f t="shared" si="67"/>
        <v>0.000396466688868801</v>
      </c>
      <c r="AW102" s="29">
        <f t="shared" si="70"/>
        <v>50</v>
      </c>
      <c r="AX102" s="124">
        <f t="shared" si="68"/>
        <v>0.000396466688868801</v>
      </c>
    </row>
    <row r="103" spans="1:50">
      <c r="A103" s="89">
        <v>99</v>
      </c>
      <c r="B103" s="89" t="str">
        <f t="shared" si="50"/>
        <v>99,99</v>
      </c>
      <c r="C103" s="118" t="str">
        <f t="shared" si="42"/>
        <v>[[0,0],[1,500],[2,0]]</v>
      </c>
      <c r="D103" s="118" t="str">
        <f t="shared" si="51"/>
        <v>[[0,500],[1,500],[2,500]]</v>
      </c>
      <c r="E103" s="118" t="str">
        <f t="shared" si="52"/>
        <v>990,999</v>
      </c>
      <c r="F103" s="118" t="str">
        <f t="shared" si="53"/>
        <v>[[0,0]]</v>
      </c>
      <c r="G103" s="118" t="str">
        <f t="shared" si="43"/>
        <v>[[0,100],[1,100],[2,100]]</v>
      </c>
      <c r="H103" s="118" t="str">
        <f t="shared" si="44"/>
        <v>[[0,50],[1,50],[2,50]]</v>
      </c>
      <c r="O103" s="89">
        <v>99</v>
      </c>
      <c r="P103" s="29">
        <v>0</v>
      </c>
      <c r="Q103" s="124">
        <f t="shared" si="54"/>
        <v>0</v>
      </c>
      <c r="R103" s="29">
        <v>500</v>
      </c>
      <c r="S103" s="124">
        <f t="shared" si="55"/>
        <v>0.00176202139093969</v>
      </c>
      <c r="T103" s="29">
        <f t="shared" si="56"/>
        <v>0</v>
      </c>
      <c r="U103" s="124">
        <f t="shared" si="55"/>
        <v>0</v>
      </c>
      <c r="W103" s="29">
        <v>500</v>
      </c>
      <c r="X103" s="124">
        <f t="shared" si="57"/>
        <v>0.00176202139093969</v>
      </c>
      <c r="Y103" s="29">
        <v>500</v>
      </c>
      <c r="Z103" s="124">
        <f t="shared" si="58"/>
        <v>0.00176202139093969</v>
      </c>
      <c r="AA103" s="29">
        <f t="shared" si="59"/>
        <v>500</v>
      </c>
      <c r="AB103" s="124">
        <f t="shared" si="60"/>
        <v>0.00176202139093969</v>
      </c>
      <c r="AE103" s="30">
        <f t="shared" si="47"/>
        <v>990</v>
      </c>
      <c r="AF103" s="30">
        <f t="shared" si="61"/>
        <v>999</v>
      </c>
      <c r="AG103" s="30">
        <f t="shared" si="62"/>
        <v>994.5</v>
      </c>
      <c r="AH103" s="29">
        <v>0</v>
      </c>
      <c r="AI103" s="124">
        <f t="shared" si="63"/>
        <v>0</v>
      </c>
      <c r="AJ103" s="124"/>
      <c r="AK103" s="29">
        <v>100</v>
      </c>
      <c r="AL103" s="124">
        <f t="shared" si="64"/>
        <v>0.000408603556485356</v>
      </c>
      <c r="AM103" s="29">
        <f t="shared" si="65"/>
        <v>100</v>
      </c>
      <c r="AN103" s="124">
        <f t="shared" si="64"/>
        <v>0.000408603556485356</v>
      </c>
      <c r="AO103" s="29">
        <f t="shared" si="66"/>
        <v>100</v>
      </c>
      <c r="AP103" s="124">
        <f t="shared" si="40"/>
        <v>0.000408603556485356</v>
      </c>
      <c r="AS103" s="29">
        <v>50</v>
      </c>
      <c r="AT103" s="124">
        <f t="shared" si="71"/>
        <v>0.000396466688868801</v>
      </c>
      <c r="AU103" s="29">
        <f t="shared" si="49"/>
        <v>50</v>
      </c>
      <c r="AV103" s="124">
        <f t="shared" si="67"/>
        <v>0.000396466688868801</v>
      </c>
      <c r="AW103" s="29">
        <f t="shared" si="70"/>
        <v>50</v>
      </c>
      <c r="AX103" s="124">
        <f t="shared" si="68"/>
        <v>0.000396466688868801</v>
      </c>
    </row>
  </sheetData>
  <mergeCells count="4">
    <mergeCell ref="W1:W2"/>
    <mergeCell ref="O1:P2"/>
    <mergeCell ref="AE1:AF2"/>
    <mergeCell ref="AR1:AS2"/>
  </mergeCells>
  <conditionalFormatting sqref="A1">
    <cfRule type="containsText" dxfId="0" priority="17" operator="between" text=" ">
      <formula>NOT(ISERROR(SEARCH(" ",A1)))</formula>
    </cfRule>
  </conditionalFormatting>
  <conditionalFormatting sqref="B1">
    <cfRule type="containsText" dxfId="0" priority="37" operator="between" text=" ">
      <formula>NOT(ISERROR(SEARCH(" ",B1)))</formula>
    </cfRule>
  </conditionalFormatting>
  <conditionalFormatting sqref="C1">
    <cfRule type="containsText" dxfId="0" priority="11" operator="between" text=" ">
      <formula>NOT(ISERROR(SEARCH(" ",C1)))</formula>
    </cfRule>
  </conditionalFormatting>
  <conditionalFormatting sqref="D1">
    <cfRule type="containsText" dxfId="0" priority="31" operator="between" text=" ">
      <formula>NOT(ISERROR(SEARCH(" ",D1)))</formula>
    </cfRule>
  </conditionalFormatting>
  <conditionalFormatting sqref="E1">
    <cfRule type="containsText" dxfId="0" priority="22" operator="between" text=" ">
      <formula>NOT(ISERROR(SEARCH(" ",E1)))</formula>
    </cfRule>
  </conditionalFormatting>
  <conditionalFormatting sqref="F1">
    <cfRule type="containsText" dxfId="0" priority="5" operator="between" text=" ">
      <formula>NOT(ISERROR(SEARCH(" ",F1)))</formula>
    </cfRule>
  </conditionalFormatting>
  <conditionalFormatting sqref="G1">
    <cfRule type="containsText" dxfId="0" priority="24" operator="between" text=" ">
      <formula>NOT(ISERROR(SEARCH(" ",G1)))</formula>
    </cfRule>
  </conditionalFormatting>
  <conditionalFormatting sqref="H1">
    <cfRule type="containsText" dxfId="0" priority="2" operator="between" text=" ">
      <formula>NOT(ISERROR(SEARCH(" ",H1)))</formula>
    </cfRule>
  </conditionalFormatting>
  <conditionalFormatting sqref="A2">
    <cfRule type="containsText" dxfId="0" priority="13" operator="between" text=" ">
      <formula>NOT(ISERROR(SEARCH(" ",A2)))</formula>
    </cfRule>
  </conditionalFormatting>
  <conditionalFormatting sqref="B2">
    <cfRule type="containsText" dxfId="0" priority="18" operator="between" text=" ">
      <formula>NOT(ISERROR(SEARCH(" ",B2)))</formula>
    </cfRule>
  </conditionalFormatting>
  <conditionalFormatting sqref="C2">
    <cfRule type="containsText" dxfId="0" priority="12" operator="between" text=" ">
      <formula>NOT(ISERROR(SEARCH(" ",C2)))</formula>
    </cfRule>
  </conditionalFormatting>
  <conditionalFormatting sqref="D2">
    <cfRule type="containsText" dxfId="0" priority="32" operator="between" text=" ">
      <formula>NOT(ISERROR(SEARCH(" ",D2)))</formula>
    </cfRule>
  </conditionalFormatting>
  <conditionalFormatting sqref="E2">
    <cfRule type="containsText" dxfId="0" priority="19" operator="between" text=" ">
      <formula>NOT(ISERROR(SEARCH(" ",E2)))</formula>
    </cfRule>
  </conditionalFormatting>
  <conditionalFormatting sqref="F2">
    <cfRule type="containsText" dxfId="0" priority="6" operator="between" text=" ">
      <formula>NOT(ISERROR(SEARCH(" ",F2)))</formula>
    </cfRule>
  </conditionalFormatting>
  <conditionalFormatting sqref="G2">
    <cfRule type="containsText" dxfId="0" priority="25" operator="between" text=" ">
      <formula>NOT(ISERROR(SEARCH(" ",G2)))</formula>
    </cfRule>
  </conditionalFormatting>
  <conditionalFormatting sqref="H2">
    <cfRule type="containsText" dxfId="0" priority="3" operator="between" text=" ">
      <formula>NOT(ISERROR(SEARCH(" ",H2)))</formula>
    </cfRule>
  </conditionalFormatting>
  <conditionalFormatting sqref="A3">
    <cfRule type="containsText" dxfId="0" priority="16" operator="between" text=" ">
      <formula>NOT(ISERROR(SEARCH(" ",A3)))</formula>
    </cfRule>
  </conditionalFormatting>
  <conditionalFormatting sqref="B3">
    <cfRule type="containsText" dxfId="0" priority="36" operator="between" text=" ">
      <formula>NOT(ISERROR(SEARCH(" ",B3)))</formula>
    </cfRule>
  </conditionalFormatting>
  <conditionalFormatting sqref="E3">
    <cfRule type="containsText" dxfId="0" priority="21" operator="between" text=" ">
      <formula>NOT(ISERROR(SEARCH(" ",E3)))</formula>
    </cfRule>
  </conditionalFormatting>
  <conditionalFormatting sqref="A4">
    <cfRule type="containsText" dxfId="0" priority="14" operator="between" text=" ">
      <formula>NOT(ISERROR(SEARCH(" ",A4)))</formula>
    </cfRule>
  </conditionalFormatting>
  <conditionalFormatting sqref="B4">
    <cfRule type="containsText" dxfId="0" priority="35" operator="between" text=" ">
      <formula>NOT(ISERROR(SEARCH(" ",B4)))</formula>
    </cfRule>
  </conditionalFormatting>
  <conditionalFormatting sqref="E4">
    <cfRule type="containsText" dxfId="0" priority="20" operator="between" text=" ">
      <formula>NOT(ISERROR(SEARCH(" ",E4)))</formula>
    </cfRule>
  </conditionalFormatting>
  <conditionalFormatting sqref="C3:C4">
    <cfRule type="containsText" dxfId="0" priority="10" operator="between" text=" ">
      <formula>NOT(ISERROR(SEARCH(" ",C3)))</formula>
    </cfRule>
  </conditionalFormatting>
  <conditionalFormatting sqref="D3:D4">
    <cfRule type="containsText" dxfId="0" priority="30" operator="between" text=" ">
      <formula>NOT(ISERROR(SEARCH(" ",D3)))</formula>
    </cfRule>
  </conditionalFormatting>
  <conditionalFormatting sqref="F3:F4">
    <cfRule type="containsText" dxfId="0" priority="4" operator="between" text=" ">
      <formula>NOT(ISERROR(SEARCH(" ",F3)))</formula>
    </cfRule>
  </conditionalFormatting>
  <conditionalFormatting sqref="G3:G4">
    <cfRule type="containsText" dxfId="0" priority="23" operator="between" text=" ">
      <formula>NOT(ISERROR(SEARCH(" ",G3)))</formula>
    </cfRule>
  </conditionalFormatting>
  <conditionalFormatting sqref="H3:H4">
    <cfRule type="containsText" dxfId="0" priority="1" operator="between" text=" ">
      <formula>NOT(ISERROR(SEARCH(" ",H3)))</formula>
    </cfRule>
  </conditionalFormatting>
  <pageMargins left="0.7" right="0.7" top="0.75" bottom="0.75" header="0.3" footer="0.3"/>
  <pageSetup paperSize="9" orientation="portrait" horizontalDpi="300" verticalDpi="300"/>
  <headerFooter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37"/>
  <sheetViews>
    <sheetView workbookViewId="0">
      <selection activeCell="D11" sqref="D11"/>
    </sheetView>
  </sheetViews>
  <sheetFormatPr defaultColWidth="9" defaultRowHeight="15.6"/>
  <cols>
    <col min="2" max="2" width="10.8888888888889" customWidth="1"/>
    <col min="3" max="4" width="17" style="1" customWidth="1"/>
    <col min="5" max="5" width="25" customWidth="1"/>
    <col min="6" max="7" width="10.8888888888889" customWidth="1"/>
    <col min="8" max="8" width="14" customWidth="1"/>
  </cols>
  <sheetData>
    <row r="1" ht="15" spans="1:7">
      <c r="A1" s="52" t="s">
        <v>220</v>
      </c>
      <c r="B1" s="52" t="s">
        <v>220</v>
      </c>
      <c r="C1" s="51" t="s">
        <v>0</v>
      </c>
      <c r="D1" s="51" t="s">
        <v>1</v>
      </c>
      <c r="E1" s="52" t="s">
        <v>220</v>
      </c>
      <c r="F1" s="52" t="s">
        <v>58</v>
      </c>
      <c r="G1" s="110"/>
    </row>
    <row r="2" ht="15" spans="1:7">
      <c r="A2" s="52" t="s">
        <v>9</v>
      </c>
      <c r="B2" s="52" t="s">
        <v>9</v>
      </c>
      <c r="C2" s="52" t="s">
        <v>9</v>
      </c>
      <c r="D2" s="52" t="s">
        <v>10</v>
      </c>
      <c r="E2" s="52" t="s">
        <v>10</v>
      </c>
      <c r="F2" s="52" t="s">
        <v>9</v>
      </c>
      <c r="G2" s="110"/>
    </row>
    <row r="3" ht="15" spans="1:7">
      <c r="A3" s="52" t="s">
        <v>31</v>
      </c>
      <c r="B3" s="52" t="s">
        <v>221</v>
      </c>
      <c r="C3" s="52" t="s">
        <v>222</v>
      </c>
      <c r="D3" s="52" t="s">
        <v>223</v>
      </c>
      <c r="E3" s="52" t="s">
        <v>13</v>
      </c>
      <c r="F3" s="52" t="s">
        <v>104</v>
      </c>
      <c r="G3" s="110"/>
    </row>
    <row r="4" ht="60" spans="1:7">
      <c r="A4" s="52" t="s">
        <v>224</v>
      </c>
      <c r="B4" s="52" t="s">
        <v>225</v>
      </c>
      <c r="C4" s="111" t="s">
        <v>226</v>
      </c>
      <c r="D4" s="111" t="s">
        <v>227</v>
      </c>
      <c r="E4" s="52" t="s">
        <v>228</v>
      </c>
      <c r="F4" s="111" t="s">
        <v>229</v>
      </c>
      <c r="G4" s="110"/>
    </row>
    <row r="5" spans="1:13">
      <c r="A5" s="89">
        <v>101</v>
      </c>
      <c r="B5" s="89">
        <v>1605</v>
      </c>
      <c r="C5" s="1">
        <v>1</v>
      </c>
      <c r="D5" s="1">
        <v>5</v>
      </c>
      <c r="E5" s="89" t="s">
        <v>230</v>
      </c>
      <c r="F5">
        <v>6000</v>
      </c>
      <c r="H5" t="str">
        <f>"1|2|"&amp;I5</f>
        <v>1|2|180000</v>
      </c>
      <c r="I5" s="112">
        <v>180000</v>
      </c>
      <c r="J5">
        <v>6000</v>
      </c>
      <c r="K5">
        <f>J5/SUM(J$5:J$15)</f>
        <v>0.0797904171708978</v>
      </c>
      <c r="L5">
        <f>K5*I5</f>
        <v>14362.2750907616</v>
      </c>
      <c r="M5">
        <f>SUM(L5:L15)/100000</f>
        <v>0.989999601047914</v>
      </c>
    </row>
    <row r="6" spans="1:12">
      <c r="A6" s="89">
        <v>102</v>
      </c>
      <c r="B6" s="89">
        <v>1605</v>
      </c>
      <c r="C6" s="1">
        <v>1</v>
      </c>
      <c r="D6" s="1">
        <v>1</v>
      </c>
      <c r="E6" s="89" t="s">
        <v>231</v>
      </c>
      <c r="F6">
        <v>8880</v>
      </c>
      <c r="H6" t="str">
        <f t="shared" ref="H6:H37" si="0">"1|2|"&amp;I6</f>
        <v>1|2|60000</v>
      </c>
      <c r="I6" s="112">
        <v>60000</v>
      </c>
      <c r="J6">
        <v>8880</v>
      </c>
      <c r="K6">
        <f t="shared" ref="K6:K15" si="1">J6/SUM(J$5:J$15)</f>
        <v>0.118089817412929</v>
      </c>
      <c r="L6">
        <f t="shared" ref="L6:L16" si="2">K6*I6</f>
        <v>7085.38904477572</v>
      </c>
    </row>
    <row r="7" spans="1:12">
      <c r="A7" s="89">
        <v>103</v>
      </c>
      <c r="B7" s="89">
        <v>1605</v>
      </c>
      <c r="C7" s="1">
        <v>1</v>
      </c>
      <c r="D7" s="1">
        <v>1</v>
      </c>
      <c r="E7" s="89" t="s">
        <v>232</v>
      </c>
      <c r="F7">
        <v>5817</v>
      </c>
      <c r="H7" t="str">
        <f t="shared" si="0"/>
        <v>1|2|100000</v>
      </c>
      <c r="I7" s="112">
        <v>100000</v>
      </c>
      <c r="J7">
        <v>5817</v>
      </c>
      <c r="K7">
        <f t="shared" si="1"/>
        <v>0.0773568094471854</v>
      </c>
      <c r="L7">
        <f t="shared" si="2"/>
        <v>7735.68094471854</v>
      </c>
    </row>
    <row r="8" spans="1:12">
      <c r="A8" s="89">
        <v>104</v>
      </c>
      <c r="B8" s="89">
        <v>1605</v>
      </c>
      <c r="C8" s="1">
        <v>1</v>
      </c>
      <c r="D8" s="1">
        <v>1</v>
      </c>
      <c r="E8" s="89" t="s">
        <v>233</v>
      </c>
      <c r="F8">
        <v>10000</v>
      </c>
      <c r="H8" t="str">
        <f t="shared" si="0"/>
        <v>1|2|50000</v>
      </c>
      <c r="I8" s="112">
        <v>50000</v>
      </c>
      <c r="J8">
        <v>10000</v>
      </c>
      <c r="K8">
        <f t="shared" si="1"/>
        <v>0.132984028618163</v>
      </c>
      <c r="L8">
        <f t="shared" si="2"/>
        <v>6649.20143090815</v>
      </c>
    </row>
    <row r="9" spans="1:12">
      <c r="A9" s="89">
        <v>105</v>
      </c>
      <c r="B9" s="89">
        <v>1605</v>
      </c>
      <c r="C9" s="1">
        <v>1</v>
      </c>
      <c r="D9" s="1">
        <v>1</v>
      </c>
      <c r="E9" s="89" t="s">
        <v>234</v>
      </c>
      <c r="F9">
        <v>7000</v>
      </c>
      <c r="H9" t="str">
        <f t="shared" si="0"/>
        <v>1|2|90000</v>
      </c>
      <c r="I9" s="112">
        <v>90000</v>
      </c>
      <c r="J9">
        <v>7000</v>
      </c>
      <c r="K9">
        <f t="shared" si="1"/>
        <v>0.0930888200327141</v>
      </c>
      <c r="L9">
        <f t="shared" si="2"/>
        <v>8377.99380294427</v>
      </c>
    </row>
    <row r="10" spans="1:12">
      <c r="A10" s="89">
        <v>106</v>
      </c>
      <c r="B10" s="89">
        <v>1605</v>
      </c>
      <c r="C10" s="1">
        <v>1</v>
      </c>
      <c r="D10" s="1">
        <v>1</v>
      </c>
      <c r="E10" s="89" t="s">
        <v>231</v>
      </c>
      <c r="F10">
        <v>9000</v>
      </c>
      <c r="H10" t="str">
        <f t="shared" si="0"/>
        <v>1|2|60000</v>
      </c>
      <c r="I10" s="112">
        <v>60000</v>
      </c>
      <c r="J10">
        <v>9000</v>
      </c>
      <c r="K10">
        <f t="shared" si="1"/>
        <v>0.119685625756347</v>
      </c>
      <c r="L10">
        <f t="shared" si="2"/>
        <v>7181.1375453808</v>
      </c>
    </row>
    <row r="11" spans="1:12">
      <c r="A11" s="89">
        <v>107</v>
      </c>
      <c r="B11" s="89">
        <v>1605</v>
      </c>
      <c r="C11" s="1">
        <v>1</v>
      </c>
      <c r="D11" s="1">
        <v>5</v>
      </c>
      <c r="E11" s="89" t="s">
        <v>235</v>
      </c>
      <c r="F11">
        <v>3000</v>
      </c>
      <c r="H11" t="str">
        <f t="shared" si="0"/>
        <v>1|2|350000</v>
      </c>
      <c r="I11" s="112">
        <v>350000</v>
      </c>
      <c r="J11">
        <v>3000</v>
      </c>
      <c r="K11">
        <f t="shared" si="1"/>
        <v>0.0398952085854489</v>
      </c>
      <c r="L11">
        <f t="shared" si="2"/>
        <v>13963.3230049071</v>
      </c>
    </row>
    <row r="12" spans="1:12">
      <c r="A12" s="89">
        <v>108</v>
      </c>
      <c r="B12" s="89">
        <v>1605</v>
      </c>
      <c r="C12" s="1">
        <v>1</v>
      </c>
      <c r="D12" s="1">
        <v>1</v>
      </c>
      <c r="E12" s="89" t="s">
        <v>236</v>
      </c>
      <c r="F12">
        <v>7500</v>
      </c>
      <c r="H12" t="str">
        <f t="shared" si="0"/>
        <v>1|2|80000</v>
      </c>
      <c r="I12" s="112">
        <v>80000</v>
      </c>
      <c r="J12">
        <v>7500</v>
      </c>
      <c r="K12">
        <f t="shared" si="1"/>
        <v>0.0997380214636222</v>
      </c>
      <c r="L12">
        <f t="shared" si="2"/>
        <v>7979.04171708978</v>
      </c>
    </row>
    <row r="13" spans="1:12">
      <c r="A13" s="89">
        <v>109</v>
      </c>
      <c r="B13" s="89">
        <v>1605</v>
      </c>
      <c r="C13" s="1">
        <v>1</v>
      </c>
      <c r="D13" s="1">
        <v>1</v>
      </c>
      <c r="E13" s="89" t="s">
        <v>237</v>
      </c>
      <c r="F13">
        <v>5000</v>
      </c>
      <c r="H13" t="str">
        <f t="shared" si="0"/>
        <v>1|2|120000</v>
      </c>
      <c r="I13" s="112">
        <v>120000</v>
      </c>
      <c r="J13">
        <v>5000</v>
      </c>
      <c r="K13">
        <f t="shared" si="1"/>
        <v>0.0664920143090815</v>
      </c>
      <c r="L13">
        <f t="shared" si="2"/>
        <v>7979.04171708978</v>
      </c>
    </row>
    <row r="14" spans="1:12">
      <c r="A14" s="89">
        <v>110</v>
      </c>
      <c r="B14" s="89">
        <v>1605</v>
      </c>
      <c r="C14" s="1">
        <v>1</v>
      </c>
      <c r="D14" s="1">
        <v>1</v>
      </c>
      <c r="E14" s="89" t="s">
        <v>238</v>
      </c>
      <c r="F14">
        <v>11000</v>
      </c>
      <c r="H14" t="str">
        <f t="shared" si="0"/>
        <v>1|2|30000</v>
      </c>
      <c r="I14" s="112">
        <v>30000</v>
      </c>
      <c r="J14">
        <v>11000</v>
      </c>
      <c r="K14">
        <f t="shared" si="1"/>
        <v>0.146282431479979</v>
      </c>
      <c r="L14">
        <f t="shared" si="2"/>
        <v>4388.47294439938</v>
      </c>
    </row>
    <row r="15" spans="1:12">
      <c r="A15" s="89">
        <v>111</v>
      </c>
      <c r="B15" s="89">
        <v>1605</v>
      </c>
      <c r="C15" s="1">
        <v>1</v>
      </c>
      <c r="D15" s="1">
        <v>5</v>
      </c>
      <c r="E15" s="89" t="s">
        <v>239</v>
      </c>
      <c r="F15">
        <v>2000</v>
      </c>
      <c r="H15" t="str">
        <f t="shared" si="0"/>
        <v>1|2|500000</v>
      </c>
      <c r="I15" s="112">
        <v>500000</v>
      </c>
      <c r="J15">
        <v>2000</v>
      </c>
      <c r="K15">
        <f t="shared" si="1"/>
        <v>0.0265968057236326</v>
      </c>
      <c r="L15">
        <f t="shared" si="2"/>
        <v>13298.4028618163</v>
      </c>
    </row>
    <row r="16" spans="1:13">
      <c r="A16" s="89">
        <v>201</v>
      </c>
      <c r="B16" s="89">
        <v>1606</v>
      </c>
      <c r="C16" s="1">
        <v>1</v>
      </c>
      <c r="D16" s="1">
        <v>5</v>
      </c>
      <c r="E16" s="89" t="s">
        <v>240</v>
      </c>
      <c r="F16">
        <v>5000</v>
      </c>
      <c r="H16" t="str">
        <f t="shared" si="0"/>
        <v>1|2|750000</v>
      </c>
      <c r="I16" s="113">
        <v>750000</v>
      </c>
      <c r="J16">
        <v>5000</v>
      </c>
      <c r="K16">
        <f>J16/SUM(J$16:J$26)</f>
        <v>0.06805591473955</v>
      </c>
      <c r="L16">
        <f t="shared" si="2"/>
        <v>51041.9360546625</v>
      </c>
      <c r="M16">
        <f>SUM(L16:L26)/400000</f>
        <v>0.99000258612476</v>
      </c>
    </row>
    <row r="17" spans="1:12">
      <c r="A17" s="89">
        <v>202</v>
      </c>
      <c r="B17" s="89">
        <v>1606</v>
      </c>
      <c r="C17" s="1">
        <v>1</v>
      </c>
      <c r="D17" s="1">
        <v>1</v>
      </c>
      <c r="E17" s="89" t="s">
        <v>241</v>
      </c>
      <c r="F17">
        <v>8469</v>
      </c>
      <c r="H17" t="str">
        <f t="shared" si="0"/>
        <v>1|2|200000</v>
      </c>
      <c r="I17" s="113">
        <v>200000</v>
      </c>
      <c r="J17">
        <v>8469</v>
      </c>
      <c r="K17">
        <f t="shared" ref="K17:K26" si="3">J17/SUM(J$16:J$26)</f>
        <v>0.11527310838585</v>
      </c>
      <c r="L17">
        <f t="shared" ref="L17:L27" si="4">K17*I17</f>
        <v>23054.62167717</v>
      </c>
    </row>
    <row r="18" spans="1:12">
      <c r="A18" s="89">
        <v>203</v>
      </c>
      <c r="B18" s="89">
        <v>1606</v>
      </c>
      <c r="C18" s="1">
        <v>1</v>
      </c>
      <c r="D18" s="1">
        <v>1</v>
      </c>
      <c r="E18" s="89" t="s">
        <v>239</v>
      </c>
      <c r="F18">
        <v>6000</v>
      </c>
      <c r="H18" t="str">
        <f t="shared" si="0"/>
        <v>1|2|500000</v>
      </c>
      <c r="I18" s="113">
        <v>500000</v>
      </c>
      <c r="J18">
        <v>6000</v>
      </c>
      <c r="K18">
        <f t="shared" si="3"/>
        <v>0.08166709768746</v>
      </c>
      <c r="L18">
        <f t="shared" si="4"/>
        <v>40833.54884373</v>
      </c>
    </row>
    <row r="19" spans="1:12">
      <c r="A19" s="89">
        <v>204</v>
      </c>
      <c r="B19" s="89">
        <v>1606</v>
      </c>
      <c r="C19" s="1">
        <v>1</v>
      </c>
      <c r="D19" s="1">
        <v>1</v>
      </c>
      <c r="E19" s="89" t="s">
        <v>241</v>
      </c>
      <c r="F19">
        <v>10000</v>
      </c>
      <c r="H19" t="str">
        <f t="shared" si="0"/>
        <v>1|2|200000</v>
      </c>
      <c r="I19" s="113">
        <v>200000</v>
      </c>
      <c r="J19">
        <v>10000</v>
      </c>
      <c r="K19">
        <f t="shared" si="3"/>
        <v>0.1361118294791</v>
      </c>
      <c r="L19">
        <f t="shared" si="4"/>
        <v>27222.36589582</v>
      </c>
    </row>
    <row r="20" spans="1:12">
      <c r="A20" s="89">
        <v>205</v>
      </c>
      <c r="B20" s="89">
        <v>1606</v>
      </c>
      <c r="C20" s="1">
        <v>1</v>
      </c>
      <c r="D20" s="1">
        <v>1</v>
      </c>
      <c r="E20" s="89" t="s">
        <v>235</v>
      </c>
      <c r="F20">
        <v>7000</v>
      </c>
      <c r="H20" t="str">
        <f t="shared" si="0"/>
        <v>1|2|350000</v>
      </c>
      <c r="I20" s="113">
        <v>350000</v>
      </c>
      <c r="J20">
        <v>7000</v>
      </c>
      <c r="K20">
        <f t="shared" si="3"/>
        <v>0.09527828063537</v>
      </c>
      <c r="L20">
        <f t="shared" si="4"/>
        <v>33347.3982223795</v>
      </c>
    </row>
    <row r="21" spans="1:12">
      <c r="A21" s="89">
        <v>206</v>
      </c>
      <c r="B21" s="89">
        <v>1606</v>
      </c>
      <c r="C21" s="1">
        <v>1</v>
      </c>
      <c r="D21" s="1">
        <v>1</v>
      </c>
      <c r="E21" s="89" t="s">
        <v>242</v>
      </c>
      <c r="F21">
        <v>8000</v>
      </c>
      <c r="H21" t="str">
        <f t="shared" si="0"/>
        <v>1|2|250000</v>
      </c>
      <c r="I21" s="113">
        <v>250000</v>
      </c>
      <c r="J21">
        <v>8000</v>
      </c>
      <c r="K21">
        <f t="shared" si="3"/>
        <v>0.10888946358328</v>
      </c>
      <c r="L21">
        <f t="shared" si="4"/>
        <v>27222.36589582</v>
      </c>
    </row>
    <row r="22" spans="1:12">
      <c r="A22" s="89">
        <v>207</v>
      </c>
      <c r="B22" s="89">
        <v>1606</v>
      </c>
      <c r="C22" s="1">
        <v>1</v>
      </c>
      <c r="D22" s="1">
        <v>5</v>
      </c>
      <c r="E22" s="89" t="s">
        <v>243</v>
      </c>
      <c r="F22">
        <v>2500</v>
      </c>
      <c r="H22" t="str">
        <f t="shared" si="0"/>
        <v>1|2|1500000</v>
      </c>
      <c r="I22" s="113">
        <v>1500000</v>
      </c>
      <c r="J22">
        <v>2500</v>
      </c>
      <c r="K22">
        <f t="shared" si="3"/>
        <v>0.034027957369775</v>
      </c>
      <c r="L22">
        <f t="shared" si="4"/>
        <v>51041.9360546625</v>
      </c>
    </row>
    <row r="23" spans="1:12">
      <c r="A23" s="89">
        <v>208</v>
      </c>
      <c r="B23" s="89">
        <v>1606</v>
      </c>
      <c r="C23" s="1">
        <v>1</v>
      </c>
      <c r="D23" s="1">
        <v>1</v>
      </c>
      <c r="E23" s="89" t="s">
        <v>244</v>
      </c>
      <c r="F23">
        <v>8000</v>
      </c>
      <c r="H23" t="str">
        <f t="shared" si="0"/>
        <v>1|2|300000</v>
      </c>
      <c r="I23" s="113">
        <v>300000</v>
      </c>
      <c r="J23">
        <v>8000</v>
      </c>
      <c r="K23">
        <f t="shared" si="3"/>
        <v>0.10888946358328</v>
      </c>
      <c r="L23">
        <f t="shared" si="4"/>
        <v>32666.839074984</v>
      </c>
    </row>
    <row r="24" spans="1:12">
      <c r="A24" s="89">
        <v>209</v>
      </c>
      <c r="B24" s="89">
        <v>1606</v>
      </c>
      <c r="C24" s="1">
        <v>1</v>
      </c>
      <c r="D24" s="1">
        <v>1</v>
      </c>
      <c r="E24" s="89" t="s">
        <v>239</v>
      </c>
      <c r="F24">
        <v>5000</v>
      </c>
      <c r="H24" t="str">
        <f t="shared" si="0"/>
        <v>1|2|500000</v>
      </c>
      <c r="I24" s="113">
        <v>500000</v>
      </c>
      <c r="J24">
        <v>5000</v>
      </c>
      <c r="K24">
        <f t="shared" si="3"/>
        <v>0.06805591473955</v>
      </c>
      <c r="L24">
        <f t="shared" si="4"/>
        <v>34027.957369775</v>
      </c>
    </row>
    <row r="25" spans="1:12">
      <c r="A25" s="89">
        <v>210</v>
      </c>
      <c r="B25" s="89">
        <v>1606</v>
      </c>
      <c r="C25" s="1">
        <v>1</v>
      </c>
      <c r="D25" s="1">
        <v>1</v>
      </c>
      <c r="E25" s="89" t="s">
        <v>245</v>
      </c>
      <c r="F25">
        <v>12000</v>
      </c>
      <c r="H25" t="str">
        <f t="shared" si="0"/>
        <v>1|2|150000</v>
      </c>
      <c r="I25" s="113">
        <v>150000</v>
      </c>
      <c r="J25">
        <v>12000</v>
      </c>
      <c r="K25">
        <f t="shared" si="3"/>
        <v>0.16333419537492</v>
      </c>
      <c r="L25">
        <f t="shared" si="4"/>
        <v>24500.129306238</v>
      </c>
    </row>
    <row r="26" spans="1:12">
      <c r="A26" s="89">
        <v>211</v>
      </c>
      <c r="B26" s="89">
        <v>1606</v>
      </c>
      <c r="C26" s="1">
        <v>1</v>
      </c>
      <c r="D26" s="1">
        <v>5</v>
      </c>
      <c r="E26" s="89" t="s">
        <v>246</v>
      </c>
      <c r="F26">
        <v>1500</v>
      </c>
      <c r="H26" t="str">
        <f t="shared" si="0"/>
        <v>1|2|2500000</v>
      </c>
      <c r="I26" s="113">
        <v>2500000</v>
      </c>
      <c r="J26">
        <v>1500</v>
      </c>
      <c r="K26">
        <f t="shared" si="3"/>
        <v>0.020416774421865</v>
      </c>
      <c r="L26">
        <f t="shared" si="4"/>
        <v>51041.9360546625</v>
      </c>
    </row>
    <row r="27" spans="1:13">
      <c r="A27" s="89">
        <v>301</v>
      </c>
      <c r="B27" s="89">
        <v>1607</v>
      </c>
      <c r="C27" s="1">
        <v>4</v>
      </c>
      <c r="D27" s="1">
        <v>4</v>
      </c>
      <c r="E27" s="89" t="s">
        <v>247</v>
      </c>
      <c r="F27">
        <v>0</v>
      </c>
      <c r="H27" t="str">
        <f t="shared" si="0"/>
        <v>1|2|2000000</v>
      </c>
      <c r="I27" s="114">
        <v>2000000</v>
      </c>
      <c r="J27">
        <v>459933.446647781</v>
      </c>
      <c r="K27">
        <f>J27/SUM(J$27:J$37)</f>
        <v>0.0461011319990612</v>
      </c>
      <c r="L27">
        <f t="shared" si="4"/>
        <v>92202.2639981223</v>
      </c>
      <c r="M27">
        <f>SUM(L27:L37)/1000000</f>
        <v>0.99</v>
      </c>
    </row>
    <row r="28" spans="1:12">
      <c r="A28" s="89">
        <v>302</v>
      </c>
      <c r="B28" s="89">
        <v>1607</v>
      </c>
      <c r="C28" s="1">
        <v>1</v>
      </c>
      <c r="D28" s="1">
        <v>1</v>
      </c>
      <c r="E28" s="89" t="s">
        <v>240</v>
      </c>
      <c r="F28">
        <v>1217670</v>
      </c>
      <c r="H28" t="str">
        <f t="shared" si="0"/>
        <v>1|2|750000</v>
      </c>
      <c r="I28" s="114">
        <v>750000</v>
      </c>
      <c r="J28">
        <v>1217670</v>
      </c>
      <c r="K28">
        <f t="shared" ref="K28:K37" si="5">J28/SUM(J$27:J$37)</f>
        <v>0.122052366076968</v>
      </c>
      <c r="L28">
        <f t="shared" ref="L28:L37" si="6">K28*I28</f>
        <v>91539.2745577263</v>
      </c>
    </row>
    <row r="29" spans="1:12">
      <c r="A29" s="89">
        <v>303</v>
      </c>
      <c r="B29" s="89">
        <v>1607</v>
      </c>
      <c r="C29" s="1">
        <v>1</v>
      </c>
      <c r="D29" s="1">
        <v>1</v>
      </c>
      <c r="E29" s="89" t="s">
        <v>243</v>
      </c>
      <c r="F29">
        <v>600000</v>
      </c>
      <c r="H29" t="str">
        <f t="shared" si="0"/>
        <v>1|2|1500000</v>
      </c>
      <c r="I29" s="114">
        <v>1500000</v>
      </c>
      <c r="J29">
        <v>600000</v>
      </c>
      <c r="K29">
        <f t="shared" si="5"/>
        <v>0.0601406125191399</v>
      </c>
      <c r="L29">
        <f t="shared" si="6"/>
        <v>90210.9187787098</v>
      </c>
    </row>
    <row r="30" spans="1:12">
      <c r="A30" s="89">
        <v>304</v>
      </c>
      <c r="B30" s="89">
        <v>1607</v>
      </c>
      <c r="C30" s="1">
        <v>1</v>
      </c>
      <c r="D30" s="1">
        <v>1</v>
      </c>
      <c r="E30" s="89" t="s">
        <v>248</v>
      </c>
      <c r="F30">
        <v>1500000</v>
      </c>
      <c r="H30" t="str">
        <f t="shared" si="0"/>
        <v>1|2|600000</v>
      </c>
      <c r="I30" s="114">
        <v>600000</v>
      </c>
      <c r="J30">
        <v>1500000</v>
      </c>
      <c r="K30">
        <f t="shared" si="5"/>
        <v>0.15035153129785</v>
      </c>
      <c r="L30">
        <f t="shared" si="6"/>
        <v>90210.9187787098</v>
      </c>
    </row>
    <row r="31" spans="1:12">
      <c r="A31" s="89">
        <v>305</v>
      </c>
      <c r="B31" s="89">
        <v>1607</v>
      </c>
      <c r="C31" s="1">
        <v>1</v>
      </c>
      <c r="D31" s="1">
        <v>1</v>
      </c>
      <c r="E31" s="89" t="s">
        <v>249</v>
      </c>
      <c r="F31">
        <v>900000</v>
      </c>
      <c r="H31" t="str">
        <f t="shared" si="0"/>
        <v>1|2|1000000</v>
      </c>
      <c r="I31" s="114">
        <v>1000000</v>
      </c>
      <c r="J31">
        <v>900000</v>
      </c>
      <c r="K31">
        <f t="shared" si="5"/>
        <v>0.0902109187787098</v>
      </c>
      <c r="L31">
        <f t="shared" si="6"/>
        <v>90210.9187787098</v>
      </c>
    </row>
    <row r="32" spans="1:12">
      <c r="A32" s="89">
        <v>306</v>
      </c>
      <c r="B32" s="89">
        <v>1607</v>
      </c>
      <c r="C32" s="1">
        <v>1</v>
      </c>
      <c r="D32" s="1">
        <v>1</v>
      </c>
      <c r="E32" s="89" t="s">
        <v>240</v>
      </c>
      <c r="F32">
        <v>1200000</v>
      </c>
      <c r="H32" t="str">
        <f t="shared" si="0"/>
        <v>1|2|750000</v>
      </c>
      <c r="I32" s="114">
        <v>750000</v>
      </c>
      <c r="J32">
        <v>1200000</v>
      </c>
      <c r="K32">
        <f t="shared" si="5"/>
        <v>0.12028122503828</v>
      </c>
      <c r="L32">
        <f t="shared" si="6"/>
        <v>90210.9187787098</v>
      </c>
    </row>
    <row r="33" spans="1:12">
      <c r="A33" s="89">
        <v>307</v>
      </c>
      <c r="B33" s="89">
        <v>1607</v>
      </c>
      <c r="C33" s="1">
        <v>3</v>
      </c>
      <c r="D33" s="1">
        <v>3</v>
      </c>
      <c r="E33" s="89" t="s">
        <v>250</v>
      </c>
      <c r="F33">
        <v>0</v>
      </c>
      <c r="H33" t="str">
        <f t="shared" si="0"/>
        <v>1|2|6000000</v>
      </c>
      <c r="I33" s="114">
        <v>6000000</v>
      </c>
      <c r="J33">
        <v>153311.148882594</v>
      </c>
      <c r="K33">
        <f t="shared" si="5"/>
        <v>0.015367043999687</v>
      </c>
      <c r="L33">
        <f t="shared" si="6"/>
        <v>92202.2639981223</v>
      </c>
    </row>
    <row r="34" spans="1:12">
      <c r="A34" s="89">
        <v>308</v>
      </c>
      <c r="B34" s="89">
        <v>1607</v>
      </c>
      <c r="C34" s="1">
        <v>1</v>
      </c>
      <c r="D34" s="1">
        <v>1</v>
      </c>
      <c r="E34" s="89" t="s">
        <v>251</v>
      </c>
      <c r="F34">
        <v>1000000</v>
      </c>
      <c r="H34" t="str">
        <f t="shared" si="0"/>
        <v>1|2|900000</v>
      </c>
      <c r="I34" s="114">
        <v>900000</v>
      </c>
      <c r="J34">
        <v>1000000</v>
      </c>
      <c r="K34">
        <f t="shared" si="5"/>
        <v>0.100234354198566</v>
      </c>
      <c r="L34">
        <f t="shared" si="6"/>
        <v>90210.9187787098</v>
      </c>
    </row>
    <row r="35" spans="1:12">
      <c r="A35" s="89">
        <v>309</v>
      </c>
      <c r="B35" s="89">
        <v>1607</v>
      </c>
      <c r="C35" s="1">
        <v>1</v>
      </c>
      <c r="D35" s="1">
        <v>1</v>
      </c>
      <c r="E35" s="89" t="s">
        <v>252</v>
      </c>
      <c r="F35">
        <v>480000</v>
      </c>
      <c r="H35" t="str">
        <f t="shared" si="0"/>
        <v>1|2|1800000</v>
      </c>
      <c r="I35" s="114">
        <v>1800000</v>
      </c>
      <c r="J35">
        <v>480000</v>
      </c>
      <c r="K35">
        <f t="shared" si="5"/>
        <v>0.0481124900153119</v>
      </c>
      <c r="L35">
        <f t="shared" si="6"/>
        <v>86602.4820275614</v>
      </c>
    </row>
    <row r="36" spans="1:12">
      <c r="A36" s="89">
        <v>310</v>
      </c>
      <c r="B36" s="89">
        <v>1607</v>
      </c>
      <c r="C36" s="1">
        <v>1</v>
      </c>
      <c r="D36" s="1">
        <v>1</v>
      </c>
      <c r="E36" s="89" t="s">
        <v>235</v>
      </c>
      <c r="F36">
        <v>2400000</v>
      </c>
      <c r="H36" t="str">
        <f t="shared" si="0"/>
        <v>1|2|350000</v>
      </c>
      <c r="I36" s="114">
        <v>350000</v>
      </c>
      <c r="J36">
        <v>2400000</v>
      </c>
      <c r="K36">
        <f t="shared" si="5"/>
        <v>0.24056245007656</v>
      </c>
      <c r="L36">
        <f t="shared" si="6"/>
        <v>84196.8575267959</v>
      </c>
    </row>
    <row r="37" spans="1:12">
      <c r="A37" s="89">
        <v>311</v>
      </c>
      <c r="B37" s="89">
        <v>1607</v>
      </c>
      <c r="C37" s="1">
        <v>2</v>
      </c>
      <c r="D37" s="1">
        <v>2</v>
      </c>
      <c r="E37" s="89" t="s">
        <v>253</v>
      </c>
      <c r="F37">
        <v>0</v>
      </c>
      <c r="H37" t="str">
        <f t="shared" si="0"/>
        <v>1|2|14000000</v>
      </c>
      <c r="I37" s="114">
        <v>14000000</v>
      </c>
      <c r="J37">
        <v>65704.7780925401</v>
      </c>
      <c r="K37">
        <f t="shared" si="5"/>
        <v>0.00658587599986588</v>
      </c>
      <c r="L37">
        <f t="shared" si="6"/>
        <v>92202.2639981223</v>
      </c>
    </row>
  </sheetData>
  <conditionalFormatting sqref="A1:B4 E1:G4">
    <cfRule type="containsText" dxfId="0" priority="2" operator="between" text=" ">
      <formula>NOT(ISERROR(SEARCH(" ",A1)))</formula>
    </cfRule>
  </conditionalFormatting>
  <conditionalFormatting sqref="C1:D4">
    <cfRule type="containsText" dxfId="0" priority="1" operator="between" text=" ">
      <formula>NOT(ISERROR(SEARCH(" ",C1)))</formula>
    </cfRule>
  </conditionalFormatting>
  <pageMargins left="0.7" right="0.7" top="0.75" bottom="0.75" header="0.3" footer="0.3"/>
  <pageSetup paperSize="9" orientation="portrait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5"/>
  <sheetViews>
    <sheetView workbookViewId="0">
      <selection activeCell="D6" sqref="D6"/>
    </sheetView>
  </sheetViews>
  <sheetFormatPr defaultColWidth="9" defaultRowHeight="14.4"/>
  <cols>
    <col min="2" max="5" width="13.1111111111111" customWidth="1"/>
    <col min="6" max="6" width="16.6666666666667" customWidth="1"/>
    <col min="7" max="8" width="13.1111111111111" customWidth="1"/>
    <col min="9" max="9" width="63.4444444444444" customWidth="1"/>
    <col min="10" max="11" width="13.1111111111111" customWidth="1"/>
    <col min="12" max="12" width="29.7777777777778" customWidth="1"/>
    <col min="13" max="14" width="13.1111111111111" customWidth="1"/>
    <col min="15" max="15" width="26.4444444444444" customWidth="1"/>
    <col min="16" max="16" width="18.7777777777778" customWidth="1"/>
    <col min="17" max="17" width="16.4444444444444" customWidth="1"/>
  </cols>
  <sheetData>
    <row r="1" ht="15" spans="1:17">
      <c r="A1" s="52" t="s">
        <v>254</v>
      </c>
      <c r="B1" s="52" t="s">
        <v>0</v>
      </c>
      <c r="C1" s="52" t="s">
        <v>0</v>
      </c>
      <c r="D1" s="52" t="s">
        <v>58</v>
      </c>
      <c r="E1" s="52" t="s">
        <v>0</v>
      </c>
      <c r="F1" s="52" t="s">
        <v>0</v>
      </c>
      <c r="G1" s="52" t="s">
        <v>0</v>
      </c>
      <c r="H1" s="52" t="s">
        <v>0</v>
      </c>
      <c r="I1" s="52" t="s">
        <v>0</v>
      </c>
      <c r="J1" s="52" t="s">
        <v>0</v>
      </c>
      <c r="K1" s="52" t="s">
        <v>0</v>
      </c>
      <c r="L1" s="52" t="s">
        <v>0</v>
      </c>
      <c r="M1" s="52" t="s">
        <v>0</v>
      </c>
      <c r="N1" s="52" t="s">
        <v>0</v>
      </c>
      <c r="O1" s="52" t="s">
        <v>0</v>
      </c>
      <c r="P1" s="52" t="s">
        <v>0</v>
      </c>
      <c r="Q1" s="52" t="s">
        <v>0</v>
      </c>
    </row>
    <row r="2" ht="15.75" spans="1:17">
      <c r="A2" s="52" t="s">
        <v>9</v>
      </c>
      <c r="B2" s="52" t="s">
        <v>9</v>
      </c>
      <c r="C2" s="52" t="s">
        <v>9</v>
      </c>
      <c r="D2" s="52" t="s">
        <v>255</v>
      </c>
      <c r="E2" s="52" t="s">
        <v>9</v>
      </c>
      <c r="F2" s="52" t="s">
        <v>10</v>
      </c>
      <c r="G2" s="52" t="s">
        <v>9</v>
      </c>
      <c r="H2" s="52" t="s">
        <v>9</v>
      </c>
      <c r="I2" s="52" t="s">
        <v>10</v>
      </c>
      <c r="J2" s="52" t="s">
        <v>9</v>
      </c>
      <c r="K2" s="52" t="s">
        <v>9</v>
      </c>
      <c r="L2" s="52" t="s">
        <v>10</v>
      </c>
      <c r="M2" s="52" t="s">
        <v>9</v>
      </c>
      <c r="N2" s="52" t="s">
        <v>9</v>
      </c>
      <c r="O2" s="52" t="s">
        <v>10</v>
      </c>
      <c r="P2" s="52" t="s">
        <v>9</v>
      </c>
      <c r="Q2" s="52" t="s">
        <v>10</v>
      </c>
    </row>
    <row r="3" ht="15.15" spans="1:17">
      <c r="A3" s="100" t="s">
        <v>31</v>
      </c>
      <c r="B3" s="100" t="s">
        <v>256</v>
      </c>
      <c r="C3" s="101" t="s">
        <v>257</v>
      </c>
      <c r="D3" s="101" t="s">
        <v>258</v>
      </c>
      <c r="E3" s="101" t="s">
        <v>259</v>
      </c>
      <c r="F3" s="101" t="s">
        <v>260</v>
      </c>
      <c r="G3" s="101" t="s">
        <v>261</v>
      </c>
      <c r="H3" s="101" t="s">
        <v>262</v>
      </c>
      <c r="I3" s="100" t="s">
        <v>263</v>
      </c>
      <c r="J3" s="101" t="s">
        <v>264</v>
      </c>
      <c r="K3" s="101" t="s">
        <v>265</v>
      </c>
      <c r="L3" s="101" t="s">
        <v>266</v>
      </c>
      <c r="M3" s="100" t="s">
        <v>267</v>
      </c>
      <c r="N3" s="101" t="s">
        <v>268</v>
      </c>
      <c r="O3" s="101" t="s">
        <v>269</v>
      </c>
      <c r="P3" s="101" t="s">
        <v>270</v>
      </c>
      <c r="Q3" s="101" t="s">
        <v>271</v>
      </c>
    </row>
    <row r="4" ht="39.6" spans="1:17">
      <c r="A4" s="102" t="s">
        <v>31</v>
      </c>
      <c r="B4" s="102" t="s">
        <v>272</v>
      </c>
      <c r="C4" s="103" t="s">
        <v>273</v>
      </c>
      <c r="D4" s="103" t="s">
        <v>274</v>
      </c>
      <c r="E4" s="103" t="s">
        <v>275</v>
      </c>
      <c r="F4" s="103" t="s">
        <v>276</v>
      </c>
      <c r="G4" s="103" t="s">
        <v>277</v>
      </c>
      <c r="H4" s="103" t="s">
        <v>278</v>
      </c>
      <c r="I4" s="102" t="s">
        <v>279</v>
      </c>
      <c r="J4" s="103" t="s">
        <v>280</v>
      </c>
      <c r="K4" s="103" t="s">
        <v>281</v>
      </c>
      <c r="L4" s="103" t="s">
        <v>282</v>
      </c>
      <c r="M4" s="102" t="s">
        <v>283</v>
      </c>
      <c r="N4" s="103" t="s">
        <v>281</v>
      </c>
      <c r="O4" s="103" t="s">
        <v>282</v>
      </c>
      <c r="P4" s="103" t="s">
        <v>284</v>
      </c>
      <c r="Q4" s="103" t="s">
        <v>285</v>
      </c>
    </row>
    <row r="5" s="99" customFormat="1" ht="27.75" customHeight="1" spans="1:17">
      <c r="A5" s="104">
        <v>1</v>
      </c>
      <c r="B5" s="104">
        <v>7</v>
      </c>
      <c r="C5" s="104">
        <v>3</v>
      </c>
      <c r="D5" s="104">
        <v>0.99</v>
      </c>
      <c r="E5" s="104">
        <v>2000000</v>
      </c>
      <c r="F5" s="105" t="str">
        <f t="shared" ref="F5" si="0">ROUND(E5*0.95,0)&amp;","&amp;ROUND(E5*1.05,0)</f>
        <v>1900000,2100000</v>
      </c>
      <c r="G5" s="104">
        <v>1250</v>
      </c>
      <c r="H5" s="104">
        <v>20</v>
      </c>
      <c r="I5" s="104" t="s">
        <v>286</v>
      </c>
      <c r="J5" s="104">
        <v>3000000</v>
      </c>
      <c r="K5" s="104">
        <v>10</v>
      </c>
      <c r="L5" s="104" t="s">
        <v>287</v>
      </c>
      <c r="M5" s="104">
        <v>1500000</v>
      </c>
      <c r="N5" s="104">
        <v>10</v>
      </c>
      <c r="O5" s="104" t="s">
        <v>288</v>
      </c>
      <c r="P5" s="104">
        <v>1200</v>
      </c>
      <c r="Q5" s="109" t="str">
        <f>ROUND(E5*0.98,0)&amp;","&amp;ROUND(E5*1.02,0)</f>
        <v>1960000,2040000</v>
      </c>
    </row>
    <row r="7" spans="6:6">
      <c r="F7" s="106"/>
    </row>
    <row r="8" spans="6:6">
      <c r="F8" s="106"/>
    </row>
    <row r="9" spans="6:6">
      <c r="F9" s="106"/>
    </row>
    <row r="10" spans="6:6">
      <c r="F10" s="106"/>
    </row>
    <row r="15" spans="8:15">
      <c r="H15" s="107"/>
      <c r="I15" s="108"/>
      <c r="K15" s="107"/>
      <c r="L15" s="108"/>
      <c r="N15" s="107"/>
      <c r="O15" s="108"/>
    </row>
  </sheetData>
  <conditionalFormatting sqref="E1:Q1">
    <cfRule type="containsText" dxfId="0" priority="348" operator="between" text=" ">
      <formula>NOT(ISERROR(SEARCH(" ",E1)))</formula>
    </cfRule>
  </conditionalFormatting>
  <conditionalFormatting sqref="E2">
    <cfRule type="containsText" dxfId="0" priority="8" operator="between" text=" ">
      <formula>NOT(ISERROR(SEARCH(" ",E2)))</formula>
    </cfRule>
  </conditionalFormatting>
  <conditionalFormatting sqref="F5">
    <cfRule type="containsText" dxfId="0" priority="12" operator="between" text=" ">
      <formula>NOT(ISERROR(SEARCH(" ",F5)))</formula>
    </cfRule>
    <cfRule type="containsText" dxfId="3" priority="13" operator="between" text=".">
      <formula>NOT(ISERROR(SEARCH(".",F5)))</formula>
    </cfRule>
  </conditionalFormatting>
  <conditionalFormatting sqref="Q5">
    <cfRule type="containsText" dxfId="0" priority="10" operator="between" text=" ">
      <formula>NOT(ISERROR(SEARCH(" ",Q5)))</formula>
    </cfRule>
    <cfRule type="containsText" dxfId="3" priority="11" operator="between" text=".">
      <formula>NOT(ISERROR(SEARCH(".",Q5)))</formula>
    </cfRule>
  </conditionalFormatting>
  <conditionalFormatting sqref="I15">
    <cfRule type="containsText" dxfId="0" priority="5" operator="between" text=" ">
      <formula>NOT(ISERROR(SEARCH(" ",I15)))</formula>
    </cfRule>
    <cfRule type="containsText" dxfId="3" priority="6" operator="between" text=".">
      <formula>NOT(ISERROR(SEARCH(".",I15)))</formula>
    </cfRule>
  </conditionalFormatting>
  <conditionalFormatting sqref="L15">
    <cfRule type="containsText" dxfId="3" priority="3" operator="between" text=".">
      <formula>NOT(ISERROR(SEARCH(".",L15)))</formula>
    </cfRule>
    <cfRule type="containsText" dxfId="0" priority="4" operator="between" text=" ">
      <formula>NOT(ISERROR(SEARCH(" ",L15)))</formula>
    </cfRule>
  </conditionalFormatting>
  <conditionalFormatting sqref="O15">
    <cfRule type="containsText" dxfId="3" priority="1" operator="between" text=".">
      <formula>NOT(ISERROR(SEARCH(".",O15)))</formula>
    </cfRule>
    <cfRule type="containsText" dxfId="0" priority="2" operator="between" text=" ">
      <formula>NOT(ISERROR(SEARCH(" ",O15)))</formula>
    </cfRule>
  </conditionalFormatting>
  <conditionalFormatting sqref="A1:A2">
    <cfRule type="containsText" dxfId="0" priority="346" operator="between" text=" ">
      <formula>NOT(ISERROR(SEARCH(" ",A1)))</formula>
    </cfRule>
  </conditionalFormatting>
  <conditionalFormatting sqref="F2:Q2 B1:D2">
    <cfRule type="containsText" dxfId="0" priority="9" operator="between" text=" ">
      <formula>NOT(ISERROR(SEARCH(" ",B1)))</formula>
    </cfRule>
  </conditionalFormatting>
  <pageMargins left="0.7" right="0.7" top="0.75" bottom="0.75" header="0.3" footer="0.3"/>
  <pageSetup paperSize="9" orientation="portrait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7"/>
  <sheetViews>
    <sheetView workbookViewId="0">
      <selection activeCell="B7" sqref="B7"/>
    </sheetView>
  </sheetViews>
  <sheetFormatPr defaultColWidth="9" defaultRowHeight="14.4" outlineLevelRow="6" outlineLevelCol="2"/>
  <cols>
    <col min="2" max="2" width="12.6666666666667" customWidth="1"/>
    <col min="3" max="3" width="12.1111111111111" customWidth="1"/>
  </cols>
  <sheetData>
    <row r="1" ht="15" spans="1:3">
      <c r="A1" s="52" t="s">
        <v>0</v>
      </c>
      <c r="B1" s="52" t="s">
        <v>0</v>
      </c>
      <c r="C1" s="52" t="s">
        <v>0</v>
      </c>
    </row>
    <row r="2" ht="15" spans="1:3">
      <c r="A2" s="52" t="s">
        <v>9</v>
      </c>
      <c r="B2" s="52" t="s">
        <v>10</v>
      </c>
      <c r="C2" s="52" t="s">
        <v>10</v>
      </c>
    </row>
    <row r="3" ht="15" spans="1:3">
      <c r="A3" s="52" t="s">
        <v>31</v>
      </c>
      <c r="B3" s="52" t="s">
        <v>289</v>
      </c>
      <c r="C3" s="52" t="s">
        <v>290</v>
      </c>
    </row>
    <row r="4" ht="15" spans="1:3">
      <c r="A4" s="52" t="s">
        <v>291</v>
      </c>
      <c r="B4" s="52" t="s">
        <v>292</v>
      </c>
      <c r="C4" s="52" t="s">
        <v>293</v>
      </c>
    </row>
    <row r="5" ht="15.6" spans="1:3">
      <c r="A5" s="89">
        <v>1</v>
      </c>
      <c r="B5" s="89" t="s">
        <v>294</v>
      </c>
      <c r="C5" s="89" t="s">
        <v>295</v>
      </c>
    </row>
    <row r="6" ht="15.6" spans="1:3">
      <c r="A6" s="89">
        <v>2</v>
      </c>
      <c r="B6" s="89" t="s">
        <v>296</v>
      </c>
      <c r="C6" s="89" t="s">
        <v>297</v>
      </c>
    </row>
    <row r="7" ht="15.6" spans="1:3">
      <c r="A7" s="89">
        <v>3</v>
      </c>
      <c r="B7" s="89" t="s">
        <v>298</v>
      </c>
      <c r="C7" s="89" t="s">
        <v>299</v>
      </c>
    </row>
  </sheetData>
  <conditionalFormatting sqref="A1:A4">
    <cfRule type="containsText" dxfId="0" priority="2" operator="between" text=" ">
      <formula>NOT(ISERROR(SEARCH(" ",A1)))</formula>
    </cfRule>
  </conditionalFormatting>
  <conditionalFormatting sqref="B1:B4 C1:C2 B2:C4">
    <cfRule type="containsText" dxfId="0" priority="1" operator="between" text=" ">
      <formula>NOT(ISERROR(SEARCH(" ",B1)))</formula>
    </cfRule>
  </conditionalFormatting>
  <pageMargins left="0.7" right="0.7" top="0.75" bottom="0.75" header="0.3" footer="0.3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1"/>
  <sheetViews>
    <sheetView tabSelected="1" workbookViewId="0">
      <selection activeCell="H8" sqref="H8"/>
    </sheetView>
  </sheetViews>
  <sheetFormatPr defaultColWidth="8.88888888888889" defaultRowHeight="14.4" outlineLevelCol="4"/>
  <cols>
    <col min="2" max="4" width="11.7777777777778" customWidth="1"/>
    <col min="5" max="5" width="12.6666666666667" customWidth="1"/>
  </cols>
  <sheetData>
    <row r="1" ht="15" spans="1:5">
      <c r="A1" s="52" t="s">
        <v>0</v>
      </c>
      <c r="B1" s="52" t="s">
        <v>0</v>
      </c>
      <c r="C1" s="52" t="s">
        <v>0</v>
      </c>
      <c r="D1" s="52" t="s">
        <v>0</v>
      </c>
      <c r="E1" s="52" t="s">
        <v>0</v>
      </c>
    </row>
    <row r="2" ht="15" spans="1:5">
      <c r="A2" s="97" t="s">
        <v>9</v>
      </c>
      <c r="B2" s="97" t="s">
        <v>9</v>
      </c>
      <c r="C2" s="97" t="s">
        <v>10</v>
      </c>
      <c r="D2" s="97" t="s">
        <v>10</v>
      </c>
      <c r="E2" s="97" t="s">
        <v>9</v>
      </c>
    </row>
    <row r="3" ht="15" spans="1:5">
      <c r="A3" s="97" t="s">
        <v>31</v>
      </c>
      <c r="B3" s="97" t="s">
        <v>300</v>
      </c>
      <c r="C3" s="97" t="s">
        <v>301</v>
      </c>
      <c r="D3" s="97" t="s">
        <v>302</v>
      </c>
      <c r="E3" s="97" t="s">
        <v>303</v>
      </c>
    </row>
    <row r="4" ht="60.6" spans="1:5">
      <c r="A4" s="97" t="s">
        <v>72</v>
      </c>
      <c r="B4" s="98" t="s">
        <v>304</v>
      </c>
      <c r="C4" s="98" t="s">
        <v>305</v>
      </c>
      <c r="D4" s="98" t="s">
        <v>306</v>
      </c>
      <c r="E4" s="98" t="s">
        <v>307</v>
      </c>
    </row>
    <row r="5" spans="1:2">
      <c r="A5">
        <v>1</v>
      </c>
      <c r="B5">
        <v>7</v>
      </c>
    </row>
    <row r="6" spans="1:2">
      <c r="A6">
        <v>2</v>
      </c>
      <c r="B6">
        <v>7</v>
      </c>
    </row>
    <row r="7" spans="1:2">
      <c r="A7">
        <v>3</v>
      </c>
      <c r="B7">
        <v>7</v>
      </c>
    </row>
    <row r="8" spans="1:2">
      <c r="A8">
        <v>4</v>
      </c>
      <c r="B8">
        <v>7</v>
      </c>
    </row>
    <row r="9" spans="1:2">
      <c r="A9">
        <v>5</v>
      </c>
      <c r="B9">
        <v>7</v>
      </c>
    </row>
    <row r="10" spans="1:2">
      <c r="A10">
        <v>6</v>
      </c>
      <c r="B10">
        <v>7</v>
      </c>
    </row>
    <row r="11" spans="1:4">
      <c r="A11">
        <v>7</v>
      </c>
      <c r="B11">
        <v>7</v>
      </c>
      <c r="C11" t="s">
        <v>308</v>
      </c>
      <c r="D11" t="s">
        <v>309</v>
      </c>
    </row>
  </sheetData>
  <conditionalFormatting sqref="B1">
    <cfRule type="containsText" dxfId="0" priority="6" operator="between" text=" ">
      <formula>NOT(ISERROR(SEARCH(" ",B1)))</formula>
    </cfRule>
  </conditionalFormatting>
  <conditionalFormatting sqref="C1">
    <cfRule type="containsText" dxfId="0" priority="5" operator="between" text=" ">
      <formula>NOT(ISERROR(SEARCH(" ",C1)))</formula>
    </cfRule>
  </conditionalFormatting>
  <conditionalFormatting sqref="D1">
    <cfRule type="containsText" dxfId="0" priority="2" operator="between" text=" ">
      <formula>NOT(ISERROR(SEARCH(" ",D1)))</formula>
    </cfRule>
  </conditionalFormatting>
  <conditionalFormatting sqref="E1">
    <cfRule type="containsText" dxfId="0" priority="4" operator="between" text=" ">
      <formula>NOT(ISERROR(SEARCH(" ",E1)))</formula>
    </cfRule>
  </conditionalFormatting>
  <conditionalFormatting sqref="D2">
    <cfRule type="containsText" dxfId="0" priority="1" operator="between" text=" ">
      <formula>NOT(ISERROR(SEARCH(" ",D2)))</formula>
    </cfRule>
  </conditionalFormatting>
  <conditionalFormatting sqref="B3:D3">
    <cfRule type="containsText" dxfId="0" priority="18" operator="between" text=" ">
      <formula>NOT(ISERROR(SEARCH(" ",B3)))</formula>
    </cfRule>
  </conditionalFormatting>
  <conditionalFormatting sqref="E3">
    <cfRule type="containsText" dxfId="0" priority="16" operator="between" text=" ">
      <formula>NOT(ISERROR(SEARCH(" ",E3)))</formula>
    </cfRule>
  </conditionalFormatting>
  <conditionalFormatting sqref="A4">
    <cfRule type="containsText" dxfId="0" priority="23" operator="between" text=" ">
      <formula>NOT(ISERROR(SEARCH(" ",A4)))</formula>
    </cfRule>
  </conditionalFormatting>
  <conditionalFormatting sqref="E4">
    <cfRule type="containsText" dxfId="0" priority="15" operator="between" text=" ">
      <formula>NOT(ISERROR(SEARCH(" ",E4)))</formula>
    </cfRule>
  </conditionalFormatting>
  <conditionalFormatting sqref="A1 B4:D4">
    <cfRule type="containsText" dxfId="0" priority="25" operator="between" text=" ">
      <formula>NOT(ISERROR(SEARCH(" ",A1)))</formula>
    </cfRule>
  </conditionalFormatting>
  <conditionalFormatting sqref="A2:A3 B2:C2 E2">
    <cfRule type="containsText" dxfId="0" priority="24" operator="between" text=" ">
      <formula>NOT(ISERROR(SEARCH(" ",A2)))</formula>
    </cfRule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15</vt:i4>
      </vt:variant>
    </vt:vector>
  </HeadingPairs>
  <TitlesOfParts>
    <vt:vector size="15" baseType="lpstr">
      <vt:lpstr>国庆7天乐|GuoqingActivity</vt:lpstr>
      <vt:lpstr>砸金蛋|SmashEgg</vt:lpstr>
      <vt:lpstr>金蛋任务|EggTask</vt:lpstr>
      <vt:lpstr>新手明日礼|TomorrowGift</vt:lpstr>
      <vt:lpstr>幸运抽抽乐|LuckyGold</vt:lpstr>
      <vt:lpstr>弹珠碰碰碰|MarblesCrash</vt:lpstr>
      <vt:lpstr>奖池|MarblesJackpot</vt:lpstr>
      <vt:lpstr>弹珠显示|MarblesPrice</vt:lpstr>
      <vt:lpstr>你游戏我买单|CashBack</vt:lpstr>
      <vt:lpstr>勇者斗恶龙|DragonDrop</vt:lpstr>
      <vt:lpstr>猴王碎片|MonkeyPaoSP</vt:lpstr>
      <vt:lpstr>翻牌活动|FlopActivity</vt:lpstr>
      <vt:lpstr>翻牌机制|FlopRule</vt:lpstr>
      <vt:lpstr>翻牌牌型|FlopType</vt:lpstr>
      <vt:lpstr>GM配置活动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、 小九</cp:lastModifiedBy>
  <dcterms:created xsi:type="dcterms:W3CDTF">2006-09-16T00:00:00Z</dcterms:created>
  <dcterms:modified xsi:type="dcterms:W3CDTF">2021-06-07T08:48:55Z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2052-11.1.0.10495</vt:lpwstr>
  </property>
  <property fmtid="{D5CDD505-2E9C-101B-9397-08002B2CF9AE}" pid="3" name="ICV">
    <vt:lpwstr>4DBC40216A8B4C64A3E07228CE1D48B7</vt:lpwstr>
  </property>
</Properties>
</file>