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3904" windowHeight="10284" tabRatio="864" activeTab="1"/>
  </bookViews>
  <sheets>
    <sheet name="炮解锁|CannonUnlock" sheetId="10" r:id="rId1"/>
    <sheet name="全局参数|GlobalPar" sheetId="8" r:id="rId2"/>
    <sheet name="VIP升级|VIPUp" sheetId="27" r:id="rId3"/>
    <sheet name="看广告VIP特权|VIPAd" sheetId="47" r:id="rId4"/>
    <sheet name="VIP特权类型|VIPPower" sheetId="46" r:id="rId5"/>
    <sheet name="弹头价值|Dantou" sheetId="45" r:id="rId6"/>
    <sheet name="道具|Item" sheetId="26" r:id="rId7"/>
    <sheet name="道具|Item-f" sheetId="34" r:id="rId8"/>
  </sheets>
  <externalReferences>
    <externalReference r:id="rId9"/>
  </externalReferences>
  <definedNames>
    <definedName name="_xlnm._FilterDatabase" localSheetId="6" hidden="1">'道具|Item'!$A$1:$AC$83</definedName>
  </definedNames>
  <calcPr calcId="162913"/>
</workbook>
</file>

<file path=xl/calcChain.xml><?xml version="1.0" encoding="utf-8"?>
<calcChain xmlns="http://schemas.openxmlformats.org/spreadsheetml/2006/main">
  <c r="N18" i="10" l="1"/>
  <c r="N17" i="10" s="1"/>
  <c r="N16" i="10" s="1"/>
  <c r="N15" i="10" s="1"/>
  <c r="N14" i="10" s="1"/>
  <c r="N13" i="10" s="1"/>
  <c r="N12" i="10" s="1"/>
  <c r="N11" i="10" s="1"/>
  <c r="N10" i="10" s="1"/>
  <c r="N9" i="10" s="1"/>
  <c r="N8" i="10" s="1"/>
  <c r="N7" i="10" s="1"/>
  <c r="N6" i="10" s="1"/>
  <c r="N5" i="10" s="1"/>
  <c r="N19" i="10"/>
  <c r="CP21" i="10"/>
  <c r="CP22" i="10"/>
  <c r="CP23" i="10"/>
  <c r="CP24" i="10"/>
  <c r="CP25" i="10"/>
  <c r="CP26" i="10"/>
  <c r="CP27" i="10"/>
  <c r="CP28" i="10"/>
  <c r="CP29" i="10"/>
  <c r="CP30" i="10"/>
  <c r="CP31" i="10"/>
  <c r="CP32" i="10"/>
  <c r="CP20" i="10"/>
  <c r="CN23" i="10"/>
  <c r="CO23" i="10"/>
  <c r="CN25" i="10"/>
  <c r="CO25" i="10"/>
  <c r="CN26" i="10"/>
  <c r="CO26" i="10"/>
  <c r="CN29" i="10"/>
  <c r="CO29" i="10"/>
  <c r="CN30" i="10"/>
  <c r="CO30" i="10"/>
  <c r="CO21" i="10"/>
  <c r="CN21" i="10"/>
  <c r="CL21" i="10"/>
  <c r="CL22" i="10"/>
  <c r="CL23" i="10"/>
  <c r="CL24" i="10"/>
  <c r="CL25" i="10"/>
  <c r="CL26" i="10"/>
  <c r="CL27" i="10"/>
  <c r="CL28" i="10"/>
  <c r="CL29" i="10"/>
  <c r="CL30" i="10"/>
  <c r="CL31" i="10"/>
  <c r="CL32" i="10"/>
  <c r="CL20" i="10"/>
  <c r="P5" i="34" l="1"/>
  <c r="O5" i="34"/>
  <c r="N5" i="34"/>
  <c r="M5" i="34"/>
  <c r="L5" i="34"/>
  <c r="K5" i="34"/>
  <c r="J5" i="34"/>
  <c r="I5" i="34"/>
  <c r="H5" i="34"/>
  <c r="G5" i="34"/>
  <c r="F5" i="34"/>
  <c r="E5" i="34"/>
  <c r="F83" i="26"/>
  <c r="F82" i="26"/>
  <c r="F81" i="26"/>
  <c r="F80" i="26"/>
  <c r="F79" i="26"/>
  <c r="F78" i="26"/>
  <c r="F77" i="26"/>
  <c r="F76" i="26"/>
  <c r="F75" i="26"/>
  <c r="F74" i="26"/>
  <c r="F73" i="26"/>
  <c r="I72" i="26"/>
  <c r="F72" i="26"/>
  <c r="I71" i="26"/>
  <c r="F71" i="26"/>
  <c r="I70" i="26"/>
  <c r="F70" i="26"/>
  <c r="I69" i="26"/>
  <c r="F69" i="26"/>
  <c r="I68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X56" i="26"/>
  <c r="F56" i="26"/>
  <c r="X55" i="26"/>
  <c r="F55" i="26"/>
  <c r="X54" i="26"/>
  <c r="F54" i="26"/>
  <c r="X53" i="26"/>
  <c r="F53" i="26"/>
  <c r="X52" i="26"/>
  <c r="F52" i="26"/>
  <c r="X51" i="26"/>
  <c r="F51" i="26"/>
  <c r="X50" i="26"/>
  <c r="F50" i="26"/>
  <c r="X49" i="26"/>
  <c r="F49" i="26"/>
  <c r="E48" i="26"/>
  <c r="F48" i="26" s="1"/>
  <c r="E47" i="26"/>
  <c r="F47" i="26" s="1"/>
  <c r="E46" i="26"/>
  <c r="F46" i="26" s="1"/>
  <c r="E45" i="26"/>
  <c r="F45" i="26" s="1"/>
  <c r="F44" i="26"/>
  <c r="F43" i="26"/>
  <c r="F42" i="26"/>
  <c r="F41" i="26"/>
  <c r="F40" i="26"/>
  <c r="F39" i="26"/>
  <c r="E38" i="26"/>
  <c r="F38" i="26" s="1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G17" i="26"/>
  <c r="G16" i="26"/>
  <c r="G15" i="26"/>
  <c r="G14" i="26"/>
  <c r="G13" i="26"/>
  <c r="B8" i="45"/>
  <c r="H7" i="45"/>
  <c r="B7" i="45"/>
  <c r="D7" i="45" s="1"/>
  <c r="C8" i="45" s="1"/>
  <c r="D6" i="45"/>
  <c r="C7" i="45" s="1"/>
  <c r="C6" i="45"/>
  <c r="B6" i="45"/>
  <c r="F7" i="45" s="1"/>
  <c r="G5" i="45"/>
  <c r="D5" i="45"/>
  <c r="C5" i="45"/>
  <c r="F5" i="45" s="1"/>
  <c r="B5" i="45"/>
  <c r="F6" i="45" s="1"/>
  <c r="E105" i="47"/>
  <c r="E104" i="47"/>
  <c r="E103" i="47"/>
  <c r="E102" i="47"/>
  <c r="E101" i="47"/>
  <c r="E100" i="47"/>
  <c r="U99" i="47"/>
  <c r="U100" i="47" s="1"/>
  <c r="U101" i="47" s="1"/>
  <c r="U102" i="47" s="1"/>
  <c r="U103" i="47" s="1"/>
  <c r="U104" i="47" s="1"/>
  <c r="U105" i="47" s="1"/>
  <c r="E99" i="47"/>
  <c r="U98" i="47"/>
  <c r="E98" i="47"/>
  <c r="U97" i="47"/>
  <c r="E97" i="47"/>
  <c r="AL96" i="47"/>
  <c r="E96" i="47"/>
  <c r="D96" i="47"/>
  <c r="C96" i="47"/>
  <c r="B96" i="47"/>
  <c r="E95" i="47"/>
  <c r="E94" i="47"/>
  <c r="E93" i="47"/>
  <c r="E92" i="47"/>
  <c r="E91" i="47"/>
  <c r="E90" i="47"/>
  <c r="E89" i="47"/>
  <c r="E88" i="47"/>
  <c r="U87" i="47"/>
  <c r="U88" i="47" s="1"/>
  <c r="U89" i="47" s="1"/>
  <c r="U90" i="47" s="1"/>
  <c r="U91" i="47" s="1"/>
  <c r="U92" i="47" s="1"/>
  <c r="U93" i="47" s="1"/>
  <c r="U94" i="47" s="1"/>
  <c r="U95" i="47" s="1"/>
  <c r="E87" i="47"/>
  <c r="AL86" i="47"/>
  <c r="E86" i="47"/>
  <c r="D86" i="47"/>
  <c r="B86" i="47"/>
  <c r="E85" i="47"/>
  <c r="E84" i="47"/>
  <c r="E83" i="47"/>
  <c r="E82" i="47"/>
  <c r="E81" i="47"/>
  <c r="E80" i="47"/>
  <c r="U79" i="47"/>
  <c r="U80" i="47" s="1"/>
  <c r="U81" i="47" s="1"/>
  <c r="U82" i="47" s="1"/>
  <c r="U83" i="47" s="1"/>
  <c r="U84" i="47" s="1"/>
  <c r="U85" i="47" s="1"/>
  <c r="E79" i="47"/>
  <c r="E78" i="47"/>
  <c r="U77" i="47"/>
  <c r="U78" i="47" s="1"/>
  <c r="E77" i="47"/>
  <c r="AL76" i="47"/>
  <c r="E76" i="47"/>
  <c r="D76" i="47"/>
  <c r="B76" i="47"/>
  <c r="AE78" i="47" s="1"/>
  <c r="AF77" i="47" s="1"/>
  <c r="E75" i="47"/>
  <c r="E74" i="47"/>
  <c r="E73" i="47"/>
  <c r="E72" i="47"/>
  <c r="E71" i="47"/>
  <c r="O70" i="47"/>
  <c r="O71" i="47" s="1"/>
  <c r="O72" i="47" s="1"/>
  <c r="O73" i="47" s="1"/>
  <c r="O74" i="47" s="1"/>
  <c r="O75" i="47" s="1"/>
  <c r="O76" i="47" s="1"/>
  <c r="O77" i="47" s="1"/>
  <c r="O78" i="47" s="1"/>
  <c r="O79" i="47" s="1"/>
  <c r="O80" i="47" s="1"/>
  <c r="O81" i="47" s="1"/>
  <c r="O82" i="47" s="1"/>
  <c r="O83" i="47" s="1"/>
  <c r="O84" i="47" s="1"/>
  <c r="O85" i="47" s="1"/>
  <c r="O86" i="47" s="1"/>
  <c r="O87" i="47" s="1"/>
  <c r="O88" i="47" s="1"/>
  <c r="O89" i="47" s="1"/>
  <c r="O90" i="47" s="1"/>
  <c r="O91" i="47" s="1"/>
  <c r="O92" i="47" s="1"/>
  <c r="O93" i="47" s="1"/>
  <c r="O94" i="47" s="1"/>
  <c r="O95" i="47" s="1"/>
  <c r="O96" i="47" s="1"/>
  <c r="O97" i="47" s="1"/>
  <c r="O98" i="47" s="1"/>
  <c r="O99" i="47" s="1"/>
  <c r="O100" i="47" s="1"/>
  <c r="O101" i="47" s="1"/>
  <c r="O102" i="47" s="1"/>
  <c r="O103" i="47" s="1"/>
  <c r="O104" i="47" s="1"/>
  <c r="O105" i="47" s="1"/>
  <c r="E70" i="47"/>
  <c r="E69" i="47"/>
  <c r="AE68" i="47"/>
  <c r="O68" i="47"/>
  <c r="O69" i="47" s="1"/>
  <c r="E68" i="47"/>
  <c r="O67" i="47"/>
  <c r="E67" i="47"/>
  <c r="AL66" i="47"/>
  <c r="E66" i="47"/>
  <c r="D66" i="47"/>
  <c r="B66" i="47"/>
  <c r="E65" i="47"/>
  <c r="E64" i="47"/>
  <c r="E63" i="47"/>
  <c r="E62" i="47"/>
  <c r="E61" i="47"/>
  <c r="E60" i="47"/>
  <c r="E59" i="47"/>
  <c r="AE58" i="47"/>
  <c r="E58" i="47"/>
  <c r="E57" i="47"/>
  <c r="AL56" i="47"/>
  <c r="E56" i="47"/>
  <c r="D56" i="47"/>
  <c r="B56" i="47"/>
  <c r="V55" i="47"/>
  <c r="V56" i="47" s="1"/>
  <c r="V57" i="47" s="1"/>
  <c r="V58" i="47" s="1"/>
  <c r="V59" i="47" s="1"/>
  <c r="V60" i="47" s="1"/>
  <c r="V61" i="47" s="1"/>
  <c r="V62" i="47" s="1"/>
  <c r="V63" i="47" s="1"/>
  <c r="V64" i="47" s="1"/>
  <c r="V65" i="47" s="1"/>
  <c r="V66" i="47" s="1"/>
  <c r="V67" i="47" s="1"/>
  <c r="V68" i="47" s="1"/>
  <c r="V69" i="47" s="1"/>
  <c r="V70" i="47" s="1"/>
  <c r="V71" i="47" s="1"/>
  <c r="V72" i="47" s="1"/>
  <c r="V73" i="47" s="1"/>
  <c r="V74" i="47" s="1"/>
  <c r="V75" i="47" s="1"/>
  <c r="V76" i="47" s="1"/>
  <c r="V77" i="47" s="1"/>
  <c r="V78" i="47" s="1"/>
  <c r="V79" i="47" s="1"/>
  <c r="V80" i="47" s="1"/>
  <c r="V81" i="47" s="1"/>
  <c r="V82" i="47" s="1"/>
  <c r="V83" i="47" s="1"/>
  <c r="V84" i="47" s="1"/>
  <c r="V85" i="47" s="1"/>
  <c r="V86" i="47" s="1"/>
  <c r="V87" i="47" s="1"/>
  <c r="V88" i="47" s="1"/>
  <c r="V89" i="47" s="1"/>
  <c r="V90" i="47" s="1"/>
  <c r="V91" i="47" s="1"/>
  <c r="V92" i="47" s="1"/>
  <c r="V93" i="47" s="1"/>
  <c r="V94" i="47" s="1"/>
  <c r="V95" i="47" s="1"/>
  <c r="V96" i="47" s="1"/>
  <c r="V97" i="47" s="1"/>
  <c r="V98" i="47" s="1"/>
  <c r="V99" i="47" s="1"/>
  <c r="V100" i="47" s="1"/>
  <c r="V101" i="47" s="1"/>
  <c r="V102" i="47" s="1"/>
  <c r="V103" i="47" s="1"/>
  <c r="V104" i="47" s="1"/>
  <c r="V105" i="47" s="1"/>
  <c r="E55" i="47"/>
  <c r="E54" i="47"/>
  <c r="E53" i="47"/>
  <c r="E52" i="47"/>
  <c r="E51" i="47"/>
  <c r="E50" i="47"/>
  <c r="E49" i="47"/>
  <c r="C49" i="47"/>
  <c r="C59" i="47" s="1"/>
  <c r="C69" i="47" s="1"/>
  <c r="C79" i="47" s="1"/>
  <c r="C89" i="47" s="1"/>
  <c r="E48" i="47"/>
  <c r="V47" i="47"/>
  <c r="V48" i="47" s="1"/>
  <c r="V49" i="47" s="1"/>
  <c r="V50" i="47" s="1"/>
  <c r="V51" i="47" s="1"/>
  <c r="V52" i="47" s="1"/>
  <c r="V53" i="47" s="1"/>
  <c r="V54" i="47" s="1"/>
  <c r="U47" i="47"/>
  <c r="U48" i="47" s="1"/>
  <c r="U49" i="47" s="1"/>
  <c r="U50" i="47" s="1"/>
  <c r="U51" i="47" s="1"/>
  <c r="U52" i="47" s="1"/>
  <c r="U53" i="47" s="1"/>
  <c r="U54" i="47" s="1"/>
  <c r="U55" i="47" s="1"/>
  <c r="U56" i="47" s="1"/>
  <c r="U57" i="47" s="1"/>
  <c r="U58" i="47" s="1"/>
  <c r="U59" i="47" s="1"/>
  <c r="U60" i="47" s="1"/>
  <c r="U61" i="47" s="1"/>
  <c r="U62" i="47" s="1"/>
  <c r="U63" i="47" s="1"/>
  <c r="U64" i="47" s="1"/>
  <c r="U65" i="47" s="1"/>
  <c r="U66" i="47" s="1"/>
  <c r="U67" i="47" s="1"/>
  <c r="U68" i="47" s="1"/>
  <c r="U69" i="47" s="1"/>
  <c r="U70" i="47" s="1"/>
  <c r="U71" i="47" s="1"/>
  <c r="U72" i="47" s="1"/>
  <c r="U73" i="47" s="1"/>
  <c r="U74" i="47" s="1"/>
  <c r="U75" i="47" s="1"/>
  <c r="T47" i="47"/>
  <c r="T48" i="47" s="1"/>
  <c r="T49" i="47" s="1"/>
  <c r="T50" i="47" s="1"/>
  <c r="T51" i="47" s="1"/>
  <c r="T52" i="47" s="1"/>
  <c r="T53" i="47" s="1"/>
  <c r="T54" i="47" s="1"/>
  <c r="T55" i="47" s="1"/>
  <c r="T56" i="47" s="1"/>
  <c r="T57" i="47" s="1"/>
  <c r="T58" i="47" s="1"/>
  <c r="T59" i="47" s="1"/>
  <c r="T60" i="47" s="1"/>
  <c r="T61" i="47" s="1"/>
  <c r="T62" i="47" s="1"/>
  <c r="T63" i="47" s="1"/>
  <c r="T64" i="47" s="1"/>
  <c r="T65" i="47" s="1"/>
  <c r="T66" i="47" s="1"/>
  <c r="T67" i="47" s="1"/>
  <c r="T68" i="47" s="1"/>
  <c r="T69" i="47" s="1"/>
  <c r="T70" i="47" s="1"/>
  <c r="T71" i="47" s="1"/>
  <c r="T72" i="47" s="1"/>
  <c r="T73" i="47" s="1"/>
  <c r="T74" i="47" s="1"/>
  <c r="T75" i="47" s="1"/>
  <c r="T76" i="47" s="1"/>
  <c r="T77" i="47" s="1"/>
  <c r="T78" i="47" s="1"/>
  <c r="T79" i="47" s="1"/>
  <c r="T80" i="47" s="1"/>
  <c r="T81" i="47" s="1"/>
  <c r="T82" i="47" s="1"/>
  <c r="T83" i="47" s="1"/>
  <c r="T84" i="47" s="1"/>
  <c r="T85" i="47" s="1"/>
  <c r="T86" i="47" s="1"/>
  <c r="T87" i="47" s="1"/>
  <c r="T88" i="47" s="1"/>
  <c r="T89" i="47" s="1"/>
  <c r="T90" i="47" s="1"/>
  <c r="T91" i="47" s="1"/>
  <c r="T92" i="47" s="1"/>
  <c r="T93" i="47" s="1"/>
  <c r="T94" i="47" s="1"/>
  <c r="T95" i="47" s="1"/>
  <c r="T96" i="47" s="1"/>
  <c r="T97" i="47" s="1"/>
  <c r="T98" i="47" s="1"/>
  <c r="T99" i="47" s="1"/>
  <c r="T100" i="47" s="1"/>
  <c r="T101" i="47" s="1"/>
  <c r="T102" i="47" s="1"/>
  <c r="T103" i="47" s="1"/>
  <c r="T104" i="47" s="1"/>
  <c r="T105" i="47" s="1"/>
  <c r="E47" i="47"/>
  <c r="AL46" i="47"/>
  <c r="R46" i="47"/>
  <c r="R47" i="47" s="1"/>
  <c r="R48" i="47" s="1"/>
  <c r="R49" i="47" s="1"/>
  <c r="R50" i="47" s="1"/>
  <c r="R51" i="47" s="1"/>
  <c r="R52" i="47" s="1"/>
  <c r="R53" i="47" s="1"/>
  <c r="R54" i="47" s="1"/>
  <c r="R55" i="47" s="1"/>
  <c r="R56" i="47" s="1"/>
  <c r="R57" i="47" s="1"/>
  <c r="R58" i="47" s="1"/>
  <c r="R59" i="47" s="1"/>
  <c r="R60" i="47" s="1"/>
  <c r="R61" i="47" s="1"/>
  <c r="R62" i="47" s="1"/>
  <c r="R63" i="47" s="1"/>
  <c r="R64" i="47" s="1"/>
  <c r="R65" i="47" s="1"/>
  <c r="R66" i="47" s="1"/>
  <c r="R67" i="47" s="1"/>
  <c r="R68" i="47" s="1"/>
  <c r="R69" i="47" s="1"/>
  <c r="R70" i="47" s="1"/>
  <c r="R71" i="47" s="1"/>
  <c r="R72" i="47" s="1"/>
  <c r="R73" i="47" s="1"/>
  <c r="R74" i="47" s="1"/>
  <c r="R75" i="47" s="1"/>
  <c r="R76" i="47" s="1"/>
  <c r="R77" i="47" s="1"/>
  <c r="R78" i="47" s="1"/>
  <c r="R79" i="47" s="1"/>
  <c r="R80" i="47" s="1"/>
  <c r="R81" i="47" s="1"/>
  <c r="R82" i="47" s="1"/>
  <c r="R83" i="47" s="1"/>
  <c r="R84" i="47" s="1"/>
  <c r="R85" i="47" s="1"/>
  <c r="R86" i="47" s="1"/>
  <c r="R87" i="47" s="1"/>
  <c r="R88" i="47" s="1"/>
  <c r="R89" i="47" s="1"/>
  <c r="R90" i="47" s="1"/>
  <c r="R91" i="47" s="1"/>
  <c r="R92" i="47" s="1"/>
  <c r="R93" i="47" s="1"/>
  <c r="R94" i="47" s="1"/>
  <c r="R95" i="47" s="1"/>
  <c r="R96" i="47" s="1"/>
  <c r="R97" i="47" s="1"/>
  <c r="R98" i="47" s="1"/>
  <c r="R99" i="47" s="1"/>
  <c r="R100" i="47" s="1"/>
  <c r="R101" i="47" s="1"/>
  <c r="R102" i="47" s="1"/>
  <c r="R103" i="47" s="1"/>
  <c r="R104" i="47" s="1"/>
  <c r="R105" i="47" s="1"/>
  <c r="E46" i="47"/>
  <c r="D46" i="47"/>
  <c r="B46" i="47"/>
  <c r="V44" i="47"/>
  <c r="V45" i="47" s="1"/>
  <c r="L44" i="47"/>
  <c r="L45" i="47" s="1"/>
  <c r="L46" i="47" s="1"/>
  <c r="L47" i="47" s="1"/>
  <c r="L48" i="47" s="1"/>
  <c r="L49" i="47" s="1"/>
  <c r="L50" i="47" s="1"/>
  <c r="L51" i="47" s="1"/>
  <c r="L52" i="47" s="1"/>
  <c r="L53" i="47" s="1"/>
  <c r="L54" i="47" s="1"/>
  <c r="L55" i="47" s="1"/>
  <c r="L56" i="47" s="1"/>
  <c r="L57" i="47" s="1"/>
  <c r="L58" i="47" s="1"/>
  <c r="L59" i="47" s="1"/>
  <c r="L60" i="47" s="1"/>
  <c r="L61" i="47" s="1"/>
  <c r="L62" i="47" s="1"/>
  <c r="L63" i="47" s="1"/>
  <c r="L64" i="47" s="1"/>
  <c r="L65" i="47" s="1"/>
  <c r="L66" i="47" s="1"/>
  <c r="L67" i="47" s="1"/>
  <c r="L68" i="47" s="1"/>
  <c r="L69" i="47" s="1"/>
  <c r="L70" i="47" s="1"/>
  <c r="L71" i="47" s="1"/>
  <c r="L72" i="47" s="1"/>
  <c r="L73" i="47" s="1"/>
  <c r="L74" i="47" s="1"/>
  <c r="L75" i="47" s="1"/>
  <c r="L76" i="47" s="1"/>
  <c r="L77" i="47" s="1"/>
  <c r="L78" i="47" s="1"/>
  <c r="L79" i="47" s="1"/>
  <c r="L80" i="47" s="1"/>
  <c r="L81" i="47" s="1"/>
  <c r="L82" i="47" s="1"/>
  <c r="L83" i="47" s="1"/>
  <c r="L84" i="47" s="1"/>
  <c r="L85" i="47" s="1"/>
  <c r="L86" i="47" s="1"/>
  <c r="L87" i="47" s="1"/>
  <c r="L88" i="47" s="1"/>
  <c r="L89" i="47" s="1"/>
  <c r="L90" i="47" s="1"/>
  <c r="L91" i="47" s="1"/>
  <c r="L92" i="47" s="1"/>
  <c r="L93" i="47" s="1"/>
  <c r="L94" i="47" s="1"/>
  <c r="L95" i="47" s="1"/>
  <c r="L96" i="47" s="1"/>
  <c r="L97" i="47" s="1"/>
  <c r="L98" i="47" s="1"/>
  <c r="L99" i="47" s="1"/>
  <c r="L100" i="47" s="1"/>
  <c r="L101" i="47" s="1"/>
  <c r="L102" i="47" s="1"/>
  <c r="L103" i="47" s="1"/>
  <c r="L104" i="47" s="1"/>
  <c r="L105" i="47" s="1"/>
  <c r="E44" i="47"/>
  <c r="E45" i="47" s="1"/>
  <c r="V42" i="47"/>
  <c r="R42" i="47"/>
  <c r="R43" i="47" s="1"/>
  <c r="R44" i="47" s="1"/>
  <c r="R45" i="47" s="1"/>
  <c r="G42" i="47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G86" i="47" s="1"/>
  <c r="G87" i="47" s="1"/>
  <c r="G88" i="47" s="1"/>
  <c r="G89" i="47" s="1"/>
  <c r="G90" i="47" s="1"/>
  <c r="G91" i="47" s="1"/>
  <c r="G92" i="47" s="1"/>
  <c r="G93" i="47" s="1"/>
  <c r="G94" i="47" s="1"/>
  <c r="G95" i="47" s="1"/>
  <c r="G96" i="47" s="1"/>
  <c r="G97" i="47" s="1"/>
  <c r="G98" i="47" s="1"/>
  <c r="G99" i="47" s="1"/>
  <c r="G100" i="47" s="1"/>
  <c r="G101" i="47" s="1"/>
  <c r="G102" i="47" s="1"/>
  <c r="G103" i="47" s="1"/>
  <c r="G104" i="47" s="1"/>
  <c r="G105" i="47" s="1"/>
  <c r="L41" i="47"/>
  <c r="L42" i="47" s="1"/>
  <c r="L43" i="47" s="1"/>
  <c r="R40" i="47"/>
  <c r="R41" i="47" s="1"/>
  <c r="H40" i="47"/>
  <c r="H41" i="47" s="1"/>
  <c r="H42" i="47" s="1"/>
  <c r="H43" i="47" s="1"/>
  <c r="H44" i="47" s="1"/>
  <c r="H45" i="47" s="1"/>
  <c r="H46" i="47" s="1"/>
  <c r="H47" i="47" s="1"/>
  <c r="H48" i="47" s="1"/>
  <c r="H49" i="47" s="1"/>
  <c r="H50" i="47" s="1"/>
  <c r="H51" i="47" s="1"/>
  <c r="H52" i="47" s="1"/>
  <c r="H53" i="47" s="1"/>
  <c r="H54" i="47" s="1"/>
  <c r="H55" i="47" s="1"/>
  <c r="H56" i="47" s="1"/>
  <c r="H57" i="47" s="1"/>
  <c r="H58" i="47" s="1"/>
  <c r="H59" i="47" s="1"/>
  <c r="H60" i="47" s="1"/>
  <c r="H61" i="47" s="1"/>
  <c r="H62" i="47" s="1"/>
  <c r="H63" i="47" s="1"/>
  <c r="H64" i="47" s="1"/>
  <c r="H65" i="47" s="1"/>
  <c r="H66" i="47" s="1"/>
  <c r="H67" i="47" s="1"/>
  <c r="H68" i="47" s="1"/>
  <c r="H69" i="47" s="1"/>
  <c r="H70" i="47" s="1"/>
  <c r="H71" i="47" s="1"/>
  <c r="H72" i="47" s="1"/>
  <c r="H73" i="47" s="1"/>
  <c r="H74" i="47" s="1"/>
  <c r="H75" i="47" s="1"/>
  <c r="H76" i="47" s="1"/>
  <c r="H77" i="47" s="1"/>
  <c r="H78" i="47" s="1"/>
  <c r="H79" i="47" s="1"/>
  <c r="H80" i="47" s="1"/>
  <c r="H81" i="47" s="1"/>
  <c r="H82" i="47" s="1"/>
  <c r="H83" i="47" s="1"/>
  <c r="H84" i="47" s="1"/>
  <c r="H85" i="47" s="1"/>
  <c r="H86" i="47" s="1"/>
  <c r="H87" i="47" s="1"/>
  <c r="H88" i="47" s="1"/>
  <c r="H89" i="47" s="1"/>
  <c r="H90" i="47" s="1"/>
  <c r="H91" i="47" s="1"/>
  <c r="H92" i="47" s="1"/>
  <c r="H93" i="47" s="1"/>
  <c r="H94" i="47" s="1"/>
  <c r="H95" i="47" s="1"/>
  <c r="H96" i="47" s="1"/>
  <c r="H97" i="47" s="1"/>
  <c r="H98" i="47" s="1"/>
  <c r="H99" i="47" s="1"/>
  <c r="H100" i="47" s="1"/>
  <c r="H101" i="47" s="1"/>
  <c r="H102" i="47" s="1"/>
  <c r="H103" i="47" s="1"/>
  <c r="H104" i="47" s="1"/>
  <c r="H105" i="47" s="1"/>
  <c r="V39" i="47"/>
  <c r="V40" i="47" s="1"/>
  <c r="U39" i="47"/>
  <c r="U40" i="47" s="1"/>
  <c r="U41" i="47" s="1"/>
  <c r="U42" i="47" s="1"/>
  <c r="U43" i="47" s="1"/>
  <c r="U44" i="47" s="1"/>
  <c r="U45" i="47" s="1"/>
  <c r="M39" i="47"/>
  <c r="M40" i="47" s="1"/>
  <c r="M41" i="47" s="1"/>
  <c r="M42" i="47" s="1"/>
  <c r="M43" i="47" s="1"/>
  <c r="M44" i="47" s="1"/>
  <c r="M45" i="47" s="1"/>
  <c r="M46" i="47" s="1"/>
  <c r="M47" i="47" s="1"/>
  <c r="M48" i="47" s="1"/>
  <c r="M49" i="47" s="1"/>
  <c r="M50" i="47" s="1"/>
  <c r="M51" i="47" s="1"/>
  <c r="M52" i="47" s="1"/>
  <c r="M53" i="47" s="1"/>
  <c r="M54" i="47" s="1"/>
  <c r="M55" i="47" s="1"/>
  <c r="M56" i="47" s="1"/>
  <c r="M57" i="47" s="1"/>
  <c r="M58" i="47" s="1"/>
  <c r="M59" i="47" s="1"/>
  <c r="M60" i="47" s="1"/>
  <c r="M61" i="47" s="1"/>
  <c r="M62" i="47" s="1"/>
  <c r="M63" i="47" s="1"/>
  <c r="M64" i="47" s="1"/>
  <c r="M65" i="47" s="1"/>
  <c r="M66" i="47" s="1"/>
  <c r="M67" i="47" s="1"/>
  <c r="M68" i="47" s="1"/>
  <c r="M69" i="47" s="1"/>
  <c r="M70" i="47" s="1"/>
  <c r="M71" i="47" s="1"/>
  <c r="M72" i="47" s="1"/>
  <c r="M73" i="47" s="1"/>
  <c r="M74" i="47" s="1"/>
  <c r="M75" i="47" s="1"/>
  <c r="M76" i="47" s="1"/>
  <c r="M77" i="47" s="1"/>
  <c r="M78" i="47" s="1"/>
  <c r="M79" i="47" s="1"/>
  <c r="M80" i="47" s="1"/>
  <c r="M81" i="47" s="1"/>
  <c r="M82" i="47" s="1"/>
  <c r="M83" i="47" s="1"/>
  <c r="M84" i="47" s="1"/>
  <c r="M85" i="47" s="1"/>
  <c r="M86" i="47" s="1"/>
  <c r="M87" i="47" s="1"/>
  <c r="M88" i="47" s="1"/>
  <c r="M89" i="47" s="1"/>
  <c r="M90" i="47" s="1"/>
  <c r="M91" i="47" s="1"/>
  <c r="M92" i="47" s="1"/>
  <c r="M93" i="47" s="1"/>
  <c r="M94" i="47" s="1"/>
  <c r="M95" i="47" s="1"/>
  <c r="M96" i="47" s="1"/>
  <c r="M97" i="47" s="1"/>
  <c r="M98" i="47" s="1"/>
  <c r="M99" i="47" s="1"/>
  <c r="M100" i="47" s="1"/>
  <c r="M101" i="47" s="1"/>
  <c r="M102" i="47" s="1"/>
  <c r="M103" i="47" s="1"/>
  <c r="M104" i="47" s="1"/>
  <c r="M105" i="47" s="1"/>
  <c r="E39" i="47"/>
  <c r="E40" i="47" s="1"/>
  <c r="E41" i="47" s="1"/>
  <c r="E42" i="47" s="1"/>
  <c r="E43" i="47" s="1"/>
  <c r="AE38" i="47"/>
  <c r="U38" i="47"/>
  <c r="R38" i="47"/>
  <c r="R39" i="47" s="1"/>
  <c r="N38" i="47"/>
  <c r="N39" i="47" s="1"/>
  <c r="N40" i="47" s="1"/>
  <c r="N41" i="47" s="1"/>
  <c r="N42" i="47" s="1"/>
  <c r="N43" i="47" s="1"/>
  <c r="N44" i="47" s="1"/>
  <c r="N45" i="47" s="1"/>
  <c r="N46" i="47" s="1"/>
  <c r="N47" i="47" s="1"/>
  <c r="N48" i="47" s="1"/>
  <c r="N49" i="47" s="1"/>
  <c r="N50" i="47" s="1"/>
  <c r="N51" i="47" s="1"/>
  <c r="N52" i="47" s="1"/>
  <c r="N53" i="47" s="1"/>
  <c r="N54" i="47" s="1"/>
  <c r="N55" i="47" s="1"/>
  <c r="N56" i="47" s="1"/>
  <c r="N57" i="47" s="1"/>
  <c r="N58" i="47" s="1"/>
  <c r="N59" i="47" s="1"/>
  <c r="N60" i="47" s="1"/>
  <c r="N61" i="47" s="1"/>
  <c r="N62" i="47" s="1"/>
  <c r="N63" i="47" s="1"/>
  <c r="N64" i="47" s="1"/>
  <c r="N65" i="47" s="1"/>
  <c r="N66" i="47" s="1"/>
  <c r="N67" i="47" s="1"/>
  <c r="N68" i="47" s="1"/>
  <c r="N69" i="47" s="1"/>
  <c r="N70" i="47" s="1"/>
  <c r="N71" i="47" s="1"/>
  <c r="N72" i="47" s="1"/>
  <c r="N73" i="47" s="1"/>
  <c r="N74" i="47" s="1"/>
  <c r="N75" i="47" s="1"/>
  <c r="N76" i="47" s="1"/>
  <c r="N77" i="47" s="1"/>
  <c r="N78" i="47" s="1"/>
  <c r="N79" i="47" s="1"/>
  <c r="N80" i="47" s="1"/>
  <c r="N81" i="47" s="1"/>
  <c r="N82" i="47" s="1"/>
  <c r="N83" i="47" s="1"/>
  <c r="N84" i="47" s="1"/>
  <c r="N85" i="47" s="1"/>
  <c r="N86" i="47" s="1"/>
  <c r="N87" i="47" s="1"/>
  <c r="N88" i="47" s="1"/>
  <c r="N89" i="47" s="1"/>
  <c r="N90" i="47" s="1"/>
  <c r="N91" i="47" s="1"/>
  <c r="N92" i="47" s="1"/>
  <c r="N93" i="47" s="1"/>
  <c r="N94" i="47" s="1"/>
  <c r="N95" i="47" s="1"/>
  <c r="N96" i="47" s="1"/>
  <c r="N97" i="47" s="1"/>
  <c r="N98" i="47" s="1"/>
  <c r="N99" i="47" s="1"/>
  <c r="N100" i="47" s="1"/>
  <c r="N101" i="47" s="1"/>
  <c r="N102" i="47" s="1"/>
  <c r="N103" i="47" s="1"/>
  <c r="N104" i="47" s="1"/>
  <c r="N105" i="47" s="1"/>
  <c r="M38" i="47"/>
  <c r="L38" i="47"/>
  <c r="L39" i="47" s="1"/>
  <c r="L40" i="47" s="1"/>
  <c r="J38" i="47"/>
  <c r="J39" i="47" s="1"/>
  <c r="J40" i="47" s="1"/>
  <c r="J41" i="47" s="1"/>
  <c r="J42" i="47" s="1"/>
  <c r="J43" i="47" s="1"/>
  <c r="J44" i="47" s="1"/>
  <c r="J45" i="47" s="1"/>
  <c r="J46" i="47" s="1"/>
  <c r="E38" i="47"/>
  <c r="V37" i="47"/>
  <c r="U37" i="47"/>
  <c r="R37" i="47"/>
  <c r="N37" i="47"/>
  <c r="M37" i="47"/>
  <c r="L37" i="47"/>
  <c r="K37" i="47"/>
  <c r="K38" i="47" s="1"/>
  <c r="K39" i="47" s="1"/>
  <c r="K40" i="47" s="1"/>
  <c r="K41" i="47" s="1"/>
  <c r="K42" i="47" s="1"/>
  <c r="K43" i="47" s="1"/>
  <c r="K44" i="47" s="1"/>
  <c r="K45" i="47" s="1"/>
  <c r="K46" i="47" s="1"/>
  <c r="J37" i="47"/>
  <c r="I37" i="47"/>
  <c r="I38" i="47" s="1"/>
  <c r="I39" i="47" s="1"/>
  <c r="I40" i="47" s="1"/>
  <c r="I41" i="47" s="1"/>
  <c r="I42" i="47" s="1"/>
  <c r="I43" i="47" s="1"/>
  <c r="I44" i="47" s="1"/>
  <c r="I45" i="47" s="1"/>
  <c r="I46" i="47" s="1"/>
  <c r="I47" i="47" s="1"/>
  <c r="I48" i="47" s="1"/>
  <c r="I49" i="47" s="1"/>
  <c r="I50" i="47" s="1"/>
  <c r="I51" i="47" s="1"/>
  <c r="I52" i="47" s="1"/>
  <c r="I53" i="47" s="1"/>
  <c r="I54" i="47" s="1"/>
  <c r="I55" i="47" s="1"/>
  <c r="I56" i="47" s="1"/>
  <c r="I57" i="47" s="1"/>
  <c r="I58" i="47" s="1"/>
  <c r="I59" i="47" s="1"/>
  <c r="I60" i="47" s="1"/>
  <c r="I61" i="47" s="1"/>
  <c r="I62" i="47" s="1"/>
  <c r="I63" i="47" s="1"/>
  <c r="I64" i="47" s="1"/>
  <c r="I65" i="47" s="1"/>
  <c r="I66" i="47" s="1"/>
  <c r="I67" i="47" s="1"/>
  <c r="I68" i="47" s="1"/>
  <c r="I69" i="47" s="1"/>
  <c r="I70" i="47" s="1"/>
  <c r="I71" i="47" s="1"/>
  <c r="I72" i="47" s="1"/>
  <c r="I73" i="47" s="1"/>
  <c r="I74" i="47" s="1"/>
  <c r="I75" i="47" s="1"/>
  <c r="I76" i="47" s="1"/>
  <c r="I77" i="47" s="1"/>
  <c r="I78" i="47" s="1"/>
  <c r="I79" i="47" s="1"/>
  <c r="I80" i="47" s="1"/>
  <c r="I81" i="47" s="1"/>
  <c r="I82" i="47" s="1"/>
  <c r="I83" i="47" s="1"/>
  <c r="I84" i="47" s="1"/>
  <c r="I85" i="47" s="1"/>
  <c r="I86" i="47" s="1"/>
  <c r="I87" i="47" s="1"/>
  <c r="I88" i="47" s="1"/>
  <c r="I89" i="47" s="1"/>
  <c r="I90" i="47" s="1"/>
  <c r="I91" i="47" s="1"/>
  <c r="I92" i="47" s="1"/>
  <c r="I93" i="47" s="1"/>
  <c r="I94" i="47" s="1"/>
  <c r="I95" i="47" s="1"/>
  <c r="I96" i="47" s="1"/>
  <c r="I97" i="47" s="1"/>
  <c r="I98" i="47" s="1"/>
  <c r="I99" i="47" s="1"/>
  <c r="I100" i="47" s="1"/>
  <c r="I101" i="47" s="1"/>
  <c r="I102" i="47" s="1"/>
  <c r="I103" i="47" s="1"/>
  <c r="I104" i="47" s="1"/>
  <c r="I105" i="47" s="1"/>
  <c r="H37" i="47"/>
  <c r="H38" i="47" s="1"/>
  <c r="H39" i="47" s="1"/>
  <c r="G37" i="47"/>
  <c r="G38" i="47" s="1"/>
  <c r="G39" i="47" s="1"/>
  <c r="G40" i="47" s="1"/>
  <c r="G41" i="47" s="1"/>
  <c r="A37" i="47"/>
  <c r="A47" i="47" s="1"/>
  <c r="A57" i="47" s="1"/>
  <c r="A67" i="47" s="1"/>
  <c r="A77" i="47" s="1"/>
  <c r="A87" i="47" s="1"/>
  <c r="A97" i="47" s="1"/>
  <c r="E36" i="47"/>
  <c r="D36" i="47"/>
  <c r="B36" i="47"/>
  <c r="R35" i="47"/>
  <c r="L35" i="47"/>
  <c r="J35" i="47"/>
  <c r="C35" i="47"/>
  <c r="C45" i="47" s="1"/>
  <c r="C55" i="47" s="1"/>
  <c r="C65" i="47" s="1"/>
  <c r="C75" i="47" s="1"/>
  <c r="C85" i="47" s="1"/>
  <c r="C95" i="47" s="1"/>
  <c r="A35" i="47"/>
  <c r="A45" i="47" s="1"/>
  <c r="A55" i="47" s="1"/>
  <c r="A65" i="47" s="1"/>
  <c r="A75" i="47" s="1"/>
  <c r="A85" i="47" s="1"/>
  <c r="A95" i="47" s="1"/>
  <c r="A105" i="47" s="1"/>
  <c r="R34" i="47"/>
  <c r="N34" i="47"/>
  <c r="N35" i="47" s="1"/>
  <c r="L34" i="47"/>
  <c r="G34" i="47"/>
  <c r="G35" i="47" s="1"/>
  <c r="AB33" i="47"/>
  <c r="AB34" i="47" s="1"/>
  <c r="AB35" i="47" s="1"/>
  <c r="AB36" i="47" s="1"/>
  <c r="V33" i="47"/>
  <c r="K33" i="47"/>
  <c r="K34" i="47" s="1"/>
  <c r="K35" i="47" s="1"/>
  <c r="I33" i="47"/>
  <c r="I34" i="47" s="1"/>
  <c r="I35" i="47" s="1"/>
  <c r="H33" i="47"/>
  <c r="H34" i="47" s="1"/>
  <c r="H35" i="47" s="1"/>
  <c r="G33" i="47"/>
  <c r="AB32" i="47"/>
  <c r="R32" i="47"/>
  <c r="N32" i="47"/>
  <c r="N33" i="47" s="1"/>
  <c r="L32" i="47"/>
  <c r="K32" i="47"/>
  <c r="J32" i="47"/>
  <c r="J33" i="47" s="1"/>
  <c r="J34" i="47" s="1"/>
  <c r="I32" i="47"/>
  <c r="H32" i="47"/>
  <c r="G32" i="47"/>
  <c r="AB31" i="47"/>
  <c r="AA31" i="47"/>
  <c r="AA32" i="47" s="1"/>
  <c r="AA33" i="47" s="1"/>
  <c r="AA34" i="47" s="1"/>
  <c r="AA35" i="47" s="1"/>
  <c r="AA36" i="47" s="1"/>
  <c r="Y31" i="47"/>
  <c r="Y32" i="47" s="1"/>
  <c r="Y33" i="47" s="1"/>
  <c r="Y34" i="47" s="1"/>
  <c r="Y35" i="47" s="1"/>
  <c r="Y36" i="47" s="1"/>
  <c r="V31" i="47"/>
  <c r="A31" i="47"/>
  <c r="A41" i="47" s="1"/>
  <c r="A51" i="47" s="1"/>
  <c r="A61" i="47" s="1"/>
  <c r="A71" i="47" s="1"/>
  <c r="A81" i="47" s="1"/>
  <c r="A91" i="47" s="1"/>
  <c r="A101" i="47" s="1"/>
  <c r="AA30" i="47"/>
  <c r="Z30" i="47"/>
  <c r="Z31" i="47" s="1"/>
  <c r="Z32" i="47" s="1"/>
  <c r="Z33" i="47" s="1"/>
  <c r="Z34" i="47" s="1"/>
  <c r="Z35" i="47" s="1"/>
  <c r="Z36" i="47" s="1"/>
  <c r="T30" i="47"/>
  <c r="T31" i="47" s="1"/>
  <c r="T32" i="47" s="1"/>
  <c r="T33" i="47" s="1"/>
  <c r="T34" i="47" s="1"/>
  <c r="T35" i="47" s="1"/>
  <c r="T36" i="47" s="1"/>
  <c r="T37" i="47" s="1"/>
  <c r="T38" i="47" s="1"/>
  <c r="T39" i="47" s="1"/>
  <c r="T40" i="47" s="1"/>
  <c r="T41" i="47" s="1"/>
  <c r="T42" i="47" s="1"/>
  <c r="T43" i="47" s="1"/>
  <c r="T44" i="47" s="1"/>
  <c r="T45" i="47" s="1"/>
  <c r="T46" i="47" s="1"/>
  <c r="R30" i="47"/>
  <c r="L30" i="47"/>
  <c r="C30" i="47"/>
  <c r="C40" i="47" s="1"/>
  <c r="C50" i="47" s="1"/>
  <c r="C60" i="47" s="1"/>
  <c r="C70" i="47" s="1"/>
  <c r="C80" i="47" s="1"/>
  <c r="C90" i="47" s="1"/>
  <c r="Z29" i="47"/>
  <c r="Y29" i="47"/>
  <c r="Y30" i="47" s="1"/>
  <c r="L29" i="47"/>
  <c r="K29" i="47"/>
  <c r="K30" i="47" s="1"/>
  <c r="AB28" i="47"/>
  <c r="AB29" i="47" s="1"/>
  <c r="AA28" i="47"/>
  <c r="Y28" i="47"/>
  <c r="U28" i="47"/>
  <c r="N28" i="47"/>
  <c r="N29" i="47" s="1"/>
  <c r="N30" i="47" s="1"/>
  <c r="H28" i="47"/>
  <c r="H29" i="47" s="1"/>
  <c r="H30" i="47" s="1"/>
  <c r="E28" i="47"/>
  <c r="E29" i="47" s="1"/>
  <c r="E30" i="47" s="1"/>
  <c r="E31" i="47" s="1"/>
  <c r="E32" i="47" s="1"/>
  <c r="E33" i="47" s="1"/>
  <c r="E34" i="47" s="1"/>
  <c r="E35" i="47" s="1"/>
  <c r="AF27" i="47"/>
  <c r="AF28" i="47" s="1"/>
  <c r="AG28" i="47" s="1"/>
  <c r="B28" i="47" s="1"/>
  <c r="AB27" i="47"/>
  <c r="AA27" i="47"/>
  <c r="Z27" i="47"/>
  <c r="X27" i="47"/>
  <c r="X28" i="47" s="1"/>
  <c r="X29" i="47" s="1"/>
  <c r="X30" i="47" s="1"/>
  <c r="X31" i="47" s="1"/>
  <c r="X32" i="47" s="1"/>
  <c r="X33" i="47" s="1"/>
  <c r="X34" i="47" s="1"/>
  <c r="X35" i="47" s="1"/>
  <c r="X36" i="47" s="1"/>
  <c r="V27" i="47"/>
  <c r="U27" i="47"/>
  <c r="T27" i="47"/>
  <c r="T28" i="47" s="1"/>
  <c r="T29" i="47" s="1"/>
  <c r="R27" i="47"/>
  <c r="R28" i="47" s="1"/>
  <c r="N27" i="47"/>
  <c r="M27" i="47"/>
  <c r="M28" i="47" s="1"/>
  <c r="M29" i="47" s="1"/>
  <c r="M30" i="47" s="1"/>
  <c r="M31" i="47" s="1"/>
  <c r="M32" i="47" s="1"/>
  <c r="M33" i="47" s="1"/>
  <c r="M34" i="47" s="1"/>
  <c r="M35" i="47" s="1"/>
  <c r="L27" i="47"/>
  <c r="K27" i="47"/>
  <c r="K28" i="47" s="1"/>
  <c r="J27" i="47"/>
  <c r="J28" i="47" s="1"/>
  <c r="J29" i="47" s="1"/>
  <c r="J30" i="47" s="1"/>
  <c r="I27" i="47"/>
  <c r="I28" i="47" s="1"/>
  <c r="I29" i="47" s="1"/>
  <c r="I30" i="47" s="1"/>
  <c r="H27" i="47"/>
  <c r="G27" i="47"/>
  <c r="G28" i="47" s="1"/>
  <c r="G29" i="47" s="1"/>
  <c r="G30" i="47" s="1"/>
  <c r="E26" i="47"/>
  <c r="D26" i="47"/>
  <c r="B26" i="47"/>
  <c r="AE28" i="47" s="1"/>
  <c r="AA25" i="47"/>
  <c r="Z25" i="47"/>
  <c r="V25" i="47"/>
  <c r="Q25" i="47"/>
  <c r="Q26" i="47" s="1"/>
  <c r="Q27" i="47" s="1"/>
  <c r="Q28" i="47" s="1"/>
  <c r="Q29" i="47" s="1"/>
  <c r="Q30" i="47" s="1"/>
  <c r="Q31" i="47" s="1"/>
  <c r="Q32" i="47" s="1"/>
  <c r="Q33" i="47" s="1"/>
  <c r="Q34" i="47" s="1"/>
  <c r="Q35" i="47" s="1"/>
  <c r="Q36" i="47" s="1"/>
  <c r="Q37" i="47" s="1"/>
  <c r="Q38" i="47" s="1"/>
  <c r="Q39" i="47" s="1"/>
  <c r="Q40" i="47" s="1"/>
  <c r="Q41" i="47" s="1"/>
  <c r="Q42" i="47" s="1"/>
  <c r="Q43" i="47" s="1"/>
  <c r="Q44" i="47" s="1"/>
  <c r="Q45" i="47" s="1"/>
  <c r="Q46" i="47" s="1"/>
  <c r="Q47" i="47" s="1"/>
  <c r="Q48" i="47" s="1"/>
  <c r="Q49" i="47" s="1"/>
  <c r="Q50" i="47" s="1"/>
  <c r="Q51" i="47" s="1"/>
  <c r="Q52" i="47" s="1"/>
  <c r="Q53" i="47" s="1"/>
  <c r="Q54" i="47" s="1"/>
  <c r="Q55" i="47" s="1"/>
  <c r="Q56" i="47" s="1"/>
  <c r="Q57" i="47" s="1"/>
  <c r="Q58" i="47" s="1"/>
  <c r="Q59" i="47" s="1"/>
  <c r="Q60" i="47" s="1"/>
  <c r="Q61" i="47" s="1"/>
  <c r="Q62" i="47" s="1"/>
  <c r="Q63" i="47" s="1"/>
  <c r="Q64" i="47" s="1"/>
  <c r="Q65" i="47" s="1"/>
  <c r="Q66" i="47" s="1"/>
  <c r="Q67" i="47" s="1"/>
  <c r="Q68" i="47" s="1"/>
  <c r="Q69" i="47" s="1"/>
  <c r="Q70" i="47" s="1"/>
  <c r="Q71" i="47" s="1"/>
  <c r="Q72" i="47" s="1"/>
  <c r="Q73" i="47" s="1"/>
  <c r="Q74" i="47" s="1"/>
  <c r="Q75" i="47" s="1"/>
  <c r="Q76" i="47" s="1"/>
  <c r="Q77" i="47" s="1"/>
  <c r="Q78" i="47" s="1"/>
  <c r="Q79" i="47" s="1"/>
  <c r="Q80" i="47" s="1"/>
  <c r="Q81" i="47" s="1"/>
  <c r="Q82" i="47" s="1"/>
  <c r="Q83" i="47" s="1"/>
  <c r="Q84" i="47" s="1"/>
  <c r="Q85" i="47" s="1"/>
  <c r="Q86" i="47" s="1"/>
  <c r="Q87" i="47" s="1"/>
  <c r="Q88" i="47" s="1"/>
  <c r="Q89" i="47" s="1"/>
  <c r="Q90" i="47" s="1"/>
  <c r="Q91" i="47" s="1"/>
  <c r="Q92" i="47" s="1"/>
  <c r="Q93" i="47" s="1"/>
  <c r="Q94" i="47" s="1"/>
  <c r="Q95" i="47" s="1"/>
  <c r="Q96" i="47" s="1"/>
  <c r="Q97" i="47" s="1"/>
  <c r="Q98" i="47" s="1"/>
  <c r="Q99" i="47" s="1"/>
  <c r="Q100" i="47" s="1"/>
  <c r="Q101" i="47" s="1"/>
  <c r="Q102" i="47" s="1"/>
  <c r="Q103" i="47" s="1"/>
  <c r="Q104" i="47" s="1"/>
  <c r="Q105" i="47" s="1"/>
  <c r="E25" i="47"/>
  <c r="C25" i="47"/>
  <c r="A25" i="47"/>
  <c r="AB24" i="47"/>
  <c r="Z24" i="47"/>
  <c r="U24" i="47"/>
  <c r="U25" i="47" s="1"/>
  <c r="R24" i="47"/>
  <c r="K24" i="47"/>
  <c r="K25" i="47" s="1"/>
  <c r="J24" i="47"/>
  <c r="J25" i="47" s="1"/>
  <c r="H24" i="47"/>
  <c r="H25" i="47" s="1"/>
  <c r="E24" i="47"/>
  <c r="C24" i="47"/>
  <c r="C34" i="47" s="1"/>
  <c r="C44" i="47" s="1"/>
  <c r="C54" i="47" s="1"/>
  <c r="C64" i="47" s="1"/>
  <c r="C74" i="47" s="1"/>
  <c r="C84" i="47" s="1"/>
  <c r="C94" i="47" s="1"/>
  <c r="A24" i="47"/>
  <c r="A34" i="47" s="1"/>
  <c r="A44" i="47" s="1"/>
  <c r="A54" i="47" s="1"/>
  <c r="A64" i="47" s="1"/>
  <c r="A74" i="47" s="1"/>
  <c r="A84" i="47" s="1"/>
  <c r="A94" i="47" s="1"/>
  <c r="A104" i="47" s="1"/>
  <c r="Y23" i="47"/>
  <c r="Y24" i="47" s="1"/>
  <c r="Y25" i="47" s="1"/>
  <c r="V23" i="47"/>
  <c r="I23" i="47"/>
  <c r="I24" i="47" s="1"/>
  <c r="I25" i="47" s="1"/>
  <c r="H23" i="47"/>
  <c r="G23" i="47"/>
  <c r="G24" i="47" s="1"/>
  <c r="G25" i="47" s="1"/>
  <c r="E23" i="47"/>
  <c r="E22" i="47" s="1"/>
  <c r="E21" i="47" s="1"/>
  <c r="E20" i="47" s="1"/>
  <c r="E19" i="47" s="1"/>
  <c r="E18" i="47" s="1"/>
  <c r="E17" i="47" s="1"/>
  <c r="E16" i="47" s="1"/>
  <c r="E15" i="47" s="1"/>
  <c r="E14" i="47" s="1"/>
  <c r="E13" i="47" s="1"/>
  <c r="E12" i="47" s="1"/>
  <c r="E11" i="47" s="1"/>
  <c r="E10" i="47" s="1"/>
  <c r="E9" i="47" s="1"/>
  <c r="E8" i="47" s="1"/>
  <c r="E7" i="47" s="1"/>
  <c r="E6" i="47" s="1"/>
  <c r="E5" i="47" s="1"/>
  <c r="C23" i="47"/>
  <c r="C33" i="47" s="1"/>
  <c r="C43" i="47" s="1"/>
  <c r="C53" i="47" s="1"/>
  <c r="C63" i="47" s="1"/>
  <c r="C73" i="47" s="1"/>
  <c r="C83" i="47" s="1"/>
  <c r="C93" i="47" s="1"/>
  <c r="A23" i="47"/>
  <c r="A33" i="47" s="1"/>
  <c r="A43" i="47" s="1"/>
  <c r="A53" i="47" s="1"/>
  <c r="A63" i="47" s="1"/>
  <c r="A73" i="47" s="1"/>
  <c r="A83" i="47" s="1"/>
  <c r="A93" i="47" s="1"/>
  <c r="A103" i="47" s="1"/>
  <c r="AB22" i="47"/>
  <c r="AB23" i="47" s="1"/>
  <c r="AA22" i="47"/>
  <c r="AA23" i="47" s="1"/>
  <c r="Z22" i="47"/>
  <c r="X22" i="47"/>
  <c r="X23" i="47" s="1"/>
  <c r="X24" i="47" s="1"/>
  <c r="X25" i="47" s="1"/>
  <c r="U22" i="47"/>
  <c r="R22" i="47"/>
  <c r="N22" i="47"/>
  <c r="N23" i="47" s="1"/>
  <c r="N24" i="47" s="1"/>
  <c r="N25" i="47" s="1"/>
  <c r="M22" i="47"/>
  <c r="M23" i="47" s="1"/>
  <c r="M24" i="47" s="1"/>
  <c r="M25" i="47" s="1"/>
  <c r="L22" i="47"/>
  <c r="L23" i="47" s="1"/>
  <c r="L24" i="47" s="1"/>
  <c r="L25" i="47" s="1"/>
  <c r="C22" i="47"/>
  <c r="C32" i="47" s="1"/>
  <c r="C42" i="47" s="1"/>
  <c r="C52" i="47" s="1"/>
  <c r="C62" i="47" s="1"/>
  <c r="C72" i="47" s="1"/>
  <c r="C82" i="47" s="1"/>
  <c r="C92" i="47" s="1"/>
  <c r="A22" i="47"/>
  <c r="A32" i="47" s="1"/>
  <c r="A42" i="47" s="1"/>
  <c r="A52" i="47" s="1"/>
  <c r="A62" i="47" s="1"/>
  <c r="A72" i="47" s="1"/>
  <c r="A82" i="47" s="1"/>
  <c r="A92" i="47" s="1"/>
  <c r="A102" i="47" s="1"/>
  <c r="T21" i="47"/>
  <c r="T22" i="47" s="1"/>
  <c r="T23" i="47" s="1"/>
  <c r="T24" i="47" s="1"/>
  <c r="T25" i="47" s="1"/>
  <c r="K21" i="47"/>
  <c r="K22" i="47" s="1"/>
  <c r="J21" i="47"/>
  <c r="J22" i="47" s="1"/>
  <c r="H21" i="47"/>
  <c r="C21" i="47"/>
  <c r="C31" i="47" s="1"/>
  <c r="C41" i="47" s="1"/>
  <c r="C51" i="47" s="1"/>
  <c r="C61" i="47" s="1"/>
  <c r="C71" i="47" s="1"/>
  <c r="C81" i="47" s="1"/>
  <c r="C91" i="47" s="1"/>
  <c r="A21" i="47"/>
  <c r="AA20" i="47"/>
  <c r="V20" i="47"/>
  <c r="V21" i="47" s="1"/>
  <c r="O20" i="47"/>
  <c r="O21" i="47" s="1"/>
  <c r="O22" i="47" s="1"/>
  <c r="O23" i="47" s="1"/>
  <c r="O24" i="47" s="1"/>
  <c r="O25" i="47" s="1"/>
  <c r="O26" i="47" s="1"/>
  <c r="O27" i="47" s="1"/>
  <c r="O28" i="47" s="1"/>
  <c r="O29" i="47" s="1"/>
  <c r="O30" i="47" s="1"/>
  <c r="O31" i="47" s="1"/>
  <c r="O32" i="47" s="1"/>
  <c r="O33" i="47" s="1"/>
  <c r="O34" i="47" s="1"/>
  <c r="O35" i="47" s="1"/>
  <c r="O36" i="47" s="1"/>
  <c r="O37" i="47" s="1"/>
  <c r="O38" i="47" s="1"/>
  <c r="O39" i="47" s="1"/>
  <c r="O40" i="47" s="1"/>
  <c r="O41" i="47" s="1"/>
  <c r="O42" i="47" s="1"/>
  <c r="O43" i="47" s="1"/>
  <c r="O44" i="47" s="1"/>
  <c r="O45" i="47" s="1"/>
  <c r="O46" i="47" s="1"/>
  <c r="O47" i="47" s="1"/>
  <c r="O48" i="47" s="1"/>
  <c r="O49" i="47" s="1"/>
  <c r="O50" i="47" s="1"/>
  <c r="O51" i="47" s="1"/>
  <c r="O52" i="47" s="1"/>
  <c r="O53" i="47" s="1"/>
  <c r="O54" i="47" s="1"/>
  <c r="O55" i="47" s="1"/>
  <c r="O56" i="47" s="1"/>
  <c r="O57" i="47" s="1"/>
  <c r="O58" i="47" s="1"/>
  <c r="O59" i="47" s="1"/>
  <c r="O60" i="47" s="1"/>
  <c r="O61" i="47" s="1"/>
  <c r="O62" i="47" s="1"/>
  <c r="O63" i="47" s="1"/>
  <c r="O64" i="47" s="1"/>
  <c r="O65" i="47" s="1"/>
  <c r="I20" i="47"/>
  <c r="I21" i="47" s="1"/>
  <c r="H20" i="47"/>
  <c r="G20" i="47"/>
  <c r="G21" i="47" s="1"/>
  <c r="C20" i="47"/>
  <c r="A20" i="47"/>
  <c r="A30" i="47" s="1"/>
  <c r="A40" i="47" s="1"/>
  <c r="A50" i="47" s="1"/>
  <c r="A60" i="47" s="1"/>
  <c r="A70" i="47" s="1"/>
  <c r="A80" i="47" s="1"/>
  <c r="A90" i="47" s="1"/>
  <c r="A100" i="47" s="1"/>
  <c r="AG19" i="47"/>
  <c r="B19" i="47" s="1"/>
  <c r="Z19" i="47"/>
  <c r="Z20" i="47" s="1"/>
  <c r="Y19" i="47"/>
  <c r="Y20" i="47" s="1"/>
  <c r="U19" i="47"/>
  <c r="U20" i="47" s="1"/>
  <c r="R19" i="47"/>
  <c r="Q19" i="47"/>
  <c r="Q20" i="47" s="1"/>
  <c r="Q21" i="47" s="1"/>
  <c r="Q22" i="47" s="1"/>
  <c r="Q23" i="47" s="1"/>
  <c r="Q24" i="47" s="1"/>
  <c r="P19" i="47"/>
  <c r="P20" i="47" s="1"/>
  <c r="P21" i="47" s="1"/>
  <c r="P22" i="47" s="1"/>
  <c r="P23" i="47" s="1"/>
  <c r="P24" i="47" s="1"/>
  <c r="P25" i="47" s="1"/>
  <c r="P26" i="47" s="1"/>
  <c r="P27" i="47" s="1"/>
  <c r="P28" i="47" s="1"/>
  <c r="P29" i="47" s="1"/>
  <c r="P30" i="47" s="1"/>
  <c r="P31" i="47" s="1"/>
  <c r="P32" i="47" s="1"/>
  <c r="P33" i="47" s="1"/>
  <c r="P34" i="47" s="1"/>
  <c r="P35" i="47" s="1"/>
  <c r="P36" i="47" s="1"/>
  <c r="P37" i="47" s="1"/>
  <c r="P38" i="47" s="1"/>
  <c r="P39" i="47" s="1"/>
  <c r="P40" i="47" s="1"/>
  <c r="P41" i="47" s="1"/>
  <c r="P42" i="47" s="1"/>
  <c r="P43" i="47" s="1"/>
  <c r="P44" i="47" s="1"/>
  <c r="P45" i="47" s="1"/>
  <c r="P46" i="47" s="1"/>
  <c r="P47" i="47" s="1"/>
  <c r="P48" i="47" s="1"/>
  <c r="P49" i="47" s="1"/>
  <c r="P50" i="47" s="1"/>
  <c r="P51" i="47" s="1"/>
  <c r="P52" i="47" s="1"/>
  <c r="P53" i="47" s="1"/>
  <c r="P54" i="47" s="1"/>
  <c r="P55" i="47" s="1"/>
  <c r="P56" i="47" s="1"/>
  <c r="P57" i="47" s="1"/>
  <c r="P58" i="47" s="1"/>
  <c r="P59" i="47" s="1"/>
  <c r="P60" i="47" s="1"/>
  <c r="P61" i="47" s="1"/>
  <c r="P62" i="47" s="1"/>
  <c r="P63" i="47" s="1"/>
  <c r="P64" i="47" s="1"/>
  <c r="P65" i="47" s="1"/>
  <c r="P66" i="47" s="1"/>
  <c r="P67" i="47" s="1"/>
  <c r="P68" i="47" s="1"/>
  <c r="P69" i="47" s="1"/>
  <c r="P70" i="47" s="1"/>
  <c r="P71" i="47" s="1"/>
  <c r="P72" i="47" s="1"/>
  <c r="P73" i="47" s="1"/>
  <c r="P74" i="47" s="1"/>
  <c r="P75" i="47" s="1"/>
  <c r="P76" i="47" s="1"/>
  <c r="P77" i="47" s="1"/>
  <c r="P78" i="47" s="1"/>
  <c r="P79" i="47" s="1"/>
  <c r="P80" i="47" s="1"/>
  <c r="P81" i="47" s="1"/>
  <c r="P82" i="47" s="1"/>
  <c r="P83" i="47" s="1"/>
  <c r="P84" i="47" s="1"/>
  <c r="P85" i="47" s="1"/>
  <c r="P86" i="47" s="1"/>
  <c r="P87" i="47" s="1"/>
  <c r="P88" i="47" s="1"/>
  <c r="P89" i="47" s="1"/>
  <c r="P90" i="47" s="1"/>
  <c r="P91" i="47" s="1"/>
  <c r="P92" i="47" s="1"/>
  <c r="P93" i="47" s="1"/>
  <c r="P94" i="47" s="1"/>
  <c r="P95" i="47" s="1"/>
  <c r="P96" i="47" s="1"/>
  <c r="P97" i="47" s="1"/>
  <c r="P98" i="47" s="1"/>
  <c r="P99" i="47" s="1"/>
  <c r="P100" i="47" s="1"/>
  <c r="P101" i="47" s="1"/>
  <c r="P102" i="47" s="1"/>
  <c r="P103" i="47" s="1"/>
  <c r="P104" i="47" s="1"/>
  <c r="P105" i="47" s="1"/>
  <c r="L19" i="47"/>
  <c r="L20" i="47" s="1"/>
  <c r="C19" i="47"/>
  <c r="C29" i="47" s="1"/>
  <c r="C39" i="47" s="1"/>
  <c r="A19" i="47"/>
  <c r="A29" i="47" s="1"/>
  <c r="A39" i="47" s="1"/>
  <c r="A49" i="47" s="1"/>
  <c r="A59" i="47" s="1"/>
  <c r="A69" i="47" s="1"/>
  <c r="A79" i="47" s="1"/>
  <c r="A89" i="47" s="1"/>
  <c r="A99" i="47" s="1"/>
  <c r="AG18" i="47"/>
  <c r="B18" i="47" s="1"/>
  <c r="AE18" i="47"/>
  <c r="AB18" i="47"/>
  <c r="AB19" i="47" s="1"/>
  <c r="AA18" i="47"/>
  <c r="Y18" i="47"/>
  <c r="V18" i="47"/>
  <c r="Q18" i="47"/>
  <c r="P18" i="47"/>
  <c r="L18" i="47"/>
  <c r="J18" i="47"/>
  <c r="J19" i="47" s="1"/>
  <c r="I18" i="47"/>
  <c r="H18" i="47"/>
  <c r="C18" i="47"/>
  <c r="C28" i="47" s="1"/>
  <c r="C38" i="47" s="1"/>
  <c r="C48" i="47" s="1"/>
  <c r="C58" i="47" s="1"/>
  <c r="C68" i="47" s="1"/>
  <c r="C78" i="47" s="1"/>
  <c r="C88" i="47" s="1"/>
  <c r="A18" i="47"/>
  <c r="A28" i="47" s="1"/>
  <c r="A38" i="47" s="1"/>
  <c r="A48" i="47" s="1"/>
  <c r="A58" i="47" s="1"/>
  <c r="A68" i="47" s="1"/>
  <c r="A78" i="47" s="1"/>
  <c r="A88" i="47" s="1"/>
  <c r="A98" i="47" s="1"/>
  <c r="AF17" i="47"/>
  <c r="AF18" i="47" s="1"/>
  <c r="AF19" i="47" s="1"/>
  <c r="AF20" i="47" s="1"/>
  <c r="AB17" i="47"/>
  <c r="AA17" i="47"/>
  <c r="Z17" i="47"/>
  <c r="X17" i="47"/>
  <c r="X18" i="47" s="1"/>
  <c r="X19" i="47" s="1"/>
  <c r="X20" i="47" s="1"/>
  <c r="U17" i="47"/>
  <c r="R17" i="47"/>
  <c r="Q17" i="47"/>
  <c r="P17" i="47"/>
  <c r="N17" i="47"/>
  <c r="N18" i="47" s="1"/>
  <c r="N19" i="47" s="1"/>
  <c r="N20" i="47" s="1"/>
  <c r="M17" i="47"/>
  <c r="M18" i="47" s="1"/>
  <c r="M19" i="47" s="1"/>
  <c r="M20" i="47" s="1"/>
  <c r="L17" i="47"/>
  <c r="K17" i="47"/>
  <c r="K18" i="47" s="1"/>
  <c r="K19" i="47" s="1"/>
  <c r="J17" i="47"/>
  <c r="I17" i="47"/>
  <c r="H17" i="47"/>
  <c r="G17" i="47"/>
  <c r="G18" i="47" s="1"/>
  <c r="F17" i="47"/>
  <c r="F18" i="47" s="1"/>
  <c r="F19" i="47" s="1"/>
  <c r="F20" i="47" s="1"/>
  <c r="F21" i="47" s="1"/>
  <c r="F22" i="47" s="1"/>
  <c r="F23" i="47" s="1"/>
  <c r="F24" i="47" s="1"/>
  <c r="F25" i="47" s="1"/>
  <c r="F26" i="47" s="1"/>
  <c r="F27" i="47" s="1"/>
  <c r="F28" i="47" s="1"/>
  <c r="F29" i="47" s="1"/>
  <c r="F30" i="47" s="1"/>
  <c r="F31" i="47" s="1"/>
  <c r="F32" i="47" s="1"/>
  <c r="F33" i="47" s="1"/>
  <c r="F34" i="47" s="1"/>
  <c r="F35" i="47" s="1"/>
  <c r="F36" i="47" s="1"/>
  <c r="F37" i="47" s="1"/>
  <c r="F38" i="47" s="1"/>
  <c r="F39" i="47" s="1"/>
  <c r="F40" i="47" s="1"/>
  <c r="F41" i="47" s="1"/>
  <c r="F42" i="47" s="1"/>
  <c r="F43" i="47" s="1"/>
  <c r="F44" i="47" s="1"/>
  <c r="F45" i="47" s="1"/>
  <c r="F46" i="47" s="1"/>
  <c r="F47" i="47" s="1"/>
  <c r="F48" i="47" s="1"/>
  <c r="F49" i="47" s="1"/>
  <c r="F50" i="47" s="1"/>
  <c r="F51" i="47" s="1"/>
  <c r="F52" i="47" s="1"/>
  <c r="F53" i="47" s="1"/>
  <c r="F54" i="47" s="1"/>
  <c r="F55" i="47" s="1"/>
  <c r="F56" i="47" s="1"/>
  <c r="F57" i="47" s="1"/>
  <c r="F58" i="47" s="1"/>
  <c r="F59" i="47" s="1"/>
  <c r="F60" i="47" s="1"/>
  <c r="F61" i="47" s="1"/>
  <c r="F62" i="47" s="1"/>
  <c r="F63" i="47" s="1"/>
  <c r="F64" i="47" s="1"/>
  <c r="F65" i="47" s="1"/>
  <c r="F66" i="47" s="1"/>
  <c r="F67" i="47" s="1"/>
  <c r="F68" i="47" s="1"/>
  <c r="F69" i="47" s="1"/>
  <c r="F70" i="47" s="1"/>
  <c r="F71" i="47" s="1"/>
  <c r="F72" i="47" s="1"/>
  <c r="F73" i="47" s="1"/>
  <c r="F74" i="47" s="1"/>
  <c r="F75" i="47" s="1"/>
  <c r="F76" i="47" s="1"/>
  <c r="F77" i="47" s="1"/>
  <c r="F78" i="47" s="1"/>
  <c r="F79" i="47" s="1"/>
  <c r="F80" i="47" s="1"/>
  <c r="F81" i="47" s="1"/>
  <c r="F82" i="47" s="1"/>
  <c r="F83" i="47" s="1"/>
  <c r="F84" i="47" s="1"/>
  <c r="F85" i="47" s="1"/>
  <c r="F86" i="47" s="1"/>
  <c r="F87" i="47" s="1"/>
  <c r="F88" i="47" s="1"/>
  <c r="F89" i="47" s="1"/>
  <c r="F90" i="47" s="1"/>
  <c r="F91" i="47" s="1"/>
  <c r="F92" i="47" s="1"/>
  <c r="F93" i="47" s="1"/>
  <c r="F94" i="47" s="1"/>
  <c r="F95" i="47" s="1"/>
  <c r="F96" i="47" s="1"/>
  <c r="F97" i="47" s="1"/>
  <c r="F98" i="47" s="1"/>
  <c r="F99" i="47" s="1"/>
  <c r="F100" i="47" s="1"/>
  <c r="F101" i="47" s="1"/>
  <c r="F102" i="47" s="1"/>
  <c r="F103" i="47" s="1"/>
  <c r="F104" i="47" s="1"/>
  <c r="F105" i="47" s="1"/>
  <c r="C17" i="47"/>
  <c r="C27" i="47" s="1"/>
  <c r="A17" i="47"/>
  <c r="A27" i="47" s="1"/>
  <c r="S16" i="47"/>
  <c r="S17" i="47" s="1"/>
  <c r="S18" i="47" s="1"/>
  <c r="S19" i="47" s="1"/>
  <c r="S20" i="47" s="1"/>
  <c r="S21" i="47" s="1"/>
  <c r="S22" i="47" s="1"/>
  <c r="S23" i="47" s="1"/>
  <c r="S24" i="47" s="1"/>
  <c r="S25" i="47" s="1"/>
  <c r="S26" i="47" s="1"/>
  <c r="S27" i="47" s="1"/>
  <c r="S28" i="47" s="1"/>
  <c r="S29" i="47" s="1"/>
  <c r="S30" i="47" s="1"/>
  <c r="S31" i="47" s="1"/>
  <c r="S32" i="47" s="1"/>
  <c r="S33" i="47" s="1"/>
  <c r="S34" i="47" s="1"/>
  <c r="S35" i="47" s="1"/>
  <c r="S36" i="47" s="1"/>
  <c r="S37" i="47" s="1"/>
  <c r="S38" i="47" s="1"/>
  <c r="S39" i="47" s="1"/>
  <c r="S40" i="47" s="1"/>
  <c r="S41" i="47" s="1"/>
  <c r="S42" i="47" s="1"/>
  <c r="S43" i="47" s="1"/>
  <c r="S44" i="47" s="1"/>
  <c r="S45" i="47" s="1"/>
  <c r="S46" i="47" s="1"/>
  <c r="S47" i="47" s="1"/>
  <c r="S48" i="47" s="1"/>
  <c r="S49" i="47" s="1"/>
  <c r="S50" i="47" s="1"/>
  <c r="S51" i="47" s="1"/>
  <c r="S52" i="47" s="1"/>
  <c r="S53" i="47" s="1"/>
  <c r="S54" i="47" s="1"/>
  <c r="S55" i="47" s="1"/>
  <c r="S56" i="47" s="1"/>
  <c r="S57" i="47" s="1"/>
  <c r="S58" i="47" s="1"/>
  <c r="S59" i="47" s="1"/>
  <c r="S60" i="47" s="1"/>
  <c r="S61" i="47" s="1"/>
  <c r="S62" i="47" s="1"/>
  <c r="S63" i="47" s="1"/>
  <c r="S64" i="47" s="1"/>
  <c r="S65" i="47" s="1"/>
  <c r="S66" i="47" s="1"/>
  <c r="S67" i="47" s="1"/>
  <c r="S68" i="47" s="1"/>
  <c r="S69" i="47" s="1"/>
  <c r="S70" i="47" s="1"/>
  <c r="S71" i="47" s="1"/>
  <c r="S72" i="47" s="1"/>
  <c r="S73" i="47" s="1"/>
  <c r="S74" i="47" s="1"/>
  <c r="S75" i="47" s="1"/>
  <c r="S76" i="47" s="1"/>
  <c r="S77" i="47" s="1"/>
  <c r="S78" i="47" s="1"/>
  <c r="S79" i="47" s="1"/>
  <c r="S80" i="47" s="1"/>
  <c r="S81" i="47" s="1"/>
  <c r="S82" i="47" s="1"/>
  <c r="S83" i="47" s="1"/>
  <c r="S84" i="47" s="1"/>
  <c r="S85" i="47" s="1"/>
  <c r="S86" i="47" s="1"/>
  <c r="S87" i="47" s="1"/>
  <c r="S88" i="47" s="1"/>
  <c r="S89" i="47" s="1"/>
  <c r="S90" i="47" s="1"/>
  <c r="S91" i="47" s="1"/>
  <c r="S92" i="47" s="1"/>
  <c r="S93" i="47" s="1"/>
  <c r="S94" i="47" s="1"/>
  <c r="S95" i="47" s="1"/>
  <c r="S96" i="47" s="1"/>
  <c r="S97" i="47" s="1"/>
  <c r="S98" i="47" s="1"/>
  <c r="S99" i="47" s="1"/>
  <c r="S100" i="47" s="1"/>
  <c r="S101" i="47" s="1"/>
  <c r="S102" i="47" s="1"/>
  <c r="S103" i="47" s="1"/>
  <c r="S104" i="47" s="1"/>
  <c r="S105" i="47" s="1"/>
  <c r="D16" i="47"/>
  <c r="B16" i="47"/>
  <c r="A16" i="47"/>
  <c r="A26" i="47" s="1"/>
  <c r="A36" i="47" s="1"/>
  <c r="A46" i="47" s="1"/>
  <c r="A56" i="47" s="1"/>
  <c r="A66" i="47" s="1"/>
  <c r="A76" i="47" s="1"/>
  <c r="A86" i="47" s="1"/>
  <c r="A96" i="47" s="1"/>
  <c r="AA15" i="47"/>
  <c r="X15" i="47"/>
  <c r="V15" i="47"/>
  <c r="R15" i="47"/>
  <c r="Q15" i="47"/>
  <c r="P15" i="47"/>
  <c r="O15" i="47"/>
  <c r="O16" i="47" s="1"/>
  <c r="O17" i="47" s="1"/>
  <c r="O18" i="47" s="1"/>
  <c r="O19" i="47" s="1"/>
  <c r="B15" i="47"/>
  <c r="AB14" i="47"/>
  <c r="Z14" i="47"/>
  <c r="Z15" i="47" s="1"/>
  <c r="Y14" i="47"/>
  <c r="Y15" i="47" s="1"/>
  <c r="X14" i="47"/>
  <c r="Q14" i="47"/>
  <c r="K14" i="47"/>
  <c r="K15" i="47" s="1"/>
  <c r="J14" i="47"/>
  <c r="J15" i="47" s="1"/>
  <c r="I14" i="47"/>
  <c r="I15" i="47" s="1"/>
  <c r="B14" i="47"/>
  <c r="R13" i="47"/>
  <c r="Q13" i="47"/>
  <c r="P13" i="47"/>
  <c r="M13" i="47"/>
  <c r="M14" i="47" s="1"/>
  <c r="M15" i="47" s="1"/>
  <c r="I13" i="47"/>
  <c r="H13" i="47"/>
  <c r="H14" i="47" s="1"/>
  <c r="H15" i="47" s="1"/>
  <c r="G13" i="47"/>
  <c r="G14" i="47" s="1"/>
  <c r="G15" i="47" s="1"/>
  <c r="B13" i="47"/>
  <c r="AB12" i="47"/>
  <c r="AA12" i="47"/>
  <c r="Z12" i="47"/>
  <c r="V12" i="47"/>
  <c r="W11" i="47"/>
  <c r="W12" i="47" s="1"/>
  <c r="W13" i="47" s="1"/>
  <c r="W14" i="47" s="1"/>
  <c r="W15" i="47" s="1"/>
  <c r="W16" i="47" s="1"/>
  <c r="W17" i="47" s="1"/>
  <c r="W18" i="47" s="1"/>
  <c r="W19" i="47" s="1"/>
  <c r="W20" i="47" s="1"/>
  <c r="W21" i="47" s="1"/>
  <c r="W22" i="47" s="1"/>
  <c r="W23" i="47" s="1"/>
  <c r="W24" i="47" s="1"/>
  <c r="W25" i="47" s="1"/>
  <c r="W26" i="47" s="1"/>
  <c r="W27" i="47" s="1"/>
  <c r="W28" i="47" s="1"/>
  <c r="W29" i="47" s="1"/>
  <c r="W30" i="47" s="1"/>
  <c r="W31" i="47" s="1"/>
  <c r="W32" i="47" s="1"/>
  <c r="W33" i="47" s="1"/>
  <c r="W34" i="47" s="1"/>
  <c r="W35" i="47" s="1"/>
  <c r="W36" i="47" s="1"/>
  <c r="W37" i="47" s="1"/>
  <c r="W38" i="47" s="1"/>
  <c r="W39" i="47" s="1"/>
  <c r="W40" i="47" s="1"/>
  <c r="W41" i="47" s="1"/>
  <c r="W42" i="47" s="1"/>
  <c r="W43" i="47" s="1"/>
  <c r="W44" i="47" s="1"/>
  <c r="W45" i="47" s="1"/>
  <c r="W46" i="47" s="1"/>
  <c r="W47" i="47" s="1"/>
  <c r="W48" i="47" s="1"/>
  <c r="W49" i="47" s="1"/>
  <c r="W50" i="47" s="1"/>
  <c r="W51" i="47" s="1"/>
  <c r="W52" i="47" s="1"/>
  <c r="W53" i="47" s="1"/>
  <c r="W54" i="47" s="1"/>
  <c r="W55" i="47" s="1"/>
  <c r="W56" i="47" s="1"/>
  <c r="W57" i="47" s="1"/>
  <c r="W58" i="47" s="1"/>
  <c r="W59" i="47" s="1"/>
  <c r="W60" i="47" s="1"/>
  <c r="W61" i="47" s="1"/>
  <c r="W62" i="47" s="1"/>
  <c r="W63" i="47" s="1"/>
  <c r="W64" i="47" s="1"/>
  <c r="W65" i="47" s="1"/>
  <c r="W66" i="47" s="1"/>
  <c r="W67" i="47" s="1"/>
  <c r="W68" i="47" s="1"/>
  <c r="W69" i="47" s="1"/>
  <c r="W70" i="47" s="1"/>
  <c r="W71" i="47" s="1"/>
  <c r="W72" i="47" s="1"/>
  <c r="W73" i="47" s="1"/>
  <c r="W74" i="47" s="1"/>
  <c r="W75" i="47" s="1"/>
  <c r="W76" i="47" s="1"/>
  <c r="W77" i="47" s="1"/>
  <c r="W78" i="47" s="1"/>
  <c r="W79" i="47" s="1"/>
  <c r="W80" i="47" s="1"/>
  <c r="W81" i="47" s="1"/>
  <c r="W82" i="47" s="1"/>
  <c r="W83" i="47" s="1"/>
  <c r="W84" i="47" s="1"/>
  <c r="W85" i="47" s="1"/>
  <c r="W86" i="47" s="1"/>
  <c r="W87" i="47" s="1"/>
  <c r="W88" i="47" s="1"/>
  <c r="W89" i="47" s="1"/>
  <c r="W90" i="47" s="1"/>
  <c r="W91" i="47" s="1"/>
  <c r="W92" i="47" s="1"/>
  <c r="W93" i="47" s="1"/>
  <c r="W94" i="47" s="1"/>
  <c r="W95" i="47" s="1"/>
  <c r="W96" i="47" s="1"/>
  <c r="W97" i="47" s="1"/>
  <c r="W98" i="47" s="1"/>
  <c r="W99" i="47" s="1"/>
  <c r="W100" i="47" s="1"/>
  <c r="W101" i="47" s="1"/>
  <c r="W102" i="47" s="1"/>
  <c r="W103" i="47" s="1"/>
  <c r="W104" i="47" s="1"/>
  <c r="W105" i="47" s="1"/>
  <c r="R11" i="47"/>
  <c r="K11" i="47"/>
  <c r="K12" i="47" s="1"/>
  <c r="J11" i="47"/>
  <c r="J12" i="47" s="1"/>
  <c r="I11" i="47"/>
  <c r="G11" i="47"/>
  <c r="B11" i="47"/>
  <c r="Q10" i="47"/>
  <c r="Q11" i="47" s="1"/>
  <c r="P10" i="47"/>
  <c r="M10" i="47"/>
  <c r="M11" i="47" s="1"/>
  <c r="M12" i="47" s="1"/>
  <c r="I10" i="47"/>
  <c r="H10" i="47"/>
  <c r="H11" i="47" s="1"/>
  <c r="G10" i="47"/>
  <c r="B10" i="47"/>
  <c r="W9" i="47"/>
  <c r="W10" i="47" s="1"/>
  <c r="K9" i="47"/>
  <c r="B9" i="47"/>
  <c r="W8" i="47"/>
  <c r="V8" i="47"/>
  <c r="V9" i="47" s="1"/>
  <c r="P8" i="47"/>
  <c r="O8" i="47"/>
  <c r="O9" i="47" s="1"/>
  <c r="O10" i="47" s="1"/>
  <c r="O11" i="47" s="1"/>
  <c r="O12" i="47" s="1"/>
  <c r="O13" i="47" s="1"/>
  <c r="O14" i="47" s="1"/>
  <c r="K8" i="47"/>
  <c r="J8" i="47"/>
  <c r="J9" i="47" s="1"/>
  <c r="F8" i="47"/>
  <c r="F9" i="47" s="1"/>
  <c r="F10" i="47" s="1"/>
  <c r="F11" i="47" s="1"/>
  <c r="F12" i="47" s="1"/>
  <c r="F13" i="47" s="1"/>
  <c r="F14" i="47" s="1"/>
  <c r="F15" i="47" s="1"/>
  <c r="B8" i="47"/>
  <c r="W7" i="47"/>
  <c r="V7" i="47"/>
  <c r="S7" i="47"/>
  <c r="S8" i="47" s="1"/>
  <c r="S9" i="47" s="1"/>
  <c r="S10" i="47" s="1"/>
  <c r="S11" i="47" s="1"/>
  <c r="S12" i="47" s="1"/>
  <c r="S13" i="47" s="1"/>
  <c r="S14" i="47" s="1"/>
  <c r="S15" i="47" s="1"/>
  <c r="Q7" i="47"/>
  <c r="Q8" i="47" s="1"/>
  <c r="O7" i="47"/>
  <c r="N7" i="47"/>
  <c r="N8" i="47" s="1"/>
  <c r="N9" i="47" s="1"/>
  <c r="N10" i="47" s="1"/>
  <c r="N11" i="47" s="1"/>
  <c r="N12" i="47" s="1"/>
  <c r="N13" i="47" s="1"/>
  <c r="N14" i="47" s="1"/>
  <c r="N15" i="47" s="1"/>
  <c r="M7" i="47"/>
  <c r="M8" i="47" s="1"/>
  <c r="M9" i="47" s="1"/>
  <c r="K7" i="47"/>
  <c r="J7" i="47"/>
  <c r="I7" i="47"/>
  <c r="I8" i="47" s="1"/>
  <c r="H7" i="47"/>
  <c r="H8" i="47" s="1"/>
  <c r="G7" i="47"/>
  <c r="G8" i="47" s="1"/>
  <c r="F7" i="47"/>
  <c r="T6" i="47"/>
  <c r="T7" i="47" s="1"/>
  <c r="T8" i="47" s="1"/>
  <c r="T9" i="47" s="1"/>
  <c r="T10" i="47" s="1"/>
  <c r="T11" i="47" s="1"/>
  <c r="T12" i="47" s="1"/>
  <c r="T13" i="47" s="1"/>
  <c r="T14" i="47" s="1"/>
  <c r="T15" i="47" s="1"/>
  <c r="T16" i="47" s="1"/>
  <c r="T17" i="47" s="1"/>
  <c r="T18" i="47" s="1"/>
  <c r="T19" i="47" s="1"/>
  <c r="T20" i="47" s="1"/>
  <c r="O6" i="47"/>
  <c r="N6" i="47"/>
  <c r="D6" i="47"/>
  <c r="C6" i="47"/>
  <c r="B6" i="47"/>
  <c r="AE8" i="47" s="1"/>
  <c r="CO32" i="27"/>
  <c r="CO31" i="27"/>
  <c r="CO30" i="27"/>
  <c r="CO29" i="27"/>
  <c r="CO28" i="27"/>
  <c r="CO27" i="27"/>
  <c r="CO26" i="27"/>
  <c r="CQ25" i="27" s="1"/>
  <c r="CO25" i="27"/>
  <c r="CO22" i="27"/>
  <c r="CO21" i="27"/>
  <c r="CO20" i="27"/>
  <c r="CO19" i="27"/>
  <c r="CO18" i="27"/>
  <c r="CO17" i="27"/>
  <c r="CO16" i="27"/>
  <c r="CO15" i="27"/>
  <c r="CD15" i="27"/>
  <c r="CF15" i="27" s="1"/>
  <c r="CA15" i="27"/>
  <c r="BY15" i="27"/>
  <c r="BL15" i="27"/>
  <c r="BE15" i="27"/>
  <c r="Y15" i="27"/>
  <c r="CD14" i="27"/>
  <c r="CF14" i="27" s="1"/>
  <c r="CA14" i="27"/>
  <c r="BY14" i="27"/>
  <c r="BL14" i="27"/>
  <c r="BE14" i="27"/>
  <c r="Y14" i="27"/>
  <c r="CF13" i="27"/>
  <c r="CD13" i="27"/>
  <c r="BY13" i="27"/>
  <c r="CA13" i="27" s="1"/>
  <c r="BL13" i="27"/>
  <c r="BE13" i="27"/>
  <c r="Z13" i="27"/>
  <c r="Z14" i="27" s="1"/>
  <c r="Y13" i="27"/>
  <c r="CO12" i="27"/>
  <c r="CD12" i="27"/>
  <c r="CF12" i="27" s="1"/>
  <c r="CA12" i="27"/>
  <c r="BY12" i="27"/>
  <c r="BL12" i="27"/>
  <c r="Y12" i="27"/>
  <c r="CO11" i="27"/>
  <c r="CF11" i="27"/>
  <c r="CD11" i="27"/>
  <c r="CA11" i="27"/>
  <c r="BY11" i="27"/>
  <c r="BL11" i="27"/>
  <c r="BE11" i="27"/>
  <c r="BE12" i="27" s="1"/>
  <c r="Z11" i="27"/>
  <c r="Y11" i="27"/>
  <c r="CO10" i="27"/>
  <c r="CF10" i="27"/>
  <c r="CD10" i="27"/>
  <c r="BY10" i="27"/>
  <c r="CA10" i="27" s="1"/>
  <c r="BL10" i="27"/>
  <c r="Y10" i="27"/>
  <c r="CO9" i="27"/>
  <c r="CF9" i="27"/>
  <c r="CD9" i="27"/>
  <c r="CA9" i="27"/>
  <c r="BY9" i="27"/>
  <c r="BL9" i="27"/>
  <c r="BE9" i="27"/>
  <c r="BE10" i="27" s="1"/>
  <c r="Z9" i="27"/>
  <c r="Y9" i="27"/>
  <c r="H9" i="27"/>
  <c r="G9" i="27"/>
  <c r="CO8" i="27"/>
  <c r="CF8" i="27"/>
  <c r="CD8" i="27"/>
  <c r="BY8" i="27"/>
  <c r="CA8" i="27" s="1"/>
  <c r="BL8" i="27"/>
  <c r="Y8" i="27"/>
  <c r="M8" i="27"/>
  <c r="L8" i="27"/>
  <c r="K8" i="27"/>
  <c r="J8" i="27"/>
  <c r="I8" i="27"/>
  <c r="H8" i="27"/>
  <c r="G8" i="27"/>
  <c r="CO7" i="27"/>
  <c r="CF7" i="27"/>
  <c r="CD7" i="27"/>
  <c r="BY7" i="27"/>
  <c r="CA7" i="27" s="1"/>
  <c r="BL7" i="27"/>
  <c r="Y7" i="27"/>
  <c r="M7" i="27"/>
  <c r="L7" i="27"/>
  <c r="K7" i="27"/>
  <c r="J7" i="27"/>
  <c r="I7" i="27"/>
  <c r="H7" i="27"/>
  <c r="G7" i="27"/>
  <c r="CO6" i="27"/>
  <c r="CD6" i="27"/>
  <c r="CF6" i="27" s="1"/>
  <c r="CA6" i="27"/>
  <c r="BY6" i="27"/>
  <c r="BL6" i="27"/>
  <c r="BB6" i="27"/>
  <c r="Y6" i="27"/>
  <c r="M6" i="27"/>
  <c r="L6" i="27"/>
  <c r="K6" i="27"/>
  <c r="J6" i="27"/>
  <c r="I6" i="27"/>
  <c r="H6" i="27"/>
  <c r="G6" i="27"/>
  <c r="CO5" i="27"/>
  <c r="CQ5" i="27" s="1"/>
  <c r="CF5" i="27"/>
  <c r="CD5" i="27"/>
  <c r="CA5" i="27"/>
  <c r="BY5" i="27"/>
  <c r="BL5" i="27"/>
  <c r="BE5" i="27"/>
  <c r="BE6" i="27" s="1"/>
  <c r="BE7" i="27" s="1"/>
  <c r="BE8" i="27" s="1"/>
  <c r="BA5" i="27"/>
  <c r="Y5" i="27"/>
  <c r="J356" i="8"/>
  <c r="K353" i="8"/>
  <c r="J353" i="8"/>
  <c r="K352" i="8"/>
  <c r="J352" i="8"/>
  <c r="K351" i="8"/>
  <c r="J351" i="8"/>
  <c r="B342" i="8"/>
  <c r="K326" i="8"/>
  <c r="AE325" i="8"/>
  <c r="AC325" i="8"/>
  <c r="AA325" i="8"/>
  <c r="Y325" i="8"/>
  <c r="W325" i="8"/>
  <c r="U325" i="8"/>
  <c r="S325" i="8"/>
  <c r="Q325" i="8"/>
  <c r="O325" i="8"/>
  <c r="M325" i="8"/>
  <c r="K325" i="8"/>
  <c r="AE324" i="8"/>
  <c r="AD324" i="8"/>
  <c r="AC324" i="8"/>
  <c r="AB324" i="8"/>
  <c r="Z324" i="8"/>
  <c r="X324" i="8"/>
  <c r="W324" i="8"/>
  <c r="V324" i="8"/>
  <c r="U324" i="8"/>
  <c r="T324" i="8"/>
  <c r="R324" i="8"/>
  <c r="P324" i="8"/>
  <c r="O324" i="8"/>
  <c r="N324" i="8"/>
  <c r="M324" i="8"/>
  <c r="L324" i="8"/>
  <c r="AG324" i="8" s="1"/>
  <c r="K324" i="8"/>
  <c r="G324" i="8" s="1"/>
  <c r="J324" i="8"/>
  <c r="AE323" i="8"/>
  <c r="AD323" i="8"/>
  <c r="AC323" i="8"/>
  <c r="AB323" i="8"/>
  <c r="AA323" i="8"/>
  <c r="AA324" i="8" s="1"/>
  <c r="Z323" i="8"/>
  <c r="Y323" i="8"/>
  <c r="Y324" i="8" s="1"/>
  <c r="X323" i="8"/>
  <c r="W323" i="8"/>
  <c r="V323" i="8"/>
  <c r="U323" i="8"/>
  <c r="T323" i="8"/>
  <c r="S323" i="8"/>
  <c r="S324" i="8" s="1"/>
  <c r="R323" i="8"/>
  <c r="Q323" i="8"/>
  <c r="Q324" i="8" s="1"/>
  <c r="P323" i="8"/>
  <c r="O323" i="8"/>
  <c r="N323" i="8"/>
  <c r="AG323" i="8" s="1"/>
  <c r="M323" i="8"/>
  <c r="L323" i="8"/>
  <c r="K323" i="8"/>
  <c r="J323" i="8"/>
  <c r="AG322" i="8"/>
  <c r="AF322" i="8"/>
  <c r="I322" i="8"/>
  <c r="G322" i="8"/>
  <c r="J305" i="8"/>
  <c r="B291" i="8"/>
  <c r="B290" i="8"/>
  <c r="B286" i="8"/>
  <c r="B285" i="8"/>
  <c r="Q272" i="8"/>
  <c r="T272" i="8" s="1"/>
  <c r="P272" i="8"/>
  <c r="O272" i="8"/>
  <c r="N272" i="8"/>
  <c r="B272" i="8"/>
  <c r="T271" i="8"/>
  <c r="B271" i="8"/>
  <c r="T269" i="8"/>
  <c r="U271" i="8" s="1"/>
  <c r="B269" i="8"/>
  <c r="B268" i="8"/>
  <c r="B267" i="8"/>
  <c r="B266" i="8"/>
  <c r="B261" i="8"/>
  <c r="B259" i="8"/>
  <c r="B256" i="8"/>
  <c r="B218" i="8"/>
  <c r="N217" i="8"/>
  <c r="M217" i="8"/>
  <c r="N216" i="8"/>
  <c r="M216" i="8"/>
  <c r="N215" i="8"/>
  <c r="M215" i="8"/>
  <c r="N214" i="8"/>
  <c r="M214" i="8"/>
  <c r="N213" i="8"/>
  <c r="M213" i="8"/>
  <c r="N212" i="8"/>
  <c r="M212" i="8"/>
  <c r="N211" i="8"/>
  <c r="M211" i="8"/>
  <c r="E211" i="8"/>
  <c r="N210" i="8"/>
  <c r="M210" i="8"/>
  <c r="N209" i="8"/>
  <c r="M209" i="8"/>
  <c r="N208" i="8"/>
  <c r="M208" i="8"/>
  <c r="N207" i="8"/>
  <c r="M207" i="8"/>
  <c r="N206" i="8"/>
  <c r="M206" i="8"/>
  <c r="N205" i="8"/>
  <c r="M205" i="8"/>
  <c r="B203" i="8"/>
  <c r="B91" i="8"/>
  <c r="R73" i="8"/>
  <c r="Q72" i="8"/>
  <c r="K72" i="8"/>
  <c r="Q71" i="8"/>
  <c r="R71" i="8" s="1"/>
  <c r="S71" i="8" s="1"/>
  <c r="K71" i="8"/>
  <c r="I71" i="8"/>
  <c r="I72" i="8" s="1"/>
  <c r="B55" i="8"/>
  <c r="B54" i="8"/>
  <c r="B44" i="8"/>
  <c r="O43" i="8"/>
  <c r="L43" i="8"/>
  <c r="B43" i="8"/>
  <c r="O42" i="8"/>
  <c r="N42" i="8"/>
  <c r="M42" i="8"/>
  <c r="O41" i="8"/>
  <c r="N41" i="8"/>
  <c r="N43" i="8" s="1"/>
  <c r="M41" i="8"/>
  <c r="M43" i="8" s="1"/>
  <c r="B40" i="8"/>
  <c r="P25" i="8"/>
  <c r="O25" i="8"/>
  <c r="P24" i="8"/>
  <c r="O24" i="8"/>
  <c r="P23" i="8"/>
  <c r="O23" i="8"/>
  <c r="O22" i="8"/>
  <c r="P22" i="8" s="1"/>
  <c r="P21" i="8"/>
  <c r="O21" i="8"/>
  <c r="B21" i="8"/>
  <c r="O20" i="8"/>
  <c r="P20" i="8" s="1"/>
  <c r="O19" i="8"/>
  <c r="P19" i="8" s="1"/>
  <c r="B19" i="8"/>
  <c r="P18" i="8"/>
  <c r="O18" i="8"/>
  <c r="P17" i="8"/>
  <c r="O17" i="8"/>
  <c r="O16" i="8"/>
  <c r="P16" i="8" s="1"/>
  <c r="P15" i="8"/>
  <c r="O15" i="8"/>
  <c r="B13" i="8"/>
  <c r="B6" i="8"/>
  <c r="EO48" i="10"/>
  <c r="EW47" i="10"/>
  <c r="EU47" i="10"/>
  <c r="EO47" i="10"/>
  <c r="EW46" i="10"/>
  <c r="EU46" i="10"/>
  <c r="EO46" i="10"/>
  <c r="EW45" i="10"/>
  <c r="EU45" i="10"/>
  <c r="W30" i="10" s="1"/>
  <c r="EO45" i="10"/>
  <c r="EW44" i="10"/>
  <c r="EU44" i="10"/>
  <c r="EO44" i="10"/>
  <c r="EW43" i="10"/>
  <c r="EU43" i="10"/>
  <c r="EO43" i="10"/>
  <c r="EW42" i="10"/>
  <c r="EU42" i="10"/>
  <c r="ER42" i="10"/>
  <c r="EO42" i="10"/>
  <c r="EW41" i="10"/>
  <c r="EU41" i="10"/>
  <c r="EO41" i="10"/>
  <c r="EW40" i="10"/>
  <c r="EU40" i="10"/>
  <c r="W25" i="10" s="1"/>
  <c r="EW39" i="10"/>
  <c r="EU39" i="10"/>
  <c r="EW38" i="10"/>
  <c r="EU38" i="10"/>
  <c r="EW37" i="10"/>
  <c r="EU37" i="10"/>
  <c r="W22" i="10" s="1"/>
  <c r="EW36" i="10"/>
  <c r="EU36" i="10"/>
  <c r="EW35" i="10"/>
  <c r="EU35" i="10"/>
  <c r="EN33" i="10"/>
  <c r="ER32" i="10"/>
  <c r="EM32" i="10"/>
  <c r="EK32" i="10"/>
  <c r="EJ32" i="10"/>
  <c r="DZ32" i="10"/>
  <c r="DP32" i="10"/>
  <c r="DL32" i="10"/>
  <c r="DH32" i="10"/>
  <c r="DF32" i="10"/>
  <c r="AQ32" i="10" s="1"/>
  <c r="DC32" i="10"/>
  <c r="AW32" i="10"/>
  <c r="AU32" i="10"/>
  <c r="AV32" i="10" s="1"/>
  <c r="AS32" i="10"/>
  <c r="AO32" i="10"/>
  <c r="AH32" i="10"/>
  <c r="AA32" i="10"/>
  <c r="Y32" i="10"/>
  <c r="W32" i="10"/>
  <c r="M32" i="10"/>
  <c r="J32" i="10"/>
  <c r="K32" i="10" s="1"/>
  <c r="I32" i="10"/>
  <c r="ER31" i="10"/>
  <c r="EN31" i="10"/>
  <c r="EO31" i="10" s="1"/>
  <c r="EM31" i="10"/>
  <c r="EK31" i="10"/>
  <c r="EJ31" i="10"/>
  <c r="DZ31" i="10"/>
  <c r="DP31" i="10"/>
  <c r="DL31" i="10"/>
  <c r="DH31" i="10"/>
  <c r="DF31" i="10"/>
  <c r="AQ31" i="10" s="1"/>
  <c r="DC31" i="10"/>
  <c r="AW31" i="10"/>
  <c r="AU31" i="10"/>
  <c r="AV31" i="10" s="1"/>
  <c r="AS31" i="10"/>
  <c r="AO31" i="10"/>
  <c r="AH31" i="10"/>
  <c r="AA31" i="10"/>
  <c r="Y31" i="10"/>
  <c r="W31" i="10"/>
  <c r="M31" i="10"/>
  <c r="K31" i="10"/>
  <c r="J31" i="10"/>
  <c r="I31" i="10"/>
  <c r="ER30" i="10"/>
  <c r="EO30" i="10"/>
  <c r="EA30" i="10" s="1"/>
  <c r="EM30" i="10"/>
  <c r="EJ30" i="10"/>
  <c r="EK30" i="10" s="1"/>
  <c r="DZ30" i="10"/>
  <c r="DP30" i="10"/>
  <c r="DL30" i="10"/>
  <c r="DH30" i="10"/>
  <c r="DF30" i="10"/>
  <c r="DC30" i="10"/>
  <c r="AW30" i="10"/>
  <c r="AV30" i="10"/>
  <c r="AU30" i="10"/>
  <c r="AS30" i="10"/>
  <c r="AQ30" i="10"/>
  <c r="AO30" i="10"/>
  <c r="AH30" i="10"/>
  <c r="AA30" i="10"/>
  <c r="Y30" i="10"/>
  <c r="M30" i="10"/>
  <c r="K30" i="10"/>
  <c r="J30" i="10"/>
  <c r="I30" i="10"/>
  <c r="EU29" i="10"/>
  <c r="B368" i="8" s="1"/>
  <c r="ER29" i="10"/>
  <c r="EM29" i="10"/>
  <c r="EK29" i="10"/>
  <c r="EO29" i="10" s="1"/>
  <c r="EJ29" i="10"/>
  <c r="DZ29" i="10"/>
  <c r="DP29" i="10"/>
  <c r="DL29" i="10"/>
  <c r="DH29" i="10"/>
  <c r="DC29" i="10"/>
  <c r="DF29" i="10" s="1"/>
  <c r="AQ29" i="10" s="1"/>
  <c r="AW29" i="10"/>
  <c r="AU29" i="10"/>
  <c r="AS29" i="10"/>
  <c r="AH29" i="10"/>
  <c r="AA29" i="10"/>
  <c r="Y29" i="10"/>
  <c r="X29" i="10"/>
  <c r="W29" i="10"/>
  <c r="M29" i="10"/>
  <c r="J29" i="10"/>
  <c r="K29" i="10" s="1"/>
  <c r="I29" i="10"/>
  <c r="ER28" i="10"/>
  <c r="EM28" i="10"/>
  <c r="EJ28" i="10"/>
  <c r="EK28" i="10" s="1"/>
  <c r="DZ28" i="10"/>
  <c r="DP28" i="10"/>
  <c r="DL28" i="10"/>
  <c r="DH28" i="10"/>
  <c r="DF28" i="10"/>
  <c r="AQ28" i="10" s="1"/>
  <c r="DC28" i="10"/>
  <c r="AW28" i="10"/>
  <c r="AU28" i="10"/>
  <c r="AO28" i="10" s="1"/>
  <c r="AS28" i="10"/>
  <c r="AH28" i="10"/>
  <c r="AA28" i="10"/>
  <c r="Y28" i="10"/>
  <c r="X28" i="10"/>
  <c r="W28" i="10"/>
  <c r="M28" i="10"/>
  <c r="J28" i="10"/>
  <c r="K28" i="10" s="1"/>
  <c r="I28" i="10"/>
  <c r="EM27" i="10"/>
  <c r="EJ27" i="10"/>
  <c r="EK27" i="10" s="1"/>
  <c r="DZ27" i="10"/>
  <c r="DP27" i="10"/>
  <c r="DL27" i="10"/>
  <c r="DH27" i="10"/>
  <c r="DC27" i="10"/>
  <c r="DF27" i="10" s="1"/>
  <c r="AQ27" i="10" s="1"/>
  <c r="AW27" i="10"/>
  <c r="AU27" i="10" s="1"/>
  <c r="AO27" i="10" s="1"/>
  <c r="AV27" i="10"/>
  <c r="AS27" i="10"/>
  <c r="AH27" i="10"/>
  <c r="AA27" i="10"/>
  <c r="Y27" i="10"/>
  <c r="W27" i="10"/>
  <c r="M27" i="10"/>
  <c r="K27" i="10"/>
  <c r="J27" i="10"/>
  <c r="I27" i="10"/>
  <c r="C27" i="10"/>
  <c r="C32" i="10" s="1"/>
  <c r="EM26" i="10"/>
  <c r="EJ26" i="10"/>
  <c r="ER26" i="10" s="1"/>
  <c r="EB26" i="10"/>
  <c r="EB27" i="10" s="1"/>
  <c r="EB28" i="10" s="1"/>
  <c r="EB29" i="10" s="1"/>
  <c r="EB30" i="10" s="1"/>
  <c r="EB31" i="10" s="1"/>
  <c r="EB32" i="10" s="1"/>
  <c r="DZ26" i="10"/>
  <c r="DP26" i="10"/>
  <c r="DL26" i="10"/>
  <c r="DH26" i="10"/>
  <c r="DC26" i="10"/>
  <c r="DF26" i="10" s="1"/>
  <c r="AQ26" i="10" s="1"/>
  <c r="AW26" i="10"/>
  <c r="AU26" i="10" s="1"/>
  <c r="AS26" i="10"/>
  <c r="AH26" i="10"/>
  <c r="AA26" i="10"/>
  <c r="Y26" i="10"/>
  <c r="W26" i="10"/>
  <c r="M26" i="10"/>
  <c r="J26" i="10"/>
  <c r="K26" i="10" s="1"/>
  <c r="I26" i="10"/>
  <c r="ER25" i="10"/>
  <c r="EN25" i="10"/>
  <c r="EN26" i="10" s="1"/>
  <c r="EN27" i="10" s="1"/>
  <c r="EN28" i="10" s="1"/>
  <c r="EN29" i="10" s="1"/>
  <c r="EN30" i="10" s="1"/>
  <c r="EM25" i="10"/>
  <c r="EK25" i="10"/>
  <c r="DZ25" i="10"/>
  <c r="DP25" i="10"/>
  <c r="DL25" i="10"/>
  <c r="DH25" i="10"/>
  <c r="DC25" i="10"/>
  <c r="DF25" i="10" s="1"/>
  <c r="AQ25" i="10" s="1"/>
  <c r="AW25" i="10"/>
  <c r="AU25" i="10" s="1"/>
  <c r="AO25" i="10" s="1"/>
  <c r="AS25" i="10"/>
  <c r="AH25" i="10"/>
  <c r="AA25" i="10"/>
  <c r="Y25" i="10"/>
  <c r="M25" i="10"/>
  <c r="K25" i="10"/>
  <c r="J25" i="10"/>
  <c r="I25" i="10"/>
  <c r="C25" i="10"/>
  <c r="C30" i="10" s="1"/>
  <c r="DP24" i="10"/>
  <c r="DL24" i="10"/>
  <c r="DH24" i="10"/>
  <c r="DC24" i="10"/>
  <c r="DF24" i="10" s="1"/>
  <c r="AQ24" i="10" s="1"/>
  <c r="AW24" i="10"/>
  <c r="AU24" i="10"/>
  <c r="AS24" i="10"/>
  <c r="AH24" i="10"/>
  <c r="W24" i="10"/>
  <c r="O24" i="10"/>
  <c r="M24" i="10"/>
  <c r="J24" i="10"/>
  <c r="K24" i="10" s="1"/>
  <c r="I24" i="10"/>
  <c r="DP23" i="10"/>
  <c r="DL23" i="10"/>
  <c r="DH23" i="10"/>
  <c r="DC23" i="10"/>
  <c r="DF23" i="10" s="1"/>
  <c r="AQ23" i="10" s="1"/>
  <c r="AW23" i="10"/>
  <c r="AU23" i="10" s="1"/>
  <c r="AS23" i="10"/>
  <c r="AH23" i="10"/>
  <c r="W23" i="10"/>
  <c r="O23" i="10"/>
  <c r="M23" i="10"/>
  <c r="L23" i="10"/>
  <c r="J23" i="10"/>
  <c r="K23" i="10" s="1"/>
  <c r="I23" i="10"/>
  <c r="DP22" i="10"/>
  <c r="DL22" i="10"/>
  <c r="DH22" i="10"/>
  <c r="DC22" i="10"/>
  <c r="DF22" i="10" s="1"/>
  <c r="AQ22" i="10" s="1"/>
  <c r="AW22" i="10"/>
  <c r="AU22" i="10"/>
  <c r="AS22" i="10"/>
  <c r="AH22" i="10"/>
  <c r="L22" i="10"/>
  <c r="M22" i="10" s="1"/>
  <c r="K22" i="10"/>
  <c r="J22" i="10"/>
  <c r="I22" i="10"/>
  <c r="DP21" i="10"/>
  <c r="DL21" i="10"/>
  <c r="DH21" i="10"/>
  <c r="DC21" i="10"/>
  <c r="DF21" i="10" s="1"/>
  <c r="AQ21" i="10" s="1"/>
  <c r="AW21" i="10"/>
  <c r="AU21" i="10"/>
  <c r="AV21" i="10" s="1"/>
  <c r="AS21" i="10"/>
  <c r="AO21" i="10"/>
  <c r="AH21" i="10"/>
  <c r="W21" i="10"/>
  <c r="L21" i="10"/>
  <c r="M21" i="10" s="1"/>
  <c r="K21" i="10"/>
  <c r="J21" i="10"/>
  <c r="I21" i="10"/>
  <c r="C21" i="10"/>
  <c r="C26" i="10" s="1"/>
  <c r="C31" i="10" s="1"/>
  <c r="DP20" i="10"/>
  <c r="DL20" i="10"/>
  <c r="DH20" i="10"/>
  <c r="DC20" i="10"/>
  <c r="DF20" i="10" s="1"/>
  <c r="AU20" i="10"/>
  <c r="AO20" i="10" s="1"/>
  <c r="AS20" i="10"/>
  <c r="AQ20" i="10"/>
  <c r="AH20" i="10"/>
  <c r="W20" i="10"/>
  <c r="O20" i="10"/>
  <c r="L20" i="10"/>
  <c r="M20" i="10" s="1"/>
  <c r="J20" i="10"/>
  <c r="K20" i="10" s="1"/>
  <c r="I20" i="10"/>
  <c r="DP19" i="10"/>
  <c r="DL19" i="10"/>
  <c r="DH19" i="10"/>
  <c r="DC19" i="10"/>
  <c r="DF19" i="10" s="1"/>
  <c r="AQ19" i="10" s="1"/>
  <c r="BQ19" i="10"/>
  <c r="BO19" i="10"/>
  <c r="BP19" i="10" s="1"/>
  <c r="BM19" i="10"/>
  <c r="BL19" i="10"/>
  <c r="BI19" i="10"/>
  <c r="BJ19" i="10" s="1"/>
  <c r="BH19" i="10"/>
  <c r="BF19" i="10" s="1"/>
  <c r="BG19" i="10" s="1"/>
  <c r="BC19" i="10"/>
  <c r="BD19" i="10" s="1"/>
  <c r="AZ19" i="10"/>
  <c r="AW19" i="10"/>
  <c r="AU19" i="10" s="1"/>
  <c r="AO19" i="10" s="1"/>
  <c r="AV19" i="10"/>
  <c r="AS19" i="10"/>
  <c r="AH19" i="10"/>
  <c r="W19" i="10"/>
  <c r="W18" i="10" s="1"/>
  <c r="W17" i="10" s="1"/>
  <c r="W16" i="10" s="1"/>
  <c r="W15" i="10" s="1"/>
  <c r="W14" i="10" s="1"/>
  <c r="W13" i="10" s="1"/>
  <c r="W12" i="10" s="1"/>
  <c r="W11" i="10" s="1"/>
  <c r="W10" i="10" s="1"/>
  <c r="W9" i="10" s="1"/>
  <c r="W8" i="10" s="1"/>
  <c r="W7" i="10" s="1"/>
  <c r="W6" i="10" s="1"/>
  <c r="W5" i="10" s="1"/>
  <c r="O19" i="10"/>
  <c r="L19" i="10"/>
  <c r="M19" i="10" s="1"/>
  <c r="K19" i="10"/>
  <c r="J19" i="10"/>
  <c r="I19" i="10"/>
  <c r="C19" i="10"/>
  <c r="C24" i="10" s="1"/>
  <c r="C29" i="10" s="1"/>
  <c r="EZ18" i="10"/>
  <c r="EY18" i="10"/>
  <c r="EJ18" i="10"/>
  <c r="EJ19" i="10" s="1"/>
  <c r="DP18" i="10"/>
  <c r="DL18" i="10"/>
  <c r="DH18" i="10"/>
  <c r="DF18" i="10"/>
  <c r="AQ18" i="10" s="1"/>
  <c r="DC18" i="10"/>
  <c r="BQ18" i="10"/>
  <c r="BO18" i="10"/>
  <c r="BP18" i="10" s="1"/>
  <c r="BL18" i="10"/>
  <c r="BM18" i="10" s="1"/>
  <c r="BI18" i="10"/>
  <c r="BJ18" i="10" s="1"/>
  <c r="BH18" i="10"/>
  <c r="BF18" i="10"/>
  <c r="BG18" i="10" s="1"/>
  <c r="BD18" i="10"/>
  <c r="BC18" i="10"/>
  <c r="AZ18" i="10"/>
  <c r="BA18" i="10" s="1"/>
  <c r="AW18" i="10"/>
  <c r="AU18" i="10" s="1"/>
  <c r="AS18" i="10"/>
  <c r="AH18" i="10"/>
  <c r="O18" i="10"/>
  <c r="L18" i="10"/>
  <c r="M18" i="10" s="1"/>
  <c r="J18" i="10"/>
  <c r="K18" i="10" s="1"/>
  <c r="I18" i="10"/>
  <c r="C18" i="10"/>
  <c r="C23" i="10" s="1"/>
  <c r="C28" i="10" s="1"/>
  <c r="ET17" i="10"/>
  <c r="EX17" i="10" s="1"/>
  <c r="EP17" i="10"/>
  <c r="EM17" i="10"/>
  <c r="EN17" i="10" s="1"/>
  <c r="EK17" i="10"/>
  <c r="X32" i="10" s="1"/>
  <c r="DP17" i="10"/>
  <c r="DL17" i="10"/>
  <c r="DH17" i="10"/>
  <c r="DF17" i="10"/>
  <c r="AQ17" i="10" s="1"/>
  <c r="DC17" i="10"/>
  <c r="BQ17" i="10"/>
  <c r="BO17" i="10"/>
  <c r="BP17" i="10" s="1"/>
  <c r="BL17" i="10"/>
  <c r="BM17" i="10" s="1"/>
  <c r="BI17" i="10"/>
  <c r="BJ17" i="10" s="1"/>
  <c r="BH17" i="10"/>
  <c r="BF17" i="10"/>
  <c r="BG17" i="10" s="1"/>
  <c r="BD17" i="10"/>
  <c r="BC17" i="10"/>
  <c r="AZ17" i="10"/>
  <c r="BA17" i="10" s="1"/>
  <c r="AW17" i="10"/>
  <c r="AU17" i="10" s="1"/>
  <c r="AS17" i="10"/>
  <c r="AH17" i="10"/>
  <c r="O17" i="10"/>
  <c r="O22" i="10" s="1"/>
  <c r="L17" i="10"/>
  <c r="M17" i="10" s="1"/>
  <c r="J17" i="10"/>
  <c r="K17" i="10" s="1"/>
  <c r="I17" i="10"/>
  <c r="C17" i="10"/>
  <c r="C22" i="10" s="1"/>
  <c r="ET16" i="10"/>
  <c r="EX16" i="10" s="1"/>
  <c r="EP16" i="10"/>
  <c r="EM16" i="10"/>
  <c r="EN16" i="10" s="1"/>
  <c r="EK16" i="10"/>
  <c r="X31" i="10" s="1"/>
  <c r="DP16" i="10"/>
  <c r="DL16" i="10"/>
  <c r="DH16" i="10"/>
  <c r="DF16" i="10"/>
  <c r="AQ16" i="10" s="1"/>
  <c r="DC16" i="10"/>
  <c r="CC16" i="10"/>
  <c r="CD16" i="10" s="1"/>
  <c r="BQ16" i="10"/>
  <c r="BO16" i="10"/>
  <c r="BP16" i="10" s="1"/>
  <c r="BL16" i="10"/>
  <c r="BM16" i="10" s="1"/>
  <c r="BI16" i="10"/>
  <c r="BJ16" i="10" s="1"/>
  <c r="BH16" i="10"/>
  <c r="BF16" i="10"/>
  <c r="BG16" i="10" s="1"/>
  <c r="BD16" i="10"/>
  <c r="BC16" i="10"/>
  <c r="AZ16" i="10"/>
  <c r="BA16" i="10" s="1"/>
  <c r="AW16" i="10"/>
  <c r="AU16" i="10" s="1"/>
  <c r="AS16" i="10"/>
  <c r="AN16" i="10"/>
  <c r="AH16" i="10"/>
  <c r="O16" i="10"/>
  <c r="O21" i="10" s="1"/>
  <c r="L16" i="10"/>
  <c r="M16" i="10" s="1"/>
  <c r="J16" i="10"/>
  <c r="K16" i="10" s="1"/>
  <c r="I16" i="10"/>
  <c r="C16" i="10"/>
  <c r="ET15" i="10"/>
  <c r="EX15" i="10" s="1"/>
  <c r="EP15" i="10"/>
  <c r="EM15" i="10"/>
  <c r="EN15" i="10" s="1"/>
  <c r="EK15" i="10"/>
  <c r="X30" i="10" s="1"/>
  <c r="DP15" i="10"/>
  <c r="DL15" i="10"/>
  <c r="DH15" i="10"/>
  <c r="DF15" i="10"/>
  <c r="AQ15" i="10" s="1"/>
  <c r="DC15" i="10"/>
  <c r="CH15" i="10"/>
  <c r="CH16" i="10" s="1"/>
  <c r="CH17" i="10" s="1"/>
  <c r="CH18" i="10" s="1"/>
  <c r="CH19" i="10" s="1"/>
  <c r="CE15" i="10"/>
  <c r="CE16" i="10" s="1"/>
  <c r="CE17" i="10" s="1"/>
  <c r="CE18" i="10" s="1"/>
  <c r="CE19" i="10" s="1"/>
  <c r="CC19" i="10" s="1"/>
  <c r="CD19" i="10" s="1"/>
  <c r="CC15" i="10"/>
  <c r="CD15" i="10" s="1"/>
  <c r="CB15" i="10"/>
  <c r="CB16" i="10" s="1"/>
  <c r="CB17" i="10" s="1"/>
  <c r="CB18" i="10" s="1"/>
  <c r="CB19" i="10" s="1"/>
  <c r="BY15" i="10"/>
  <c r="BY16" i="10" s="1"/>
  <c r="BX15" i="10"/>
  <c r="BW15" i="10"/>
  <c r="BV15" i="10"/>
  <c r="BQ15" i="10"/>
  <c r="BO15" i="10"/>
  <c r="BP15" i="10" s="1"/>
  <c r="BL15" i="10"/>
  <c r="BM15" i="10" s="1"/>
  <c r="BI15" i="10"/>
  <c r="BJ15" i="10" s="1"/>
  <c r="BF15" i="10"/>
  <c r="BG15" i="10" s="1"/>
  <c r="BC15" i="10"/>
  <c r="BD15" i="10" s="1"/>
  <c r="AZ15" i="10"/>
  <c r="BA15" i="10" s="1"/>
  <c r="AY15" i="10"/>
  <c r="AV15" i="10"/>
  <c r="AU15" i="10"/>
  <c r="AS15" i="10"/>
  <c r="AO15" i="10"/>
  <c r="AH15" i="10"/>
  <c r="O15" i="10"/>
  <c r="L15" i="10"/>
  <c r="M15" i="10" s="1"/>
  <c r="K15" i="10"/>
  <c r="J15" i="10"/>
  <c r="I15" i="10"/>
  <c r="C15" i="10"/>
  <c r="C20" i="10" s="1"/>
  <c r="EX14" i="10"/>
  <c r="ET14" i="10"/>
  <c r="EP14" i="10"/>
  <c r="EM14" i="10"/>
  <c r="EN14" i="10" s="1"/>
  <c r="EK14" i="10"/>
  <c r="DP14" i="10"/>
  <c r="DL14" i="10"/>
  <c r="DH14" i="10"/>
  <c r="DC14" i="10"/>
  <c r="DF14" i="10" s="1"/>
  <c r="AQ14" i="10" s="1"/>
  <c r="DA14" i="10"/>
  <c r="AW14" i="10"/>
  <c r="AU14" i="10"/>
  <c r="AS14" i="10"/>
  <c r="AH14" i="10"/>
  <c r="M14" i="10"/>
  <c r="L14" i="10"/>
  <c r="J14" i="10"/>
  <c r="K14" i="10" s="1"/>
  <c r="I14" i="10"/>
  <c r="C14" i="10"/>
  <c r="EP13" i="10"/>
  <c r="EM13" i="10"/>
  <c r="EN13" i="10" s="1"/>
  <c r="EK13" i="10"/>
  <c r="DP13" i="10"/>
  <c r="DL13" i="10"/>
  <c r="DH13" i="10"/>
  <c r="DF13" i="10"/>
  <c r="DC13" i="10"/>
  <c r="DA13" i="10"/>
  <c r="CH13" i="10"/>
  <c r="CH14" i="10" s="1"/>
  <c r="CF14" i="10" s="1"/>
  <c r="CG14" i="10" s="1"/>
  <c r="BB13" i="10"/>
  <c r="AW13" i="10"/>
  <c r="AU13" i="10"/>
  <c r="AV13" i="10" s="1"/>
  <c r="AS13" i="10"/>
  <c r="AQ13" i="10"/>
  <c r="AO13" i="10"/>
  <c r="AH13" i="10"/>
  <c r="M13" i="10"/>
  <c r="L13" i="10"/>
  <c r="J13" i="10"/>
  <c r="K13" i="10" s="1"/>
  <c r="I13" i="10"/>
  <c r="ET12" i="10"/>
  <c r="EX12" i="10" s="1"/>
  <c r="EQ12" i="10"/>
  <c r="EP12" i="10"/>
  <c r="EM12" i="10"/>
  <c r="EN12" i="10" s="1"/>
  <c r="EK12" i="10"/>
  <c r="X27" i="10" s="1"/>
  <c r="DP12" i="10"/>
  <c r="DL12" i="10"/>
  <c r="DH12" i="10"/>
  <c r="DF12" i="10"/>
  <c r="AQ12" i="10" s="1"/>
  <c r="DC12" i="10"/>
  <c r="DA12" i="10"/>
  <c r="BV12" i="10"/>
  <c r="BE12" i="10"/>
  <c r="BB12" i="10"/>
  <c r="AZ12" i="10"/>
  <c r="BA12" i="10" s="1"/>
  <c r="AW12" i="10"/>
  <c r="AU12" i="10" s="1"/>
  <c r="AO12" i="10" s="1"/>
  <c r="AV12" i="10"/>
  <c r="AS12" i="10"/>
  <c r="AH12" i="10"/>
  <c r="L12" i="10"/>
  <c r="M12" i="10" s="1"/>
  <c r="J12" i="10"/>
  <c r="K12" i="10" s="1"/>
  <c r="I12" i="10"/>
  <c r="EW11" i="10"/>
  <c r="EW12" i="10" s="1"/>
  <c r="EW13" i="10" s="1"/>
  <c r="EW14" i="10" s="1"/>
  <c r="EW15" i="10" s="1"/>
  <c r="EW16" i="10" s="1"/>
  <c r="EW17" i="10" s="1"/>
  <c r="EV11" i="10"/>
  <c r="Z26" i="10" s="1"/>
  <c r="EQ11" i="10"/>
  <c r="ER11" i="10" s="1"/>
  <c r="EP11" i="10"/>
  <c r="EM11" i="10"/>
  <c r="ET11" i="10" s="1"/>
  <c r="EX11" i="10" s="1"/>
  <c r="EK11" i="10"/>
  <c r="X26" i="10" s="1"/>
  <c r="DP11" i="10"/>
  <c r="DL11" i="10"/>
  <c r="DH11" i="10"/>
  <c r="DC11" i="10"/>
  <c r="DF11" i="10" s="1"/>
  <c r="DA11" i="10"/>
  <c r="CH11" i="10"/>
  <c r="CH12" i="10" s="1"/>
  <c r="CF12" i="10" s="1"/>
  <c r="CG12" i="10" s="1"/>
  <c r="BV11" i="10"/>
  <c r="BT11" i="10"/>
  <c r="BE11" i="10"/>
  <c r="BB11" i="10"/>
  <c r="AZ11" i="10"/>
  <c r="BA11" i="10" s="1"/>
  <c r="AW11" i="10"/>
  <c r="AU11" i="10"/>
  <c r="AO11" i="10" s="1"/>
  <c r="AS11" i="10"/>
  <c r="AQ11" i="10"/>
  <c r="AN11" i="10"/>
  <c r="AH11" i="10"/>
  <c r="L11" i="10"/>
  <c r="M11" i="10" s="1"/>
  <c r="K11" i="10"/>
  <c r="J11" i="10"/>
  <c r="I11" i="10"/>
  <c r="EX10" i="10"/>
  <c r="ER10" i="10"/>
  <c r="EV10" i="10" s="1"/>
  <c r="Z25" i="10" s="1"/>
  <c r="EP10" i="10"/>
  <c r="EM10" i="10"/>
  <c r="EN10" i="10" s="1"/>
  <c r="EK10" i="10"/>
  <c r="X25" i="10" s="1"/>
  <c r="DP10" i="10"/>
  <c r="DL10" i="10"/>
  <c r="DH10" i="10"/>
  <c r="DC10" i="10"/>
  <c r="DF10" i="10" s="1"/>
  <c r="AQ10" i="10" s="1"/>
  <c r="CH10" i="10"/>
  <c r="CE10" i="10"/>
  <c r="CE11" i="10" s="1"/>
  <c r="CC10" i="10"/>
  <c r="CD10" i="10" s="1"/>
  <c r="CB10" i="10"/>
  <c r="BS10" i="10" s="1"/>
  <c r="BY10" i="10"/>
  <c r="BY11" i="10" s="1"/>
  <c r="BW10" i="10"/>
  <c r="BX10" i="10" s="1"/>
  <c r="BV10" i="10"/>
  <c r="BT10" i="10"/>
  <c r="BE10" i="10"/>
  <c r="AZ10" i="10"/>
  <c r="BA10" i="10" s="1"/>
  <c r="AY10" i="10"/>
  <c r="AU10" i="10"/>
  <c r="AO10" i="10" s="1"/>
  <c r="AS10" i="10"/>
  <c r="AN10" i="10"/>
  <c r="AH10" i="10"/>
  <c r="L10" i="10"/>
  <c r="M10" i="10" s="1"/>
  <c r="K10" i="10"/>
  <c r="J10" i="10"/>
  <c r="I10" i="10"/>
  <c r="DP9" i="10"/>
  <c r="DL9" i="10"/>
  <c r="DH9" i="10"/>
  <c r="DC9" i="10"/>
  <c r="DF9" i="10" s="1"/>
  <c r="BE9" i="10"/>
  <c r="AW9" i="10"/>
  <c r="AU9" i="10"/>
  <c r="AO9" i="10" s="1"/>
  <c r="AS9" i="10"/>
  <c r="AQ9" i="10"/>
  <c r="AH9" i="10"/>
  <c r="L9" i="10"/>
  <c r="M9" i="10" s="1"/>
  <c r="K9" i="10"/>
  <c r="J9" i="10"/>
  <c r="I9" i="10"/>
  <c r="DP8" i="10"/>
  <c r="DL8" i="10"/>
  <c r="DH8" i="10"/>
  <c r="DC8" i="10"/>
  <c r="DF8" i="10" s="1"/>
  <c r="AQ8" i="10" s="1"/>
  <c r="BZ8" i="10"/>
  <c r="CA8" i="10" s="1"/>
  <c r="BE8" i="10"/>
  <c r="AW8" i="10"/>
  <c r="AU8" i="10"/>
  <c r="AO8" i="10" s="1"/>
  <c r="AS8" i="10"/>
  <c r="AH8" i="10"/>
  <c r="L8" i="10"/>
  <c r="M8" i="10" s="1"/>
  <c r="K8" i="10"/>
  <c r="J8" i="10"/>
  <c r="I8" i="10"/>
  <c r="DP7" i="10"/>
  <c r="DL7" i="10"/>
  <c r="DH7" i="10"/>
  <c r="DC7" i="10"/>
  <c r="DF7" i="10" s="1"/>
  <c r="CH7" i="10"/>
  <c r="CH8" i="10" s="1"/>
  <c r="CH9" i="10" s="1"/>
  <c r="BE7" i="10"/>
  <c r="AW7" i="10"/>
  <c r="AU7" i="10"/>
  <c r="AO7" i="10" s="1"/>
  <c r="AS7" i="10"/>
  <c r="AQ7" i="10"/>
  <c r="AH7" i="10"/>
  <c r="L7" i="10"/>
  <c r="M7" i="10" s="1"/>
  <c r="K7" i="10"/>
  <c r="J7" i="10"/>
  <c r="I7" i="10"/>
  <c r="DP6" i="10"/>
  <c r="DL6" i="10"/>
  <c r="DH6" i="10"/>
  <c r="DC6" i="10"/>
  <c r="DF6" i="10" s="1"/>
  <c r="AQ6" i="10" s="1"/>
  <c r="CH6" i="10"/>
  <c r="CE6" i="10"/>
  <c r="CE7" i="10" s="1"/>
  <c r="CD6" i="10"/>
  <c r="CC6" i="10"/>
  <c r="CB6" i="10"/>
  <c r="CB7" i="10" s="1"/>
  <c r="CB8" i="10" s="1"/>
  <c r="CB9" i="10" s="1"/>
  <c r="BZ6" i="10"/>
  <c r="CA6" i="10" s="1"/>
  <c r="BY6" i="10"/>
  <c r="BY7" i="10" s="1"/>
  <c r="BW6" i="10"/>
  <c r="BX6" i="10" s="1"/>
  <c r="BV6" i="10"/>
  <c r="BV7" i="10" s="1"/>
  <c r="BV8" i="10" s="1"/>
  <c r="BV9" i="10" s="1"/>
  <c r="BS6" i="10"/>
  <c r="BJ6" i="10"/>
  <c r="BB6" i="10"/>
  <c r="BB7" i="10" s="1"/>
  <c r="AZ6" i="10"/>
  <c r="BA6" i="10" s="1"/>
  <c r="AW6" i="10"/>
  <c r="AU6" i="10"/>
  <c r="AS6" i="10"/>
  <c r="AH6" i="10"/>
  <c r="L6" i="10"/>
  <c r="M6" i="10" s="1"/>
  <c r="K6" i="10"/>
  <c r="J6" i="10"/>
  <c r="I6" i="10"/>
  <c r="DP5" i="10"/>
  <c r="DL5" i="10"/>
  <c r="DH5" i="10"/>
  <c r="DC5" i="10"/>
  <c r="DF5" i="10" s="1"/>
  <c r="AQ5" i="10" s="1"/>
  <c r="CC5" i="10"/>
  <c r="CD5" i="10" s="1"/>
  <c r="BZ5" i="10"/>
  <c r="CA5" i="10" s="1"/>
  <c r="BW5" i="10"/>
  <c r="BX5" i="10" s="1"/>
  <c r="BS5" i="10"/>
  <c r="BJ5" i="10"/>
  <c r="AZ5" i="10"/>
  <c r="BA5" i="10" s="1"/>
  <c r="AY5" i="10"/>
  <c r="AV5" i="10"/>
  <c r="AU5" i="10"/>
  <c r="AS5" i="10"/>
  <c r="AO5" i="10"/>
  <c r="AH5" i="10"/>
  <c r="L5" i="10"/>
  <c r="M5" i="10" s="1"/>
  <c r="K5" i="10"/>
  <c r="J5" i="10"/>
  <c r="I5" i="10"/>
  <c r="CH3" i="10"/>
  <c r="CH2" i="10"/>
  <c r="BV2" i="10"/>
  <c r="BT12" i="10" s="1"/>
  <c r="BU12" i="10" s="1"/>
  <c r="CH1" i="10"/>
  <c r="CB1" i="10"/>
  <c r="BZ9" i="10" s="1"/>
  <c r="CA9" i="10" s="1"/>
  <c r="BV1" i="10"/>
  <c r="AN5" i="10" l="1"/>
  <c r="CE8" i="10"/>
  <c r="CC7" i="10"/>
  <c r="CD7" i="10" s="1"/>
  <c r="AN19" i="10"/>
  <c r="EK26" i="10"/>
  <c r="AF21" i="47"/>
  <c r="AG20" i="47"/>
  <c r="B20" i="47" s="1"/>
  <c r="AV26" i="10"/>
  <c r="AO26" i="10"/>
  <c r="EP29" i="10"/>
  <c r="ES29" i="10" s="1"/>
  <c r="EA29" i="10"/>
  <c r="L9" i="27"/>
  <c r="AA37" i="47"/>
  <c r="AA38" i="47" s="1"/>
  <c r="AA39" i="47" s="1"/>
  <c r="AA40" i="47" s="1"/>
  <c r="AA41" i="47" s="1"/>
  <c r="AA42" i="47" s="1"/>
  <c r="AA43" i="47" s="1"/>
  <c r="AA44" i="47" s="1"/>
  <c r="AA45" i="47" s="1"/>
  <c r="AA46" i="47" s="1"/>
  <c r="AB37" i="47"/>
  <c r="AB38" i="47" s="1"/>
  <c r="AB39" i="47" s="1"/>
  <c r="AB40" i="47" s="1"/>
  <c r="AB41" i="47" s="1"/>
  <c r="AB42" i="47" s="1"/>
  <c r="AB43" i="47" s="1"/>
  <c r="AB44" i="47" s="1"/>
  <c r="AB45" i="47" s="1"/>
  <c r="AB46" i="47" s="1"/>
  <c r="M9" i="27"/>
  <c r="CF13" i="10"/>
  <c r="CG13" i="10" s="1"/>
  <c r="BS7" i="10"/>
  <c r="CE12" i="10"/>
  <c r="CC11" i="10"/>
  <c r="CD11" i="10" s="1"/>
  <c r="BV13" i="10"/>
  <c r="ET13" i="10"/>
  <c r="EX13" i="10" s="1"/>
  <c r="EO28" i="10"/>
  <c r="EA28" i="10" s="1"/>
  <c r="EP30" i="10"/>
  <c r="DX30" i="10" s="1"/>
  <c r="S72" i="8"/>
  <c r="T72" i="8" s="1"/>
  <c r="T71" i="8"/>
  <c r="CB3" i="10"/>
  <c r="BZ7" i="10"/>
  <c r="CA7" i="10" s="1"/>
  <c r="BU10" i="10"/>
  <c r="EO10" i="10"/>
  <c r="EO11" i="10" s="1"/>
  <c r="EO12" i="10" s="1"/>
  <c r="EO13" i="10" s="1"/>
  <c r="EO14" i="10" s="1"/>
  <c r="EO15" i="10" s="1"/>
  <c r="EO16" i="10" s="1"/>
  <c r="EO17" i="10" s="1"/>
  <c r="AV14" i="10"/>
  <c r="AO14" i="10"/>
  <c r="AO24" i="10"/>
  <c r="AV24" i="10"/>
  <c r="AV25" i="10"/>
  <c r="EO25" i="10"/>
  <c r="EA25" i="10" s="1"/>
  <c r="ER27" i="10"/>
  <c r="U272" i="8"/>
  <c r="K47" i="47"/>
  <c r="K48" i="47" s="1"/>
  <c r="K49" i="47" s="1"/>
  <c r="K50" i="47" s="1"/>
  <c r="K51" i="47" s="1"/>
  <c r="K52" i="47" s="1"/>
  <c r="K53" i="47" s="1"/>
  <c r="K54" i="47" s="1"/>
  <c r="K55" i="47" s="1"/>
  <c r="K56" i="47" s="1"/>
  <c r="H10" i="27"/>
  <c r="EP27" i="10"/>
  <c r="DX27" i="10" s="1"/>
  <c r="EO27" i="10"/>
  <c r="EA27" i="10" s="1"/>
  <c r="AO6" i="10"/>
  <c r="AV6" i="10"/>
  <c r="BY8" i="10"/>
  <c r="BW7" i="10"/>
  <c r="BX7" i="10" s="1"/>
  <c r="EA31" i="10"/>
  <c r="EP31" i="10"/>
  <c r="AF324" i="8"/>
  <c r="ER33" i="10"/>
  <c r="J47" i="47"/>
  <c r="J48" i="47" s="1"/>
  <c r="J49" i="47" s="1"/>
  <c r="J50" i="47" s="1"/>
  <c r="J51" i="47" s="1"/>
  <c r="J52" i="47" s="1"/>
  <c r="J53" i="47" s="1"/>
  <c r="J54" i="47" s="1"/>
  <c r="J55" i="47" s="1"/>
  <c r="J56" i="47" s="1"/>
  <c r="G10" i="27"/>
  <c r="AN17" i="10"/>
  <c r="AV16" i="10"/>
  <c r="AO16" i="10"/>
  <c r="AN18" i="10"/>
  <c r="CC18" i="10"/>
  <c r="CD18" i="10" s="1"/>
  <c r="AV23" i="10"/>
  <c r="AO23" i="10"/>
  <c r="CF9" i="10"/>
  <c r="CG9" i="10" s="1"/>
  <c r="CB2" i="10"/>
  <c r="CB11" i="10"/>
  <c r="AV18" i="10"/>
  <c r="AO18" i="10"/>
  <c r="X37" i="47"/>
  <c r="X38" i="47" s="1"/>
  <c r="X39" i="47" s="1"/>
  <c r="X40" i="47" s="1"/>
  <c r="X41" i="47" s="1"/>
  <c r="X42" i="47" s="1"/>
  <c r="X43" i="47" s="1"/>
  <c r="X44" i="47" s="1"/>
  <c r="X45" i="47" s="1"/>
  <c r="X46" i="47" s="1"/>
  <c r="I9" i="27"/>
  <c r="Y37" i="47"/>
  <c r="Y38" i="47" s="1"/>
  <c r="Y39" i="47" s="1"/>
  <c r="Y40" i="47" s="1"/>
  <c r="Y41" i="47" s="1"/>
  <c r="Y42" i="47" s="1"/>
  <c r="Y43" i="47" s="1"/>
  <c r="Y44" i="47" s="1"/>
  <c r="Y45" i="47" s="1"/>
  <c r="Y46" i="47" s="1"/>
  <c r="J9" i="27"/>
  <c r="EN11" i="10"/>
  <c r="EN18" i="10" s="1"/>
  <c r="CF18" i="10"/>
  <c r="CG18" i="10" s="1"/>
  <c r="CF19" i="10"/>
  <c r="CG19" i="10" s="1"/>
  <c r="CF17" i="10"/>
  <c r="CG17" i="10" s="1"/>
  <c r="CF16" i="10"/>
  <c r="CG16" i="10" s="1"/>
  <c r="CF15" i="10"/>
  <c r="CG15" i="10" s="1"/>
  <c r="AZ13" i="10"/>
  <c r="BB14" i="10"/>
  <c r="AZ14" i="10" s="1"/>
  <c r="BS15" i="10"/>
  <c r="CC17" i="10"/>
  <c r="CD17" i="10" s="1"/>
  <c r="BT5" i="10"/>
  <c r="BT9" i="10"/>
  <c r="BT8" i="10"/>
  <c r="BT7" i="10"/>
  <c r="BT6" i="10"/>
  <c r="BW11" i="10"/>
  <c r="BX11" i="10" s="1"/>
  <c r="BY12" i="10"/>
  <c r="EX18" i="10"/>
  <c r="ER12" i="10"/>
  <c r="EQ13" i="10"/>
  <c r="BB8" i="10"/>
  <c r="AZ7" i="10"/>
  <c r="BY17" i="10"/>
  <c r="BW16" i="10"/>
  <c r="BX16" i="10" s="1"/>
  <c r="AV17" i="10"/>
  <c r="AO17" i="10"/>
  <c r="AO22" i="10"/>
  <c r="AV22" i="10"/>
  <c r="AV28" i="10"/>
  <c r="AO29" i="10"/>
  <c r="AV29" i="10"/>
  <c r="AN12" i="10"/>
  <c r="AN15" i="10"/>
  <c r="BV16" i="10"/>
  <c r="EO32" i="10"/>
  <c r="EA32" i="10" s="1"/>
  <c r="BB7" i="27"/>
  <c r="BA6" i="27"/>
  <c r="AV7" i="10"/>
  <c r="AV8" i="10"/>
  <c r="AV9" i="10"/>
  <c r="AV10" i="10"/>
  <c r="ES10" i="10"/>
  <c r="ES11" i="10" s="1"/>
  <c r="AV11" i="10"/>
  <c r="BU11" i="10"/>
  <c r="BT13" i="10"/>
  <c r="BA19" i="10"/>
  <c r="AV20" i="10"/>
  <c r="ER43" i="10"/>
  <c r="C16" i="47"/>
  <c r="Z37" i="47"/>
  <c r="Z38" i="47" s="1"/>
  <c r="Z39" i="47" s="1"/>
  <c r="Z40" i="47" s="1"/>
  <c r="Z41" i="47" s="1"/>
  <c r="Z42" i="47" s="1"/>
  <c r="Z43" i="47" s="1"/>
  <c r="Z44" i="47" s="1"/>
  <c r="Z45" i="47" s="1"/>
  <c r="Z46" i="47" s="1"/>
  <c r="K9" i="27"/>
  <c r="AF323" i="8"/>
  <c r="AN6" i="10"/>
  <c r="CF10" i="10"/>
  <c r="CG10" i="10" s="1"/>
  <c r="G323" i="8"/>
  <c r="B324" i="8" s="1"/>
  <c r="O328" i="8"/>
  <c r="N328" i="8"/>
  <c r="K328" i="8"/>
  <c r="AG27" i="47"/>
  <c r="B27" i="47" s="1"/>
  <c r="AF29" i="47"/>
  <c r="CF5" i="10"/>
  <c r="CG5" i="10" s="1"/>
  <c r="CF6" i="10"/>
  <c r="CG6" i="10" s="1"/>
  <c r="CF7" i="10"/>
  <c r="CG7" i="10" s="1"/>
  <c r="CF8" i="10"/>
  <c r="CG8" i="10" s="1"/>
  <c r="CF11" i="10"/>
  <c r="CG11" i="10" s="1"/>
  <c r="L328" i="8"/>
  <c r="CQ15" i="27"/>
  <c r="AF7" i="47"/>
  <c r="AG17" i="47"/>
  <c r="B17" i="47" s="1"/>
  <c r="BV3" i="10"/>
  <c r="T268" i="8"/>
  <c r="V272" i="8" s="1"/>
  <c r="X272" i="8" s="1"/>
  <c r="I323" i="8"/>
  <c r="M328" i="8"/>
  <c r="J354" i="8"/>
  <c r="I324" i="8"/>
  <c r="C37" i="47"/>
  <c r="C26" i="47"/>
  <c r="AF37" i="47"/>
  <c r="AF57" i="47"/>
  <c r="AE48" i="47"/>
  <c r="AF47" i="47" s="1"/>
  <c r="AG77" i="47"/>
  <c r="B77" i="47" s="1"/>
  <c r="AF78" i="47"/>
  <c r="AF67" i="47"/>
  <c r="AE88" i="47"/>
  <c r="AF87" i="47" s="1"/>
  <c r="F8" i="45"/>
  <c r="AG87" i="47" l="1"/>
  <c r="B87" i="47" s="1"/>
  <c r="AF88" i="47"/>
  <c r="AG47" i="47"/>
  <c r="B47" i="47" s="1"/>
  <c r="AF48" i="47"/>
  <c r="AG67" i="47"/>
  <c r="B67" i="47" s="1"/>
  <c r="AF68" i="47"/>
  <c r="AG7" i="47"/>
  <c r="B7" i="47" s="1"/>
  <c r="AF8" i="47"/>
  <c r="AF9" i="47" s="1"/>
  <c r="AF10" i="47" s="1"/>
  <c r="AF11" i="47" s="1"/>
  <c r="AF12" i="47" s="1"/>
  <c r="AF30" i="47"/>
  <c r="AG29" i="47"/>
  <c r="B29" i="47" s="1"/>
  <c r="AP7" i="10"/>
  <c r="BU7" i="10"/>
  <c r="J57" i="47"/>
  <c r="J58" i="47" s="1"/>
  <c r="J59" i="47" s="1"/>
  <c r="J60" i="47" s="1"/>
  <c r="J61" i="47" s="1"/>
  <c r="J62" i="47" s="1"/>
  <c r="J63" i="47" s="1"/>
  <c r="J64" i="47" s="1"/>
  <c r="J65" i="47" s="1"/>
  <c r="J66" i="47" s="1"/>
  <c r="G11" i="27"/>
  <c r="EQ31" i="10"/>
  <c r="DX31" i="10"/>
  <c r="EG27" i="10"/>
  <c r="EI27" i="10" s="1"/>
  <c r="EE27" i="10"/>
  <c r="EC27" i="10" s="1"/>
  <c r="EH27" i="10" s="1"/>
  <c r="EN43" i="10"/>
  <c r="EO26" i="10"/>
  <c r="EA26" i="10" s="1"/>
  <c r="BA7" i="10"/>
  <c r="AN7" i="10"/>
  <c r="AF79" i="47"/>
  <c r="AG78" i="47"/>
  <c r="B78" i="47" s="1"/>
  <c r="BU13" i="10"/>
  <c r="BB9" i="10"/>
  <c r="AZ8" i="10"/>
  <c r="AP8" i="10"/>
  <c r="BU8" i="10"/>
  <c r="X47" i="47"/>
  <c r="X48" i="47" s="1"/>
  <c r="X49" i="47" s="1"/>
  <c r="X50" i="47" s="1"/>
  <c r="X51" i="47" s="1"/>
  <c r="X52" i="47" s="1"/>
  <c r="X53" i="47" s="1"/>
  <c r="X54" i="47" s="1"/>
  <c r="X55" i="47" s="1"/>
  <c r="X56" i="47" s="1"/>
  <c r="I10" i="27"/>
  <c r="EQ27" i="10"/>
  <c r="EP25" i="10"/>
  <c r="C47" i="47"/>
  <c r="C36" i="47"/>
  <c r="Z47" i="47"/>
  <c r="Z48" i="47" s="1"/>
  <c r="Z49" i="47" s="1"/>
  <c r="Z50" i="47" s="1"/>
  <c r="Z51" i="47" s="1"/>
  <c r="Z52" i="47" s="1"/>
  <c r="Z53" i="47" s="1"/>
  <c r="Z54" i="47" s="1"/>
  <c r="Z55" i="47" s="1"/>
  <c r="Z56" i="47" s="1"/>
  <c r="K10" i="27"/>
  <c r="BB8" i="27"/>
  <c r="BA7" i="27"/>
  <c r="ER13" i="10"/>
  <c r="EQ14" i="10"/>
  <c r="BU9" i="10"/>
  <c r="EK33" i="10"/>
  <c r="EQ30" i="10"/>
  <c r="CE13" i="10"/>
  <c r="CC12" i="10"/>
  <c r="CD12" i="10" s="1"/>
  <c r="K57" i="47"/>
  <c r="K58" i="47" s="1"/>
  <c r="K59" i="47" s="1"/>
  <c r="K60" i="47" s="1"/>
  <c r="K61" i="47" s="1"/>
  <c r="K62" i="47" s="1"/>
  <c r="K63" i="47" s="1"/>
  <c r="K64" i="47" s="1"/>
  <c r="K65" i="47" s="1"/>
  <c r="K66" i="47" s="1"/>
  <c r="H11" i="27"/>
  <c r="DX29" i="10"/>
  <c r="EQ29" i="10"/>
  <c r="V271" i="8"/>
  <c r="X271" i="8" s="1"/>
  <c r="BS16" i="10"/>
  <c r="BV17" i="10"/>
  <c r="CB12" i="10"/>
  <c r="BS11" i="10"/>
  <c r="ES31" i="10"/>
  <c r="BY9" i="10"/>
  <c r="BW8" i="10"/>
  <c r="BX8" i="10" s="1"/>
  <c r="BS8" i="10"/>
  <c r="CE9" i="10"/>
  <c r="CC9" i="10" s="1"/>
  <c r="CD9" i="10" s="1"/>
  <c r="CC8" i="10"/>
  <c r="CD8" i="10" s="1"/>
  <c r="BU5" i="10"/>
  <c r="AP5" i="10"/>
  <c r="AF58" i="47"/>
  <c r="AG57" i="47"/>
  <c r="B57" i="47" s="1"/>
  <c r="BW12" i="10"/>
  <c r="BY13" i="10"/>
  <c r="BZ10" i="10"/>
  <c r="BZ12" i="10"/>
  <c r="CA12" i="10" s="1"/>
  <c r="BZ11" i="10"/>
  <c r="CA11" i="10" s="1"/>
  <c r="ES30" i="10"/>
  <c r="EP28" i="10"/>
  <c r="EE30" i="10"/>
  <c r="EC30" i="10" s="1"/>
  <c r="EN46" i="10"/>
  <c r="EG30" i="10"/>
  <c r="EI30" i="10" s="1"/>
  <c r="EF30" i="10"/>
  <c r="AG37" i="47"/>
  <c r="B37" i="47" s="1"/>
  <c r="AF38" i="47"/>
  <c r="BT16" i="10"/>
  <c r="BT17" i="10"/>
  <c r="BT15" i="10"/>
  <c r="EP32" i="10"/>
  <c r="BA14" i="10"/>
  <c r="AN14" i="10"/>
  <c r="AB47" i="47"/>
  <c r="AB48" i="47" s="1"/>
  <c r="AB49" i="47" s="1"/>
  <c r="AB50" i="47" s="1"/>
  <c r="AB51" i="47" s="1"/>
  <c r="AB52" i="47" s="1"/>
  <c r="AB53" i="47" s="1"/>
  <c r="AB54" i="47" s="1"/>
  <c r="AB55" i="47" s="1"/>
  <c r="AB56" i="47" s="1"/>
  <c r="M10" i="27"/>
  <c r="EV12" i="10"/>
  <c r="Z27" i="10" s="1"/>
  <c r="ES12" i="10"/>
  <c r="BY18" i="10"/>
  <c r="BW17" i="10"/>
  <c r="BX17" i="10" s="1"/>
  <c r="AP6" i="10"/>
  <c r="BU6" i="10"/>
  <c r="AN13" i="10"/>
  <c r="BA13" i="10"/>
  <c r="Y47" i="47"/>
  <c r="Y48" i="47" s="1"/>
  <c r="Y49" i="47" s="1"/>
  <c r="Y50" i="47" s="1"/>
  <c r="Y51" i="47" s="1"/>
  <c r="Y52" i="47" s="1"/>
  <c r="Y53" i="47" s="1"/>
  <c r="Y54" i="47" s="1"/>
  <c r="Y55" i="47" s="1"/>
  <c r="Y56" i="47" s="1"/>
  <c r="J10" i="27"/>
  <c r="EL43" i="10"/>
  <c r="EM43" i="10" s="1"/>
  <c r="ES27" i="10"/>
  <c r="BZ19" i="10"/>
  <c r="CA19" i="10" s="1"/>
  <c r="BZ18" i="10"/>
  <c r="CA18" i="10" s="1"/>
  <c r="BZ17" i="10"/>
  <c r="CA17" i="10" s="1"/>
  <c r="BZ16" i="10"/>
  <c r="CA16" i="10" s="1"/>
  <c r="BZ15" i="10"/>
  <c r="CA15" i="10" s="1"/>
  <c r="BV14" i="10"/>
  <c r="AA47" i="47"/>
  <c r="AA48" i="47" s="1"/>
  <c r="AA49" i="47" s="1"/>
  <c r="AA50" i="47" s="1"/>
  <c r="AA51" i="47" s="1"/>
  <c r="AA52" i="47" s="1"/>
  <c r="AA53" i="47" s="1"/>
  <c r="AA54" i="47" s="1"/>
  <c r="AA55" i="47" s="1"/>
  <c r="AA56" i="47" s="1"/>
  <c r="L10" i="27"/>
  <c r="AF22" i="47"/>
  <c r="AG21" i="47"/>
  <c r="B21" i="47" s="1"/>
  <c r="AG38" i="47" l="1"/>
  <c r="B38" i="47" s="1"/>
  <c r="AF39" i="47"/>
  <c r="BW9" i="10"/>
  <c r="BS9" i="10"/>
  <c r="EP36" i="10"/>
  <c r="DX32" i="10"/>
  <c r="ES32" i="10"/>
  <c r="EQ32" i="10"/>
  <c r="K67" i="47"/>
  <c r="K68" i="47" s="1"/>
  <c r="K69" i="47" s="1"/>
  <c r="K70" i="47" s="1"/>
  <c r="K71" i="47" s="1"/>
  <c r="K72" i="47" s="1"/>
  <c r="K73" i="47" s="1"/>
  <c r="K74" i="47" s="1"/>
  <c r="K75" i="47" s="1"/>
  <c r="K76" i="47" s="1"/>
  <c r="H12" i="27"/>
  <c r="ER14" i="10"/>
  <c r="EQ15" i="10"/>
  <c r="DX25" i="10"/>
  <c r="ES25" i="10"/>
  <c r="EQ25" i="10"/>
  <c r="BI6" i="10"/>
  <c r="AZ9" i="10"/>
  <c r="BI5" i="10"/>
  <c r="EP26" i="10"/>
  <c r="AF69" i="47"/>
  <c r="AG68" i="47"/>
  <c r="B68" i="47" s="1"/>
  <c r="EG29" i="10"/>
  <c r="EI29" i="10" s="1"/>
  <c r="EN45" i="10"/>
  <c r="EF29" i="10"/>
  <c r="EE29" i="10"/>
  <c r="EC29" i="10" s="1"/>
  <c r="EN47" i="10"/>
  <c r="EG31" i="10"/>
  <c r="EI31" i="10" s="1"/>
  <c r="EF31" i="10"/>
  <c r="EE31" i="10"/>
  <c r="EC31" i="10" s="1"/>
  <c r="C57" i="47"/>
  <c r="C46" i="47"/>
  <c r="AP15" i="10"/>
  <c r="BU15" i="10"/>
  <c r="CB13" i="10"/>
  <c r="BS12" i="10"/>
  <c r="ES13" i="10"/>
  <c r="EV13" i="10"/>
  <c r="Z28" i="10" s="1"/>
  <c r="J67" i="47"/>
  <c r="J68" i="47" s="1"/>
  <c r="J69" i="47" s="1"/>
  <c r="J70" i="47" s="1"/>
  <c r="J71" i="47" s="1"/>
  <c r="J72" i="47" s="1"/>
  <c r="J73" i="47" s="1"/>
  <c r="J74" i="47" s="1"/>
  <c r="J75" i="47" s="1"/>
  <c r="J76" i="47" s="1"/>
  <c r="G12" i="27"/>
  <c r="BY19" i="10"/>
  <c r="BW19" i="10" s="1"/>
  <c r="BX19" i="10" s="1"/>
  <c r="BW18" i="10"/>
  <c r="BX18" i="10" s="1"/>
  <c r="AP17" i="10"/>
  <c r="BU17" i="10"/>
  <c r="CA10" i="10"/>
  <c r="AP10" i="10"/>
  <c r="BS17" i="10"/>
  <c r="BV18" i="10"/>
  <c r="AG48" i="47"/>
  <c r="B48" i="47" s="1"/>
  <c r="AF49" i="47"/>
  <c r="AA57" i="47"/>
  <c r="AA58" i="47" s="1"/>
  <c r="AA59" i="47" s="1"/>
  <c r="AA60" i="47" s="1"/>
  <c r="AA61" i="47" s="1"/>
  <c r="AA62" i="47" s="1"/>
  <c r="AA63" i="47" s="1"/>
  <c r="AA64" i="47" s="1"/>
  <c r="AA65" i="47" s="1"/>
  <c r="AA66" i="47" s="1"/>
  <c r="L11" i="27"/>
  <c r="AF59" i="47"/>
  <c r="AG58" i="47"/>
  <c r="B58" i="47" s="1"/>
  <c r="BA8" i="10"/>
  <c r="AN8" i="10"/>
  <c r="Y57" i="47"/>
  <c r="Y58" i="47" s="1"/>
  <c r="Y59" i="47" s="1"/>
  <c r="Y60" i="47" s="1"/>
  <c r="Y61" i="47" s="1"/>
  <c r="Y62" i="47" s="1"/>
  <c r="Y63" i="47" s="1"/>
  <c r="Y64" i="47" s="1"/>
  <c r="Y65" i="47" s="1"/>
  <c r="Y66" i="47" s="1"/>
  <c r="J11" i="27"/>
  <c r="EH30" i="10"/>
  <c r="EL46" i="10"/>
  <c r="BW13" i="10"/>
  <c r="BY14" i="10"/>
  <c r="BW14" i="10" s="1"/>
  <c r="BX14" i="10" s="1"/>
  <c r="CC13" i="10"/>
  <c r="CD13" i="10" s="1"/>
  <c r="CE14" i="10"/>
  <c r="CC14" i="10" s="1"/>
  <c r="CD14" i="10" s="1"/>
  <c r="BA8" i="27"/>
  <c r="BB9" i="27"/>
  <c r="AF23" i="47"/>
  <c r="AG22" i="47"/>
  <c r="B22" i="47" s="1"/>
  <c r="AB57" i="47"/>
  <c r="AB58" i="47" s="1"/>
  <c r="AB59" i="47" s="1"/>
  <c r="AB60" i="47" s="1"/>
  <c r="AB61" i="47" s="1"/>
  <c r="AB62" i="47" s="1"/>
  <c r="AB63" i="47" s="1"/>
  <c r="AB64" i="47" s="1"/>
  <c r="AB65" i="47" s="1"/>
  <c r="AB66" i="47" s="1"/>
  <c r="M11" i="27"/>
  <c r="DX28" i="10"/>
  <c r="EQ28" i="10"/>
  <c r="ES28" i="10"/>
  <c r="BX12" i="10"/>
  <c r="AP12" i="10"/>
  <c r="X57" i="47"/>
  <c r="X58" i="47" s="1"/>
  <c r="X59" i="47" s="1"/>
  <c r="X60" i="47" s="1"/>
  <c r="X61" i="47" s="1"/>
  <c r="X62" i="47" s="1"/>
  <c r="X63" i="47" s="1"/>
  <c r="X64" i="47" s="1"/>
  <c r="X65" i="47" s="1"/>
  <c r="X66" i="47" s="1"/>
  <c r="I11" i="27"/>
  <c r="AF80" i="47"/>
  <c r="AG79" i="47"/>
  <c r="B79" i="47" s="1"/>
  <c r="EF27" i="10"/>
  <c r="AF89" i="47"/>
  <c r="AG88" i="47"/>
  <c r="B88" i="47" s="1"/>
  <c r="AF13" i="47"/>
  <c r="AF14" i="47" s="1"/>
  <c r="AF15" i="47" s="1"/>
  <c r="AG12" i="47"/>
  <c r="B12" i="47" s="1"/>
  <c r="BT14" i="10"/>
  <c r="AP11" i="10"/>
  <c r="AP16" i="10"/>
  <c r="BU16" i="10"/>
  <c r="Z57" i="47"/>
  <c r="Z58" i="47" s="1"/>
  <c r="Z59" i="47" s="1"/>
  <c r="Z60" i="47" s="1"/>
  <c r="Z61" i="47" s="1"/>
  <c r="Z62" i="47" s="1"/>
  <c r="Z63" i="47" s="1"/>
  <c r="Z64" i="47" s="1"/>
  <c r="Z65" i="47" s="1"/>
  <c r="Z66" i="47" s="1"/>
  <c r="K11" i="27"/>
  <c r="AF31" i="47"/>
  <c r="AG30" i="47"/>
  <c r="B30" i="47" s="1"/>
  <c r="J77" i="47" l="1"/>
  <c r="J78" i="47" s="1"/>
  <c r="J79" i="47" s="1"/>
  <c r="J80" i="47" s="1"/>
  <c r="J81" i="47" s="1"/>
  <c r="J82" i="47" s="1"/>
  <c r="J83" i="47" s="1"/>
  <c r="J84" i="47" s="1"/>
  <c r="J85" i="47" s="1"/>
  <c r="J86" i="47" s="1"/>
  <c r="G13" i="27"/>
  <c r="C56" i="47"/>
  <c r="C67" i="47"/>
  <c r="EN48" i="10"/>
  <c r="EE32" i="10"/>
  <c r="EC32" i="10" s="1"/>
  <c r="EG32" i="10"/>
  <c r="EI32" i="10" s="1"/>
  <c r="EF32" i="10"/>
  <c r="BS18" i="10"/>
  <c r="BV19" i="10"/>
  <c r="BT18" i="10"/>
  <c r="AP14" i="10"/>
  <c r="BU14" i="10"/>
  <c r="AF81" i="47"/>
  <c r="AG80" i="47"/>
  <c r="B80" i="47" s="1"/>
  <c r="BS14" i="10"/>
  <c r="AB67" i="47"/>
  <c r="AB68" i="47" s="1"/>
  <c r="AB69" i="47" s="1"/>
  <c r="AB70" i="47" s="1"/>
  <c r="AB71" i="47" s="1"/>
  <c r="AB72" i="47" s="1"/>
  <c r="AB73" i="47" s="1"/>
  <c r="AB74" i="47" s="1"/>
  <c r="AB75" i="47" s="1"/>
  <c r="AB76" i="47" s="1"/>
  <c r="M12" i="27"/>
  <c r="BX13" i="10"/>
  <c r="AP13" i="10"/>
  <c r="AG59" i="47"/>
  <c r="B59" i="47" s="1"/>
  <c r="AF60" i="47"/>
  <c r="EH31" i="10"/>
  <c r="EL47" i="10"/>
  <c r="EG25" i="10"/>
  <c r="EF25" i="10"/>
  <c r="EN41" i="10"/>
  <c r="EQ42" i="10"/>
  <c r="ES42" i="10" s="1"/>
  <c r="EE25" i="10"/>
  <c r="EG28" i="10"/>
  <c r="EI28" i="10" s="1"/>
  <c r="EF28" i="10"/>
  <c r="EE28" i="10"/>
  <c r="EC28" i="10" s="1"/>
  <c r="EN44" i="10"/>
  <c r="X67" i="47"/>
  <c r="X68" i="47" s="1"/>
  <c r="X69" i="47" s="1"/>
  <c r="X70" i="47" s="1"/>
  <c r="X71" i="47" s="1"/>
  <c r="X72" i="47" s="1"/>
  <c r="X73" i="47" s="1"/>
  <c r="X74" i="47" s="1"/>
  <c r="X75" i="47" s="1"/>
  <c r="X76" i="47" s="1"/>
  <c r="I12" i="27"/>
  <c r="AG69" i="47"/>
  <c r="B69" i="47" s="1"/>
  <c r="AF70" i="47"/>
  <c r="ER15" i="10"/>
  <c r="EQ16" i="10"/>
  <c r="DX26" i="10"/>
  <c r="ES26" i="10"/>
  <c r="EQ26" i="10"/>
  <c r="EV14" i="10"/>
  <c r="Z29" i="10" s="1"/>
  <c r="ES14" i="10"/>
  <c r="BX9" i="10"/>
  <c r="AP9" i="10"/>
  <c r="AF24" i="47"/>
  <c r="AG23" i="47"/>
  <c r="B23" i="47" s="1"/>
  <c r="AA67" i="47"/>
  <c r="AA68" i="47" s="1"/>
  <c r="AA69" i="47" s="1"/>
  <c r="AA70" i="47" s="1"/>
  <c r="AA71" i="47" s="1"/>
  <c r="AA72" i="47" s="1"/>
  <c r="AA73" i="47" s="1"/>
  <c r="AA74" i="47" s="1"/>
  <c r="AA75" i="47" s="1"/>
  <c r="AA76" i="47" s="1"/>
  <c r="L12" i="27"/>
  <c r="Z67" i="47"/>
  <c r="Z68" i="47" s="1"/>
  <c r="Z69" i="47" s="1"/>
  <c r="Z70" i="47" s="1"/>
  <c r="Z71" i="47" s="1"/>
  <c r="Z72" i="47" s="1"/>
  <c r="Z73" i="47" s="1"/>
  <c r="Z74" i="47" s="1"/>
  <c r="Z75" i="47" s="1"/>
  <c r="Z76" i="47" s="1"/>
  <c r="K12" i="27"/>
  <c r="BA9" i="27"/>
  <c r="BB10" i="27"/>
  <c r="AF50" i="47"/>
  <c r="AG49" i="47"/>
  <c r="B49" i="47" s="1"/>
  <c r="CB14" i="10"/>
  <c r="BZ14" i="10" s="1"/>
  <c r="CA14" i="10" s="1"/>
  <c r="BZ13" i="10"/>
  <c r="CA13" i="10" s="1"/>
  <c r="BS13" i="10"/>
  <c r="AF40" i="47"/>
  <c r="AG39" i="47"/>
  <c r="B39" i="47" s="1"/>
  <c r="AG31" i="47"/>
  <c r="B31" i="47" s="1"/>
  <c r="AF32" i="47"/>
  <c r="AG89" i="47"/>
  <c r="B89" i="47" s="1"/>
  <c r="AF90" i="47"/>
  <c r="Y67" i="47"/>
  <c r="Y68" i="47" s="1"/>
  <c r="Y69" i="47" s="1"/>
  <c r="Y70" i="47" s="1"/>
  <c r="Y71" i="47" s="1"/>
  <c r="Y72" i="47" s="1"/>
  <c r="Y73" i="47" s="1"/>
  <c r="Y74" i="47" s="1"/>
  <c r="Y75" i="47" s="1"/>
  <c r="Y76" i="47" s="1"/>
  <c r="J12" i="27"/>
  <c r="EH29" i="10"/>
  <c r="EL45" i="10"/>
  <c r="BA9" i="10"/>
  <c r="AN9" i="10"/>
  <c r="K77" i="47"/>
  <c r="K78" i="47" s="1"/>
  <c r="K79" i="47" s="1"/>
  <c r="K80" i="47" s="1"/>
  <c r="K81" i="47" s="1"/>
  <c r="K82" i="47" s="1"/>
  <c r="K83" i="47" s="1"/>
  <c r="K84" i="47" s="1"/>
  <c r="K85" i="47" s="1"/>
  <c r="K86" i="47" s="1"/>
  <c r="H13" i="27"/>
  <c r="AG50" i="47" l="1"/>
  <c r="B50" i="47" s="1"/>
  <c r="AF51" i="47"/>
  <c r="EV15" i="10"/>
  <c r="Z30" i="10" s="1"/>
  <c r="ES15" i="10"/>
  <c r="AG70" i="47"/>
  <c r="B70" i="47" s="1"/>
  <c r="AF71" i="47"/>
  <c r="EQ41" i="10"/>
  <c r="AF61" i="47"/>
  <c r="AG60" i="47"/>
  <c r="B60" i="47" s="1"/>
  <c r="AF82" i="47"/>
  <c r="AG81" i="47"/>
  <c r="B81" i="47" s="1"/>
  <c r="EH32" i="10"/>
  <c r="EL48" i="10"/>
  <c r="AF25" i="47"/>
  <c r="AG25" i="47" s="1"/>
  <c r="B25" i="47" s="1"/>
  <c r="AG24" i="47"/>
  <c r="B24" i="47" s="1"/>
  <c r="BB11" i="27"/>
  <c r="BA10" i="27"/>
  <c r="AG40" i="47"/>
  <c r="B40" i="47" s="1"/>
  <c r="AF41" i="47"/>
  <c r="AF33" i="47"/>
  <c r="AG32" i="47"/>
  <c r="B32" i="47" s="1"/>
  <c r="Z77" i="47"/>
  <c r="Z78" i="47" s="1"/>
  <c r="Z79" i="47" s="1"/>
  <c r="Z80" i="47" s="1"/>
  <c r="Z81" i="47" s="1"/>
  <c r="Z82" i="47" s="1"/>
  <c r="Z83" i="47" s="1"/>
  <c r="Z84" i="47" s="1"/>
  <c r="Z85" i="47" s="1"/>
  <c r="Z86" i="47" s="1"/>
  <c r="K13" i="27"/>
  <c r="AP18" i="10"/>
  <c r="BU18" i="10"/>
  <c r="ER16" i="10"/>
  <c r="EQ17" i="10"/>
  <c r="ER17" i="10" s="1"/>
  <c r="Y77" i="47"/>
  <c r="Y78" i="47" s="1"/>
  <c r="Y79" i="47" s="1"/>
  <c r="Y80" i="47" s="1"/>
  <c r="Y81" i="47" s="1"/>
  <c r="Y82" i="47" s="1"/>
  <c r="Y83" i="47" s="1"/>
  <c r="Y84" i="47" s="1"/>
  <c r="Y85" i="47" s="1"/>
  <c r="Y86" i="47" s="1"/>
  <c r="J13" i="27"/>
  <c r="EQ43" i="10"/>
  <c r="ES43" i="10" s="1"/>
  <c r="C77" i="47"/>
  <c r="C66" i="47"/>
  <c r="AF91" i="47"/>
  <c r="AG90" i="47"/>
  <c r="B90" i="47" s="1"/>
  <c r="AA77" i="47"/>
  <c r="AA78" i="47" s="1"/>
  <c r="AA79" i="47" s="1"/>
  <c r="AA80" i="47" s="1"/>
  <c r="AA81" i="47" s="1"/>
  <c r="AA82" i="47" s="1"/>
  <c r="AA83" i="47" s="1"/>
  <c r="AA84" i="47" s="1"/>
  <c r="AA85" i="47" s="1"/>
  <c r="AA86" i="47" s="1"/>
  <c r="L13" i="27"/>
  <c r="EI25" i="10"/>
  <c r="BS19" i="10"/>
  <c r="BT19" i="10"/>
  <c r="X77" i="47"/>
  <c r="X78" i="47" s="1"/>
  <c r="X79" i="47" s="1"/>
  <c r="X80" i="47" s="1"/>
  <c r="X81" i="47" s="1"/>
  <c r="X82" i="47" s="1"/>
  <c r="X83" i="47" s="1"/>
  <c r="X84" i="47" s="1"/>
  <c r="X85" i="47" s="1"/>
  <c r="X86" i="47" s="1"/>
  <c r="I13" i="27"/>
  <c r="K87" i="47"/>
  <c r="K88" i="47" s="1"/>
  <c r="K89" i="47" s="1"/>
  <c r="K90" i="47" s="1"/>
  <c r="K91" i="47" s="1"/>
  <c r="K92" i="47" s="1"/>
  <c r="K93" i="47" s="1"/>
  <c r="K94" i="47" s="1"/>
  <c r="K95" i="47" s="1"/>
  <c r="K96" i="47" s="1"/>
  <c r="H14" i="27"/>
  <c r="EG26" i="10"/>
  <c r="EI26" i="10" s="1"/>
  <c r="EE26" i="10"/>
  <c r="EC26" i="10" s="1"/>
  <c r="EN42" i="10"/>
  <c r="EH28" i="10"/>
  <c r="EL44" i="10"/>
  <c r="EM44" i="10" s="1"/>
  <c r="EM45" i="10" s="1"/>
  <c r="EM46" i="10" s="1"/>
  <c r="EM47" i="10" s="1"/>
  <c r="DX33" i="10"/>
  <c r="AB77" i="47"/>
  <c r="AB78" i="47" s="1"/>
  <c r="AB79" i="47" s="1"/>
  <c r="AB80" i="47" s="1"/>
  <c r="AB81" i="47" s="1"/>
  <c r="AB82" i="47" s="1"/>
  <c r="AB83" i="47" s="1"/>
  <c r="AB84" i="47" s="1"/>
  <c r="AB85" i="47" s="1"/>
  <c r="AB86" i="47" s="1"/>
  <c r="M13" i="27"/>
  <c r="J87" i="47"/>
  <c r="J88" i="47" s="1"/>
  <c r="J89" i="47" s="1"/>
  <c r="J90" i="47" s="1"/>
  <c r="J91" i="47" s="1"/>
  <c r="J92" i="47" s="1"/>
  <c r="J93" i="47" s="1"/>
  <c r="J94" i="47" s="1"/>
  <c r="J95" i="47" s="1"/>
  <c r="J96" i="47" s="1"/>
  <c r="G14" i="27"/>
  <c r="EG33" i="10" l="1"/>
  <c r="AG71" i="47"/>
  <c r="B71" i="47" s="1"/>
  <c r="AF72" i="47"/>
  <c r="K97" i="47"/>
  <c r="K98" i="47" s="1"/>
  <c r="K99" i="47" s="1"/>
  <c r="K100" i="47" s="1"/>
  <c r="K101" i="47" s="1"/>
  <c r="K102" i="47" s="1"/>
  <c r="K103" i="47" s="1"/>
  <c r="K104" i="47" s="1"/>
  <c r="K105" i="47" s="1"/>
  <c r="H15" i="27"/>
  <c r="AA87" i="47"/>
  <c r="AA88" i="47" s="1"/>
  <c r="AA89" i="47" s="1"/>
  <c r="AA90" i="47" s="1"/>
  <c r="AA91" i="47" s="1"/>
  <c r="AA92" i="47" s="1"/>
  <c r="AA93" i="47" s="1"/>
  <c r="AA94" i="47" s="1"/>
  <c r="AA95" i="47" s="1"/>
  <c r="AA96" i="47" s="1"/>
  <c r="L14" i="27"/>
  <c r="Y87" i="47"/>
  <c r="Y88" i="47" s="1"/>
  <c r="Y89" i="47" s="1"/>
  <c r="Y90" i="47" s="1"/>
  <c r="Y91" i="47" s="1"/>
  <c r="Y92" i="47" s="1"/>
  <c r="Y93" i="47" s="1"/>
  <c r="Y94" i="47" s="1"/>
  <c r="Y95" i="47" s="1"/>
  <c r="Y96" i="47" s="1"/>
  <c r="J14" i="27"/>
  <c r="AF34" i="47"/>
  <c r="AG33" i="47"/>
  <c r="B33" i="47" s="1"/>
  <c r="EM48" i="10"/>
  <c r="EV17" i="10"/>
  <c r="Z32" i="10" s="1"/>
  <c r="AF42" i="47"/>
  <c r="AG41" i="47"/>
  <c r="B41" i="47" s="1"/>
  <c r="Z87" i="47"/>
  <c r="Z88" i="47" s="1"/>
  <c r="Z89" i="47" s="1"/>
  <c r="Z90" i="47" s="1"/>
  <c r="Z91" i="47" s="1"/>
  <c r="Z92" i="47" s="1"/>
  <c r="Z93" i="47" s="1"/>
  <c r="Z94" i="47" s="1"/>
  <c r="Z95" i="47" s="1"/>
  <c r="Z96" i="47" s="1"/>
  <c r="K14" i="27"/>
  <c r="X87" i="47"/>
  <c r="X88" i="47" s="1"/>
  <c r="X89" i="47" s="1"/>
  <c r="X90" i="47" s="1"/>
  <c r="X91" i="47" s="1"/>
  <c r="X92" i="47" s="1"/>
  <c r="X93" i="47" s="1"/>
  <c r="X94" i="47" s="1"/>
  <c r="X95" i="47" s="1"/>
  <c r="X96" i="47" s="1"/>
  <c r="I14" i="27"/>
  <c r="EV16" i="10"/>
  <c r="Z31" i="10" s="1"/>
  <c r="ES16" i="10"/>
  <c r="ES17" i="10" s="1"/>
  <c r="BU19" i="10"/>
  <c r="AP19" i="10"/>
  <c r="AF92" i="47"/>
  <c r="AG91" i="47"/>
  <c r="B91" i="47" s="1"/>
  <c r="AF83" i="47"/>
  <c r="AG82" i="47"/>
  <c r="B82" i="47" s="1"/>
  <c r="ES41" i="10"/>
  <c r="EO22" i="10"/>
  <c r="AB87" i="47"/>
  <c r="AB88" i="47" s="1"/>
  <c r="AB89" i="47" s="1"/>
  <c r="AB90" i="47" s="1"/>
  <c r="AB91" i="47" s="1"/>
  <c r="AB92" i="47" s="1"/>
  <c r="AB93" i="47" s="1"/>
  <c r="AB94" i="47" s="1"/>
  <c r="AB95" i="47" s="1"/>
  <c r="AB96" i="47" s="1"/>
  <c r="M14" i="27"/>
  <c r="EC33" i="10"/>
  <c r="EH26" i="10"/>
  <c r="EH33" i="10" s="1"/>
  <c r="EC25" i="10"/>
  <c r="EH25" i="10" s="1"/>
  <c r="EL42" i="10"/>
  <c r="BA11" i="27"/>
  <c r="BB12" i="27"/>
  <c r="AF52" i="47"/>
  <c r="AG51" i="47"/>
  <c r="B51" i="47" s="1"/>
  <c r="J97" i="47"/>
  <c r="J98" i="47" s="1"/>
  <c r="J99" i="47" s="1"/>
  <c r="J100" i="47" s="1"/>
  <c r="J101" i="47" s="1"/>
  <c r="J102" i="47" s="1"/>
  <c r="J103" i="47" s="1"/>
  <c r="J104" i="47" s="1"/>
  <c r="J105" i="47" s="1"/>
  <c r="G15" i="27"/>
  <c r="EF26" i="10"/>
  <c r="ER41" i="10" s="1"/>
  <c r="C87" i="47"/>
  <c r="C86" i="47" s="1"/>
  <c r="C76" i="47"/>
  <c r="AF62" i="47"/>
  <c r="AG61" i="47"/>
  <c r="B61" i="47" s="1"/>
  <c r="AG62" i="47" l="1"/>
  <c r="B62" i="47" s="1"/>
  <c r="AF63" i="47"/>
  <c r="Y97" i="47"/>
  <c r="Y98" i="47" s="1"/>
  <c r="Y99" i="47" s="1"/>
  <c r="Y100" i="47" s="1"/>
  <c r="Y101" i="47" s="1"/>
  <c r="Y102" i="47" s="1"/>
  <c r="Y103" i="47" s="1"/>
  <c r="Y104" i="47" s="1"/>
  <c r="Y105" i="47" s="1"/>
  <c r="J15" i="27"/>
  <c r="AA97" i="47"/>
  <c r="AA98" i="47" s="1"/>
  <c r="AA99" i="47" s="1"/>
  <c r="AA100" i="47" s="1"/>
  <c r="AA101" i="47" s="1"/>
  <c r="AA102" i="47" s="1"/>
  <c r="AA103" i="47" s="1"/>
  <c r="AA104" i="47" s="1"/>
  <c r="AA105" i="47" s="1"/>
  <c r="L15" i="27"/>
  <c r="AF53" i="47"/>
  <c r="AG52" i="47"/>
  <c r="B52" i="47" s="1"/>
  <c r="AB97" i="47"/>
  <c r="AB98" i="47" s="1"/>
  <c r="AB99" i="47" s="1"/>
  <c r="AB100" i="47" s="1"/>
  <c r="AB101" i="47" s="1"/>
  <c r="AB102" i="47" s="1"/>
  <c r="AB103" i="47" s="1"/>
  <c r="AB104" i="47" s="1"/>
  <c r="AB105" i="47" s="1"/>
  <c r="M15" i="27"/>
  <c r="AF43" i="47"/>
  <c r="AG42" i="47"/>
  <c r="B42" i="47" s="1"/>
  <c r="AF84" i="47"/>
  <c r="AG83" i="47"/>
  <c r="B83" i="47" s="1"/>
  <c r="X97" i="47"/>
  <c r="X98" i="47" s="1"/>
  <c r="X99" i="47" s="1"/>
  <c r="X100" i="47" s="1"/>
  <c r="X101" i="47" s="1"/>
  <c r="X102" i="47" s="1"/>
  <c r="X103" i="47" s="1"/>
  <c r="X104" i="47" s="1"/>
  <c r="X105" i="47" s="1"/>
  <c r="I15" i="27"/>
  <c r="AG72" i="47"/>
  <c r="B72" i="47" s="1"/>
  <c r="AF73" i="47"/>
  <c r="AG34" i="47"/>
  <c r="B34" i="47" s="1"/>
  <c r="AF35" i="47"/>
  <c r="AG35" i="47" s="1"/>
  <c r="B35" i="47" s="1"/>
  <c r="BB13" i="27"/>
  <c r="BA12" i="27"/>
  <c r="AG92" i="47"/>
  <c r="B92" i="47" s="1"/>
  <c r="AF93" i="47"/>
  <c r="Z97" i="47"/>
  <c r="Z98" i="47" s="1"/>
  <c r="Z99" i="47" s="1"/>
  <c r="Z100" i="47" s="1"/>
  <c r="Z101" i="47" s="1"/>
  <c r="Z102" i="47" s="1"/>
  <c r="Z103" i="47" s="1"/>
  <c r="Z104" i="47" s="1"/>
  <c r="Z105" i="47" s="1"/>
  <c r="K15" i="27"/>
  <c r="AF94" i="47" l="1"/>
  <c r="AG93" i="47"/>
  <c r="B93" i="47" s="1"/>
  <c r="AG53" i="47"/>
  <c r="B53" i="47" s="1"/>
  <c r="AF54" i="47"/>
  <c r="BB14" i="27"/>
  <c r="BA13" i="27"/>
  <c r="AG84" i="47"/>
  <c r="B84" i="47" s="1"/>
  <c r="AF85" i="47"/>
  <c r="AG85" i="47" s="1"/>
  <c r="B85" i="47" s="1"/>
  <c r="AF44" i="47"/>
  <c r="AG43" i="47"/>
  <c r="B43" i="47" s="1"/>
  <c r="AF74" i="47"/>
  <c r="AG73" i="47"/>
  <c r="B73" i="47" s="1"/>
  <c r="AF64" i="47"/>
  <c r="AG63" i="47"/>
  <c r="B63" i="47" s="1"/>
  <c r="AF65" i="47" l="1"/>
  <c r="AG65" i="47" s="1"/>
  <c r="B65" i="47" s="1"/>
  <c r="AG64" i="47"/>
  <c r="B64" i="47" s="1"/>
  <c r="BB15" i="27"/>
  <c r="BA15" i="27" s="1"/>
  <c r="BA14" i="27"/>
  <c r="AF55" i="47"/>
  <c r="AG55" i="47" s="1"/>
  <c r="B55" i="47" s="1"/>
  <c r="AG54" i="47"/>
  <c r="B54" i="47" s="1"/>
  <c r="AF75" i="47"/>
  <c r="AG75" i="47" s="1"/>
  <c r="B75" i="47" s="1"/>
  <c r="AG74" i="47"/>
  <c r="B74" i="47" s="1"/>
  <c r="AF45" i="47"/>
  <c r="AG45" i="47" s="1"/>
  <c r="B45" i="47" s="1"/>
  <c r="AG44" i="47"/>
  <c r="B44" i="47" s="1"/>
  <c r="AG94" i="47"/>
  <c r="B94" i="47" s="1"/>
  <c r="AF95" i="47"/>
  <c r="AG95" i="47" s="1"/>
  <c r="B95" i="47" s="1"/>
</calcChain>
</file>

<file path=xl/comments1.xml><?xml version="1.0" encoding="utf-8"?>
<comments xmlns="http://schemas.openxmlformats.org/spreadsheetml/2006/main">
  <authors>
    <author>jianlong wo</author>
  </authors>
  <commentList>
    <comment ref="DH3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暂时不掉落弹头</t>
        </r>
      </text>
    </comment>
    <comment ref="O4" authorId="0" shapeId="0">
      <text>
        <r>
          <rPr>
            <sz val="9"/>
            <rFont val="宋体"/>
            <family val="3"/>
            <charset val="134"/>
          </rPr>
          <t>龙舟每次被捕获时根据score减少血量，伤害=score*炮倍系数</t>
        </r>
      </text>
    </comment>
    <comment ref="S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普通鱼，奖金鱼(黄金鱼和组合鱼)、功能鱼(特殊鱼)，boss</t>
        </r>
      </text>
    </comment>
    <comment ref="AD4" authorId="0" shapeId="0">
      <text>
        <r>
          <rPr>
            <sz val="9"/>
            <rFont val="宋体"/>
            <family val="3"/>
            <charset val="134"/>
          </rPr>
          <t xml:space="preserve"> [[0,4],[1,4]] 代表效果为 锁定额外增加4秒 狂暴额外增加4秒，[[3,10]] 代表金币额外增加 10%，[[4,10],[5,50]] 代表有 10%的暴击概率 和 50%的暴击系数 </t>
        </r>
      </text>
    </comment>
    <comment ref="AZ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能量为，鱼的value*0.75与E1</t>
        </r>
        <r>
          <rPr>
            <sz val="6"/>
            <rFont val="宋体"/>
            <family val="3"/>
            <charset val="134"/>
          </rPr>
          <t>0</t>
        </r>
        <r>
          <rPr>
            <sz val="9"/>
            <rFont val="宋体"/>
            <family val="3"/>
            <charset val="134"/>
          </rPr>
          <t>之间的最小值
暂时未考虑此项</t>
        </r>
      </text>
    </comment>
    <comment ref="BT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能量为，鱼的value*0.75与E1</t>
        </r>
        <r>
          <rPr>
            <sz val="6"/>
            <rFont val="宋体"/>
            <family val="3"/>
            <charset val="134"/>
          </rPr>
          <t>0</t>
        </r>
        <r>
          <rPr>
            <sz val="9"/>
            <rFont val="宋体"/>
            <family val="3"/>
            <charset val="134"/>
          </rPr>
          <t>之间的最小值
暂时未考虑此项</t>
        </r>
      </text>
    </comment>
    <comment ref="ET9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假设玩家失败没损失
成功时才消耗材料得出锻造需要灵石数量</t>
        </r>
      </text>
    </comment>
    <comment ref="EX9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假设玩家失败没损失
成功时才消耗材料得出需要灵石数量</t>
        </r>
      </text>
    </comment>
    <comment ref="EN24" authorId="0" shapeId="0">
      <text>
        <r>
          <rPr>
            <b/>
            <sz val="9"/>
            <rFont val="宋体"/>
            <family val="3"/>
            <charset val="134"/>
          </rPr>
          <t>5%表示需要返回20次灵石才够本次锻造所需</t>
        </r>
      </text>
    </comment>
    <comment ref="ER24" authorId="0" shapeId="0">
      <text>
        <r>
          <rPr>
            <sz val="9"/>
            <rFont val="宋体"/>
            <family val="3"/>
            <charset val="134"/>
          </rPr>
          <t xml:space="preserve">玩家玩N天游戏累计的钻石数量
</t>
        </r>
      </text>
    </comment>
  </commentList>
</comments>
</file>

<file path=xl/comments2.xml><?xml version="1.0" encoding="utf-8"?>
<comments xmlns="http://schemas.openxmlformats.org/spreadsheetml/2006/main">
  <authors>
    <author>jianlong wo</author>
    <author>作者</author>
    <author>user</author>
    <author>龙江</author>
  </authors>
  <commentList>
    <comment ref="B6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现在逻辑坐标是10000*10000</t>
        </r>
      </text>
    </comment>
    <comment ref="B47" authorId="0" shapeId="0">
      <text>
        <r>
          <rPr>
            <b/>
            <sz val="9"/>
            <rFont val="宋体"/>
            <family val="3"/>
            <charset val="134"/>
          </rPr>
          <t>该接口服务器暂时不支持毫秒，算出倍数乘以基础时间后向上取整</t>
        </r>
      </text>
    </comment>
    <comment ref="B50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客户端专用
服务器不允许小数</t>
        </r>
      </text>
    </comment>
    <comment ref="I71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比赛时间+积分动画持续时间</t>
        </r>
      </text>
    </comment>
    <comment ref="B89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85/100算随机数</t>
        </r>
      </text>
    </comment>
    <comment ref="B97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开火和锁定共用一个等级</t>
        </r>
      </text>
    </comment>
    <comment ref="B111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26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C=50/100</t>
        </r>
      </text>
    </comment>
    <comment ref="B127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C=N/100</t>
        </r>
      </text>
    </comment>
    <comment ref="B128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300炮倍率</t>
        </r>
      </text>
    </comment>
    <comment ref="B140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概率=60/100</t>
        </r>
      </text>
    </comment>
    <comment ref="B141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概率=60/100</t>
        </r>
      </text>
    </comment>
    <comment ref="B154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["2|1001|200",10],最后一个10表示10/100，在现有概率上衰减为10%</t>
        </r>
      </text>
    </comment>
    <comment ref="A227" authorId="3" shapeId="0">
      <text>
        <r>
          <rPr>
            <sz val="9"/>
            <rFont val="宋体"/>
            <family val="3"/>
            <charset val="134"/>
          </rPr>
          <t>展示奖池的大致范围</t>
        </r>
      </text>
    </comment>
    <comment ref="B257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功能开启做在了客户端
现在是按照账号创建时间算起的</t>
        </r>
      </text>
    </comment>
    <comment ref="D271" authorId="0" shapeId="0">
      <text>
        <r>
          <rPr>
            <b/>
            <sz val="9"/>
            <rFont val="宋体"/>
            <family val="3"/>
            <charset val="134"/>
          </rPr>
          <t>（每日重置，随着次数的变化伤害范围变化，超过配置次数后按照最后一次来）</t>
        </r>
      </text>
    </comment>
    <comment ref="D272" authorId="0" shapeId="0">
      <text>
        <r>
          <rPr>
            <b/>
            <sz val="9"/>
            <rFont val="宋体"/>
            <family val="3"/>
            <charset val="134"/>
          </rPr>
          <t>（每日重置，随着次数的变化伤害范围变化，超过配置次数后按照最后一次来）</t>
        </r>
      </text>
    </comment>
    <comment ref="B275" authorId="0" shapeId="0">
      <text>
        <r>
          <rPr>
            <b/>
            <sz val="9"/>
            <rFont val="宋体"/>
            <family val="3"/>
            <charset val="134"/>
          </rPr>
          <t>档位，该档位购买第n次，必中的档位编号
{"1101":{"2":1,"2":2},"1103":{"1":1}}</t>
        </r>
      </text>
    </comment>
    <comment ref="A290" authorId="3" shapeId="0">
      <text>
        <r>
          <rPr>
            <sz val="9"/>
            <rFont val="宋体"/>
            <family val="3"/>
            <charset val="134"/>
          </rPr>
          <t>展示奖池的大致范围</t>
        </r>
      </text>
    </comment>
    <comment ref="B328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第[1,2)次是1.2
[2,正无穷)是1</t>
        </r>
      </text>
    </comment>
    <comment ref="D354" authorId="0" shapeId="0">
      <text>
        <r>
          <rPr>
            <sz val="9"/>
            <rFont val="宋体"/>
            <family val="3"/>
            <charset val="134"/>
          </rPr>
          <t xml:space="preserve"> 金币：金币数量=点券*250000金币，后面为0的位数全部补齐为8，即1点券=258888，2点券=588888
 钻石：钻石数=5*【点券数^钻石系数，向上取整】
 锁定：锁定数量=点券数^0.9，向上取整
 冰冻：冰冻数量=点券数^0.9，向上取整
 狂暴：狂暴数量=点券数^0.75，向上取整
   钻石系数0.77
</t>
        </r>
      </text>
    </comment>
  </commentList>
</comments>
</file>

<file path=xl/comments3.xml><?xml version="1.0" encoding="utf-8"?>
<comments xmlns="http://schemas.openxmlformats.org/spreadsheetml/2006/main">
  <authors>
    <author>User</author>
    <author>user</author>
    <author>燕</author>
    <author>AutoBVT</author>
  </authors>
  <commentList>
    <comment ref="C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99.高级贵族享有低级贵族特权
0.永久解锁【金刚王座】炮台
1.每日首次登陆将道具补足至10个
2.每日首次登陆将金币补足至300万
3.每日领取n次发财金
4.每次领取发财金额外获得n金币 首充306
15.每次领取发财金额外获得n金币 首充308
5.解锁狂暴等级
6.开启道具赠送功能
7.充值金币额外赠送 5% 
8.邮件上限增加至60
9.竞技场积分加成3%
10.每日提现次数上限增加至（红包版专用）
11.存钱罐金币存储上限增加至
12.签到获得的金币翻n倍
13.幸运金币使用星钻普通翻倍次数上限N次
14.幸运金币使用星钻超级翻倍次数上限N次
16.贵族n升级专属金币奖励
17.自动开火（global需要写等级）
18.解锁手动选座特权</t>
        </r>
      </text>
    </comment>
    <comment ref="D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0.永久解锁【金刚王座】炮台
1.每日首次登陆将道具补足至10个
2.每日首次登陆将金币补足至300万
3. 每日多领取1次发财金
4.每次领取发财金+1000金币
5.解锁狂暴等级
6.开启道具赠送功能
7.充值金币额外赠送 5% 
8.邮件上限增加至60
9.竞技场积分加成3%</t>
        </r>
      </text>
    </comment>
    <comment ref="E4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当前VIP+该列数据后，表示最后一个显示金额的VIP等级</t>
        </r>
      </text>
    </comment>
    <comment ref="G4" authorId="2" shapeId="0">
      <text>
        <r>
          <rPr>
            <sz val="9"/>
            <rFont val="宋体"/>
            <family val="3"/>
            <charset val="134"/>
          </rPr>
          <t>原12小时cd</t>
        </r>
      </text>
    </comment>
    <comment ref="H4" authorId="2" shapeId="0">
      <text>
        <r>
          <rPr>
            <sz val="9"/>
            <rFont val="宋体"/>
            <family val="3"/>
            <charset val="134"/>
          </rPr>
          <t xml:space="preserve">原12小时cd
</t>
        </r>
      </text>
    </comment>
    <comment ref="X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svn://192.168.8.190/fruit/tech/json/DataTable/发财金CompenGold.xlsx</t>
        </r>
      </text>
    </comment>
    <comment ref="AA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待狂暴文档确认后，再添加狂暴等级解锁的数据</t>
        </r>
      </text>
    </comment>
    <comment ref="AB4" authorId="3" shapeId="0">
      <text>
        <r>
          <rPr>
            <sz val="9"/>
            <rFont val="宋体"/>
            <family val="3"/>
            <charset val="134"/>
          </rPr>
          <t xml:space="preserve">修改了注意修改全局表上开启狂暴2级的vip等级
</t>
        </r>
      </text>
    </comment>
    <comment ref="AC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功能已经完成，等充值加入再考虑提示表现</t>
        </r>
      </text>
    </comment>
    <comment ref="AE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2|1001|X，X表示捕鱼最大掉落数量</t>
        </r>
      </text>
    </comment>
    <comment ref="AZ4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当玩家于注册之日起的前7天登录,若玩家为VIPN且持有金币小于等于G，则能量E增加，直到玩家金币大于G</t>
        </r>
      </text>
    </comment>
    <comment ref="BS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功能已经完成，等充值加入再考虑提示表现</t>
        </r>
      </text>
    </comment>
    <comment ref="BT5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炮相关VIP查看
svn://192.168.8.190/fruit/tech/json/DataTable/炮Weapon.xlsx</t>
        </r>
      </text>
    </comment>
  </commentList>
</comments>
</file>

<file path=xl/comments4.xml><?xml version="1.0" encoding="utf-8"?>
<comments xmlns="http://schemas.openxmlformats.org/spreadsheetml/2006/main">
  <authors>
    <author>jianlong wo</author>
    <author>燕</author>
  </authors>
  <commentList>
    <comment ref="A4" authorId="0" shapeId="0">
      <text>
        <r>
          <rPr>
            <sz val="9"/>
            <rFont val="宋体"/>
            <family val="3"/>
            <charset val="134"/>
          </rPr>
          <t>VIP升级表中代表1.0、2.0、3.0…
在看广告版本中，11为1.1，是1.0的后一个等级</t>
        </r>
      </text>
    </comment>
    <comment ref="F4" authorId="1" shapeId="0">
      <text>
        <r>
          <rPr>
            <sz val="9"/>
            <rFont val="宋体"/>
            <family val="3"/>
            <charset val="134"/>
          </rPr>
          <t xml:space="preserve">原给2
1个球10万
</t>
        </r>
      </text>
    </comment>
    <comment ref="G4" authorId="1" shapeId="0">
      <text>
        <r>
          <rPr>
            <sz val="9"/>
            <rFont val="宋体"/>
            <family val="3"/>
            <charset val="134"/>
          </rPr>
          <t>原8，12，24小时随机</t>
        </r>
      </text>
    </comment>
    <comment ref="H4" authorId="1" shapeId="0">
      <text>
        <r>
          <rPr>
            <sz val="9"/>
            <rFont val="宋体"/>
            <family val="3"/>
            <charset val="134"/>
          </rPr>
          <t xml:space="preserve">原8，12，24小时随机
</t>
        </r>
      </text>
    </comment>
    <comment ref="I4" authorId="1" shapeId="0">
      <text>
        <r>
          <rPr>
            <sz val="9"/>
            <rFont val="宋体"/>
            <family val="3"/>
            <charset val="134"/>
          </rPr>
          <t xml:space="preserve">原8，12，24小时随机
</t>
        </r>
      </text>
    </comment>
    <comment ref="J4" authorId="1" shapeId="0">
      <text>
        <r>
          <rPr>
            <sz val="9"/>
            <rFont val="宋体"/>
            <family val="3"/>
            <charset val="134"/>
          </rPr>
          <t>原12小时cd</t>
        </r>
      </text>
    </comment>
    <comment ref="K4" authorId="1" shapeId="0">
      <text>
        <r>
          <rPr>
            <sz val="9"/>
            <rFont val="宋体"/>
            <family val="3"/>
            <charset val="134"/>
          </rPr>
          <t xml:space="preserve">原12小时cd
</t>
        </r>
      </text>
    </comment>
    <comment ref="L4" authorId="1" shapeId="0">
      <text>
        <r>
          <rPr>
            <sz val="9"/>
            <rFont val="宋体"/>
            <family val="3"/>
            <charset val="134"/>
          </rPr>
          <t xml:space="preserve">原4小时cd
</t>
        </r>
      </text>
    </comment>
    <comment ref="M4" authorId="1" shapeId="0">
      <text>
        <r>
          <rPr>
            <sz val="9"/>
            <rFont val="宋体"/>
            <family val="3"/>
            <charset val="134"/>
          </rPr>
          <t>原5~10分钟cd</t>
        </r>
      </text>
    </comment>
    <comment ref="N4" authorId="1" shapeId="0">
      <text>
        <r>
          <rPr>
            <sz val="9"/>
            <rFont val="宋体"/>
            <family val="3"/>
            <charset val="134"/>
          </rPr>
          <t>原限3次</t>
        </r>
      </text>
    </comment>
    <comment ref="O4" authorId="1" shapeId="0">
      <text>
        <r>
          <rPr>
            <sz val="9"/>
            <rFont val="宋体"/>
            <family val="3"/>
            <charset val="134"/>
          </rPr>
          <t xml:space="preserve">此版本暂时不做（1027）
</t>
        </r>
      </text>
    </comment>
    <comment ref="S4" authorId="1" shapeId="0">
      <text>
        <r>
          <rPr>
            <sz val="9"/>
            <rFont val="宋体"/>
            <family val="3"/>
            <charset val="134"/>
          </rPr>
          <t xml:space="preserve">此版本暂时不做（1027）
</t>
        </r>
      </text>
    </comment>
    <comment ref="T4" authorId="1" shapeId="0">
      <text>
        <r>
          <rPr>
            <sz val="9"/>
            <rFont val="宋体"/>
            <family val="3"/>
            <charset val="134"/>
          </rPr>
          <t>原1次
此版本暂时不做（1027）</t>
        </r>
      </text>
    </comment>
    <comment ref="W4" authorId="1" shapeId="0">
      <text>
        <r>
          <rPr>
            <sz val="9"/>
            <rFont val="宋体"/>
            <family val="3"/>
            <charset val="134"/>
          </rPr>
          <t xml:space="preserve">此版本暂时不做（1027）
</t>
        </r>
      </text>
    </comment>
  </commentList>
</comments>
</file>

<file path=xl/comments5.xml><?xml version="1.0" encoding="utf-8"?>
<comments xmlns="http://schemas.openxmlformats.org/spreadsheetml/2006/main">
  <authors>
    <author>作者</author>
    <author>jianlong wo</author>
    <author>燕</author>
  </authors>
  <commentList>
    <comment ref="A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奖券资源，图片和名字的多语言暂时没用到</t>
        </r>
      </text>
    </comment>
    <comment ref="A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VIPEXP</t>
        </r>
      </text>
    </comment>
    <comment ref="A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竞技场</t>
        </r>
      </text>
    </comment>
    <comment ref="A1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活跃度</t>
        </r>
      </text>
    </comment>
    <comment ref="O22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续费</t>
        </r>
      </text>
    </comment>
    <comment ref="E3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X3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E3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X3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M49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49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0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0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1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1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2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2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3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3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4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翅膀id</t>
        </r>
      </text>
    </comment>
    <comment ref="M55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翅膀id</t>
        </r>
      </text>
    </comment>
    <comment ref="M56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6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翅膀id</t>
        </r>
      </text>
    </comment>
    <comment ref="M57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57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8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58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9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59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0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0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1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1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2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2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3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3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4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4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5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5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6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6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7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7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73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M74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M75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M76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M77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M78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M79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M80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M81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M82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M83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</commentList>
</comments>
</file>

<file path=xl/sharedStrings.xml><?xml version="1.0" encoding="utf-8"?>
<sst xmlns="http://schemas.openxmlformats.org/spreadsheetml/2006/main" count="3118" uniqueCount="1986">
  <si>
    <t>cs</t>
  </si>
  <si>
    <t>s</t>
  </si>
  <si>
    <t>演出节奏</t>
  </si>
  <si>
    <t>新手</t>
  </si>
  <si>
    <t>阶段1
金币池子</t>
  </si>
  <si>
    <t>阶段2
金币池子</t>
  </si>
  <si>
    <t>阶段3
金币池子</t>
  </si>
  <si>
    <t>阶段4
金币池子</t>
  </si>
  <si>
    <t>阶段5
无池子概念，结束点为跳转房间</t>
  </si>
  <si>
    <t>龙舟分值第1阶段</t>
  </si>
  <si>
    <t>（第3阶段按照正常鱼被捕获情况下掉落2500金币对应1福卡）</t>
  </si>
  <si>
    <t>int</t>
  </si>
  <si>
    <t>String</t>
  </si>
  <si>
    <t>float</t>
  </si>
  <si>
    <t>string</t>
  </si>
  <si>
    <t>初级</t>
  </si>
  <si>
    <t>龙舟分值第2阶段</t>
  </si>
  <si>
    <t>经典场</t>
  </si>
  <si>
    <t>核弹专场3个阶段掉弹头，2000炮倍起</t>
  </si>
  <si>
    <t>cannonLevel</t>
  </si>
  <si>
    <t>unlockMethod</t>
  </si>
  <si>
    <t>billMultiple</t>
  </si>
  <si>
    <t>rmbType5Pro</t>
  </si>
  <si>
    <t>rmbType32Pro</t>
  </si>
  <si>
    <t>ledWeight</t>
  </si>
  <si>
    <t>rmbType6</t>
  </si>
  <si>
    <t>lgDantouId</t>
  </si>
  <si>
    <t>eggNeedGold</t>
  </si>
  <si>
    <t>monkeySkillNeed</t>
  </si>
  <si>
    <t>wingSkillNeed</t>
  </si>
  <si>
    <t>G1</t>
  </si>
  <si>
    <t>G2</t>
  </si>
  <si>
    <t>harmC</t>
  </si>
  <si>
    <t>jjcC</t>
  </si>
  <si>
    <t>perC</t>
  </si>
  <si>
    <t>danzhuDrop</t>
  </si>
  <si>
    <t>weaponE1</t>
  </si>
  <si>
    <t>weaponE2</t>
  </si>
  <si>
    <t>weaponE3</t>
  </si>
  <si>
    <t>weaponE4</t>
  </si>
  <si>
    <t>duanzaoG</t>
  </si>
  <si>
    <t>forgeNeed</t>
  </si>
  <si>
    <t>forgePro</t>
  </si>
  <si>
    <t>forgeReward</t>
  </si>
  <si>
    <t>addProNeed</t>
  </si>
  <si>
    <t>finalPro</t>
  </si>
  <si>
    <t>isUnlock</t>
  </si>
  <si>
    <t>skill</t>
  </si>
  <si>
    <t>use</t>
  </si>
  <si>
    <t>reward</t>
  </si>
  <si>
    <t>isBCannonLevel</t>
  </si>
  <si>
    <t>paoNum</t>
  </si>
  <si>
    <t>use_B</t>
  </si>
  <si>
    <t>reward_B</t>
  </si>
  <si>
    <t>growup</t>
  </si>
  <si>
    <t>vipgrowup</t>
  </si>
  <si>
    <t>vipgrade</t>
  </si>
  <si>
    <t>EA</t>
  </si>
  <si>
    <t>EB</t>
  </si>
  <si>
    <t>ENobroke</t>
  </si>
  <si>
    <t>diamondDrop</t>
  </si>
  <si>
    <t>fukaDrop</t>
  </si>
  <si>
    <t>dantouDrop</t>
  </si>
  <si>
    <t>perCardCannon</t>
  </si>
  <si>
    <t>中级</t>
  </si>
  <si>
    <t>龙舟分值第3阶段</t>
  </si>
  <si>
    <t>第2阶段(鱼被捕获情况下)</t>
  </si>
  <si>
    <t>第1阶段：金币</t>
  </si>
  <si>
    <r>
      <rPr>
        <sz val="11"/>
        <color theme="1"/>
        <rFont val="微软雅黑"/>
        <family val="2"/>
        <charset val="134"/>
      </rPr>
      <t>第2阶段：金币/</t>
    </r>
    <r>
      <rPr>
        <b/>
        <sz val="11"/>
        <color theme="1"/>
        <rFont val="微软雅黑"/>
        <family val="2"/>
        <charset val="134"/>
      </rPr>
      <t>弹头</t>
    </r>
    <r>
      <rPr>
        <sz val="11"/>
        <color theme="1"/>
        <rFont val="微软雅黑"/>
        <family val="2"/>
        <charset val="134"/>
      </rPr>
      <t>+钻石</t>
    </r>
  </si>
  <si>
    <r>
      <rPr>
        <sz val="11"/>
        <color theme="1"/>
        <rFont val="微软雅黑"/>
        <family val="2"/>
        <charset val="134"/>
      </rPr>
      <t>第3阶段：金币/</t>
    </r>
    <r>
      <rPr>
        <b/>
        <sz val="11"/>
        <color theme="1"/>
        <rFont val="微软雅黑"/>
        <family val="2"/>
        <charset val="134"/>
      </rPr>
      <t>弹头</t>
    </r>
    <r>
      <rPr>
        <sz val="11"/>
        <color theme="1"/>
        <rFont val="微软雅黑"/>
        <family val="2"/>
        <charset val="134"/>
      </rPr>
      <t>+福卡</t>
    </r>
  </si>
  <si>
    <t>炮解锁炮倍率
1，2,5...代表炮将要解锁的倍率</t>
  </si>
  <si>
    <r>
      <rPr>
        <sz val="8"/>
        <color theme="1"/>
        <rFont val="微软雅黑"/>
        <family val="2"/>
        <charset val="134"/>
      </rPr>
      <t xml:space="preserve">解锁方式
0是自动炮解；1手动炮解锁
从当前等级到下一级的解锁方式
</t>
    </r>
    <r>
      <rPr>
        <sz val="8"/>
        <color rgb="FFFF0000"/>
        <rFont val="微软雅黑"/>
        <family val="2"/>
        <charset val="134"/>
      </rPr>
      <t>暂时废弃</t>
    </r>
  </si>
  <si>
    <t xml:space="preserve">话费鱼潮
小额福卡倍数
鱼属性表基础值10的倍数
话费鱼潮S值改变后需要调整
</t>
  </si>
  <si>
    <t>50x,喜从天降
玩家最大炮倍率对应的出现喜从天降的概率</t>
  </si>
  <si>
    <t>320x,惊喜礼包
玩家最大炮倍率对应的出现惊喜礼包的概率</t>
  </si>
  <si>
    <t xml:space="preserve">假led的权重
假led规则：
获得金币：按照房间炮倍*鱼的倍数展示金币数量
房间内炮倍，每个炮倍对应一个出现的权重，从中随机一个值。
</t>
  </si>
  <si>
    <r>
      <rPr>
        <sz val="10"/>
        <color theme="1"/>
        <rFont val="微软雅黑"/>
        <family val="2"/>
        <charset val="134"/>
      </rPr>
      <t xml:space="preserve">最大炮倍率对应的直升N炮档位(6xx)
</t>
    </r>
    <r>
      <rPr>
        <sz val="8"/>
        <color theme="1"/>
        <rFont val="微软雅黑"/>
        <family val="2"/>
        <charset val="134"/>
      </rPr>
      <t xml:space="preserve">-1表示此类没有直升N炮充值
</t>
    </r>
    <r>
      <rPr>
        <sz val="8"/>
        <color rgb="FFFF0000"/>
        <rFont val="微软雅黑"/>
        <family val="2"/>
        <charset val="134"/>
      </rPr>
      <t>暂时废弃</t>
    </r>
  </si>
  <si>
    <r>
      <rPr>
        <b/>
        <i/>
        <sz val="10"/>
        <color theme="1"/>
        <rFont val="微软雅黑"/>
        <family val="2"/>
        <charset val="134"/>
      </rPr>
      <t xml:space="preserve">当前炮倍率对应的龙龟掉弹头类型
</t>
    </r>
    <r>
      <rPr>
        <b/>
        <i/>
        <sz val="10"/>
        <color rgb="FFFF0000"/>
        <rFont val="微软雅黑"/>
        <family val="2"/>
        <charset val="134"/>
      </rPr>
      <t>暂时废弃</t>
    </r>
  </si>
  <si>
    <t>砸金蛋，捕鱼获得金币任务的金币需求</t>
  </si>
  <si>
    <r>
      <rPr>
        <sz val="9"/>
        <color theme="1"/>
        <rFont val="微软雅黑"/>
        <family val="2"/>
        <charset val="134"/>
      </rPr>
      <t>每个炮倍对应一个</t>
    </r>
    <r>
      <rPr>
        <b/>
        <sz val="9"/>
        <color rgb="FFFF0000"/>
        <rFont val="微软雅黑"/>
        <family val="2"/>
        <charset val="134"/>
      </rPr>
      <t>定海神针</t>
    </r>
    <r>
      <rPr>
        <sz val="9"/>
        <color theme="1"/>
        <rFont val="微软雅黑"/>
        <family val="2"/>
        <charset val="134"/>
      </rPr>
      <t>释放技能的能量值</t>
    </r>
  </si>
  <si>
    <t>[[翅膀1id,释放技能能量],[翅膀2id,释放技能能量]]</t>
  </si>
  <si>
    <t>活动期间
玩家累计获得&lt;=10碎片前的：使用该炮倍消耗G金币得1碎片
10为全局表配置值</t>
  </si>
  <si>
    <t>玩家累计获得&gt;10碎片前的：使用该炮倍消耗G金币得1碎片
10为配置值</t>
  </si>
  <si>
    <t>炮倍对龙舟的伤害系数
150表示150%</t>
  </si>
  <si>
    <t>竞技场积分加成系数
150表示150%</t>
  </si>
  <si>
    <t>勇者斗恶龙
闪电占鱼score
表中值/10000为需求系数
10000表示1</t>
  </si>
  <si>
    <t>炮倍对应掉落的弹珠类型</t>
  </si>
  <si>
    <t>普通鱼(大中小型鱼)默认E
只改变经典场、龙王专场
9600=9600/10000</t>
  </si>
  <si>
    <t>奖金鱼默认E
(黄金鱼)</t>
  </si>
  <si>
    <t xml:space="preserve">3功能鱼(特殊鱼)
</t>
  </si>
  <si>
    <t>4boss</t>
  </si>
  <si>
    <t>锻造材料掉落节奏，每消耗x金币获得1个材料，每个炮倍不一样</t>
  </si>
  <si>
    <t>锻造至当前炮倍消耗材料
格式：x1|y1|z1,x2|y2|z2|
type：消耗类型；：1货币，2道具
id：物品id，1钻石，2金币 ，其他的物品还没定义
默认第一个为星钻，然后是材料</t>
  </si>
  <si>
    <t>至当前炮倍的
成功概率，分母10000</t>
  </si>
  <si>
    <t>锻造失败返回灵石，从区间随机
至当前炮倍的</t>
  </si>
  <si>
    <t xml:space="preserve">使用灵石数量（使用灵石能提升成功概率）
至当前炮倍的
</t>
  </si>
  <si>
    <t>灵石能使概率提升至，分母10000
至当前炮倍的</t>
  </si>
  <si>
    <t>是否需要解锁
0否，1是</t>
  </si>
  <si>
    <t>锻造炮台解锁的炮台天赋
0锁定增加时间 1狂暴增加时间
2破产增加发财金% 3商城额外增加金币
4捕鱼暴击级别，1，2
5捕鱼暴击增加的score系数，一般要5%的倍数
6浮游炮个数（浮游炮触发概率在全局表）</t>
  </si>
  <si>
    <r>
      <rPr>
        <sz val="8"/>
        <color rgb="FFFF0000"/>
        <rFont val="微软雅黑"/>
        <family val="2"/>
        <charset val="134"/>
      </rPr>
      <t xml:space="preserve">解锁消耗
格式：x1|y1|z1,x2|y2|z2|
type：消耗类型；：1货币，2道具
id：物品id，1钻石，2金币 ，其他的物品还没定义
value：具体数量
不填代表没有奖励
</t>
    </r>
    <r>
      <rPr>
        <b/>
        <sz val="8"/>
        <color rgb="FFFF0000"/>
        <rFont val="微软雅黑"/>
        <family val="2"/>
        <charset val="134"/>
      </rPr>
      <t>暂时废弃</t>
    </r>
  </si>
  <si>
    <r>
      <rPr>
        <sz val="8"/>
        <color rgb="FFFF0000"/>
        <rFont val="微软雅黑"/>
        <family val="2"/>
        <charset val="134"/>
      </rPr>
      <t xml:space="preserve">解锁奖励
与解锁配置方式一样
</t>
    </r>
    <r>
      <rPr>
        <b/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</si>
  <si>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跳档位升级是否有该过度档
第1档和最后1档必须都要有
1是，0否
</t>
    </r>
    <r>
      <rPr>
        <sz val="8"/>
        <color rgb="FFFF0000"/>
        <rFont val="微软雅黑"/>
        <family val="2"/>
        <charset val="134"/>
      </rPr>
      <t>暂时废弃</t>
    </r>
    <r>
      <rPr>
        <sz val="8"/>
        <color theme="1"/>
        <rFont val="微软雅黑"/>
        <family val="2"/>
        <charset val="134"/>
      </rPr>
      <t xml:space="preserve">
</t>
    </r>
  </si>
  <si>
    <t>第N档炮</t>
  </si>
  <si>
    <r>
      <rPr>
        <sz val="8"/>
        <color theme="1"/>
        <rFont val="微软雅黑"/>
        <family val="2"/>
        <charset val="134"/>
      </rPr>
      <t>跳档解锁消耗（目前有开关）
格式：</t>
    </r>
    <r>
      <rPr>
        <sz val="8"/>
        <color rgb="FFFF0000"/>
        <rFont val="微软雅黑"/>
        <family val="2"/>
        <charset val="134"/>
      </rPr>
      <t>x1|y1|z1,x2|y2|z2|</t>
    </r>
    <r>
      <rPr>
        <sz val="8"/>
        <color theme="1"/>
        <rFont val="微软雅黑"/>
        <family val="2"/>
        <charset val="134"/>
      </rPr>
      <t xml:space="preserve">
type：消耗类型；：1货币，2道具
id：物品id，1钻石，2金币 ，其他的物品还没定义
value：具体数量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</si>
  <si>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跳档解锁奖励
与解锁配置方式一样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</si>
  <si>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普通成长奖励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</si>
  <si>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vip成长奖励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</si>
  <si>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可以领取奖励的vip等级
不填代表没有可对应的领取等级
</t>
    </r>
    <r>
      <rPr>
        <sz val="8"/>
        <color rgb="FFFF0000"/>
        <rFont val="微软雅黑"/>
        <family val="2"/>
        <charset val="134"/>
      </rPr>
      <t>暂时废弃</t>
    </r>
  </si>
  <si>
    <t>演出阶段
A计算方式能量
新手能量，各个阶段能量</t>
  </si>
  <si>
    <t>演出阶段
B计算方式能量
新手能量</t>
  </si>
  <si>
    <t>不破产礼包5个阶段能量</t>
  </si>
  <si>
    <r>
      <rPr>
        <sz val="8"/>
        <color theme="1"/>
        <rFont val="微软雅黑"/>
        <family val="2"/>
        <charset val="134"/>
      </rPr>
      <t xml:space="preserve">龙舟经典场
第2阶段掉落钻石
</t>
    </r>
    <r>
      <rPr>
        <sz val="8"/>
        <color rgb="FFFF0000"/>
        <rFont val="微软雅黑"/>
        <family val="2"/>
        <charset val="134"/>
      </rPr>
      <t>"掉落数量,面额,概率"</t>
    </r>
  </si>
  <si>
    <r>
      <rPr>
        <sz val="8"/>
        <color theme="1"/>
        <rFont val="微软雅黑"/>
        <family val="2"/>
        <charset val="134"/>
      </rPr>
      <t xml:space="preserve">龙舟经典场
第3阶段掉落福卡
</t>
    </r>
    <r>
      <rPr>
        <sz val="8"/>
        <color rgb="FFFF0000"/>
        <rFont val="微软雅黑"/>
        <family val="2"/>
        <charset val="134"/>
      </rPr>
      <t>"掉落数量,面额,概率"
暂时废弃</t>
    </r>
  </si>
  <si>
    <t>核弹专场掉落弹头
第1、2、3阶段
[id，数量，概率],[id，数量，概率],[id，数量，概率]</t>
  </si>
  <si>
    <t>小游戏最终per=炮per×鱼per</t>
  </si>
  <si>
    <r>
      <rPr>
        <sz val="11"/>
        <color theme="1"/>
        <rFont val="微软雅黑"/>
        <family val="2"/>
        <charset val="134"/>
      </rPr>
      <t>E1</t>
    </r>
    <r>
      <rPr>
        <sz val="6"/>
        <color theme="1"/>
        <rFont val="微软雅黑"/>
        <family val="2"/>
        <charset val="134"/>
      </rPr>
      <t>0</t>
    </r>
  </si>
  <si>
    <t>产出速率/s</t>
  </si>
  <si>
    <t>需要多久到下级房间或破产（开火时间/分钟）</t>
  </si>
  <si>
    <t>EA生效的开火次数范围</t>
  </si>
  <si>
    <t>阶段N</t>
  </si>
  <si>
    <r>
      <rPr>
        <b/>
        <sz val="10"/>
        <color theme="1"/>
        <rFont val="微软雅黑"/>
        <family val="2"/>
        <charset val="134"/>
      </rPr>
      <t xml:space="preserve">演出金币
阶段n计算所用金币值
</t>
    </r>
    <r>
      <rPr>
        <b/>
        <u/>
        <sz val="10"/>
        <color rgb="FFFF0000"/>
        <rFont val="微软雅黑"/>
        <family val="2"/>
        <charset val="134"/>
      </rPr>
      <t>GaojiStart</t>
    </r>
  </si>
  <si>
    <t>阶段终结条件</t>
  </si>
  <si>
    <t>最快</t>
  </si>
  <si>
    <t>最慢</t>
  </si>
  <si>
    <t>正常</t>
  </si>
  <si>
    <t>炮倍对应
总时间</t>
  </si>
  <si>
    <r>
      <rPr>
        <sz val="11"/>
        <color theme="1"/>
        <rFont val="微软雅黑"/>
        <family val="2"/>
        <charset val="134"/>
      </rPr>
      <t>E2</t>
    </r>
    <r>
      <rPr>
        <sz val="6"/>
        <color theme="1"/>
        <rFont val="微软雅黑"/>
        <family val="2"/>
        <charset val="134"/>
      </rPr>
      <t>1</t>
    </r>
  </si>
  <si>
    <t>能量&gt;1
开火次数</t>
  </si>
  <si>
    <r>
      <rPr>
        <sz val="11"/>
        <color theme="1"/>
        <rFont val="微软雅黑"/>
        <family val="2"/>
        <charset val="134"/>
      </rPr>
      <t>E2</t>
    </r>
    <r>
      <rPr>
        <sz val="9"/>
        <color theme="1"/>
        <rFont val="微软雅黑"/>
        <family val="2"/>
        <charset val="134"/>
      </rPr>
      <t>2</t>
    </r>
  </si>
  <si>
    <t>速率</t>
  </si>
  <si>
    <t>能量&lt;1
开火次数</t>
  </si>
  <si>
    <r>
      <rPr>
        <sz val="11"/>
        <color theme="1"/>
        <rFont val="微软雅黑"/>
        <family val="2"/>
        <charset val="134"/>
      </rPr>
      <t>E2</t>
    </r>
    <r>
      <rPr>
        <sz val="8"/>
        <color theme="1"/>
        <rFont val="微软雅黑"/>
        <family val="2"/>
        <charset val="134"/>
      </rPr>
      <t>3</t>
    </r>
  </si>
  <si>
    <t>开火次数</t>
  </si>
  <si>
    <r>
      <rPr>
        <sz val="11"/>
        <color theme="1"/>
        <rFont val="微软雅黑"/>
        <family val="2"/>
        <charset val="134"/>
      </rPr>
      <t>E2</t>
    </r>
    <r>
      <rPr>
        <sz val="8"/>
        <color theme="1"/>
        <rFont val="微软雅黑"/>
        <family val="2"/>
        <charset val="134"/>
      </rPr>
      <t>4</t>
    </r>
  </si>
  <si>
    <r>
      <rPr>
        <sz val="11"/>
        <color theme="1"/>
        <rFont val="微软雅黑"/>
        <family val="2"/>
        <charset val="134"/>
      </rPr>
      <t>E2</t>
    </r>
    <r>
      <rPr>
        <sz val="8"/>
        <color theme="1"/>
        <rFont val="微软雅黑"/>
        <family val="2"/>
        <charset val="134"/>
      </rPr>
      <t>5</t>
    </r>
  </si>
  <si>
    <t>跳转需要的
开火次数</t>
  </si>
  <si>
    <t>掉落1钻石概率</t>
  </si>
  <si>
    <t>掉落数量</t>
  </si>
  <si>
    <t>面额</t>
  </si>
  <si>
    <t>掉落概率</t>
  </si>
  <si>
    <t>金币价值</t>
  </si>
  <si>
    <t>id</t>
  </si>
  <si>
    <t>数量</t>
  </si>
  <si>
    <t>概率</t>
  </si>
  <si>
    <t>阶段1</t>
  </si>
  <si>
    <t>新手跳转到初级房</t>
  </si>
  <si>
    <t>演出结束时间</t>
  </si>
  <si>
    <t>钻石占比</t>
  </si>
  <si>
    <t>阶段2</t>
  </si>
  <si>
    <t>初级跳转到中级房</t>
  </si>
  <si>
    <t>到中级房时间</t>
  </si>
  <si>
    <t>钻石金币价值</t>
  </si>
  <si>
    <t>阶段3.1</t>
  </si>
  <si>
    <t>福卡占比</t>
  </si>
  <si>
    <t>调整后需要考虑道具价值</t>
  </si>
  <si>
    <t>阶段3.2</t>
  </si>
  <si>
    <t>福卡金币价值</t>
  </si>
  <si>
    <t>升满天数/每天1小时</t>
  </si>
  <si>
    <t>灵石数量缩小比例</t>
  </si>
  <si>
    <t>阶段3.3</t>
  </si>
  <si>
    <t>钻石数量</t>
  </si>
  <si>
    <t>锻造消耗材料</t>
  </si>
  <si>
    <t>每个材料数量</t>
  </si>
  <si>
    <t>成功率</t>
  </si>
  <si>
    <t>不用灵石，材料总量</t>
  </si>
  <si>
    <t>总计时间/小时</t>
  </si>
  <si>
    <t>失败次数</t>
  </si>
  <si>
    <t>返灵石比例</t>
  </si>
  <si>
    <t>失败返回灵石</t>
  </si>
  <si>
    <t>返还灵石总数量</t>
  </si>
  <si>
    <t>灵石需求数量</t>
  </si>
  <si>
    <t>返还灵石波动区间</t>
  </si>
  <si>
    <t>灵石修正</t>
  </si>
  <si>
    <t>阶段3.4</t>
  </si>
  <si>
    <t>弹头id</t>
  </si>
  <si>
    <t>阶段3.5</t>
  </si>
  <si>
    <t>阶段3.6</t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</si>
  <si>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1</t>
    </r>
  </si>
  <si>
    <t>开火时间/分钟</t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</si>
  <si>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2</t>
    </r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</si>
  <si>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3</t>
    </r>
  </si>
  <si>
    <r>
      <rPr>
        <sz val="11"/>
        <color theme="1"/>
        <rFont val="微软雅黑"/>
        <family val="2"/>
        <charset val="134"/>
      </rPr>
      <t>E1</t>
    </r>
    <r>
      <rPr>
        <sz val="6"/>
        <color theme="1"/>
        <rFont val="微软雅黑"/>
        <family val="2"/>
        <charset val="134"/>
      </rPr>
      <t>4</t>
    </r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</si>
  <si>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5</t>
    </r>
  </si>
  <si>
    <t>不计灵石升满N天</t>
  </si>
  <si>
    <t>最快N天</t>
  </si>
  <si>
    <t>1小时掉落材料</t>
  </si>
  <si>
    <t>灵石/锻造石价值比</t>
  </si>
  <si>
    <t>钻石per</t>
  </si>
  <si>
    <t>升满天数期望</t>
  </si>
  <si>
    <t>阶段1-4，5+1，结束条件为池子，阶段5为跳转房间</t>
  </si>
  <si>
    <t>每次锻造</t>
  </si>
  <si>
    <t>炮解锁炮倍率</t>
  </si>
  <si>
    <t>材料总数量/次</t>
  </si>
  <si>
    <t>失败灵石返还量</t>
  </si>
  <si>
    <t>灵石掉落波动范围</t>
  </si>
  <si>
    <t>灵石消耗总量</t>
  </si>
  <si>
    <t>灵石升级成功率</t>
  </si>
  <si>
    <t>材料期望验证</t>
  </si>
  <si>
    <t>钻石期望</t>
  </si>
  <si>
    <t>材料修正</t>
  </si>
  <si>
    <t>期望时间</t>
  </si>
  <si>
    <t>使用材料总量期望</t>
  </si>
  <si>
    <t>失败率</t>
  </si>
  <si>
    <t>灵石价值占比</t>
  </si>
  <si>
    <t>灵石数量</t>
  </si>
  <si>
    <t>实际材料</t>
  </si>
  <si>
    <t>灵石直升数量</t>
  </si>
  <si>
    <t>使用钻石总期望</t>
  </si>
  <si>
    <t>钻石/次</t>
  </si>
  <si>
    <t>[[6,1]]</t>
  </si>
  <si>
    <t>每天平均小时</t>
  </si>
  <si>
    <t>[[2,100]]</t>
  </si>
  <si>
    <t>每秒发射子弹</t>
  </si>
  <si>
    <t>[[3,5]]</t>
  </si>
  <si>
    <t>回报比</t>
  </si>
  <si>
    <t>[[0,10],[1,10]]</t>
  </si>
  <si>
    <t>炮倍</t>
  </si>
  <si>
    <t>[[4,1],[5,10]]</t>
  </si>
  <si>
    <t>每个耗X金币掉一个石头</t>
  </si>
  <si>
    <t>[[6,2]]</t>
  </si>
  <si>
    <t>[[3,10]]</t>
  </si>
  <si>
    <t>[[4,2],[5,20]]</t>
  </si>
  <si>
    <t>10000表示100%</t>
  </si>
  <si>
    <t>每秒子弹</t>
  </si>
  <si>
    <t>掉落1个石头消耗金币</t>
  </si>
  <si>
    <t>掉落40个需要时间/分钟</t>
  </si>
  <si>
    <t>最坏情况</t>
  </si>
  <si>
    <t>最多升级次数</t>
  </si>
  <si>
    <t>升级后剩余灵石</t>
  </si>
  <si>
    <t>剩余灵石总计</t>
  </si>
  <si>
    <t>灵石总消耗</t>
  </si>
  <si>
    <t>钻石总消耗</t>
  </si>
  <si>
    <t>材料数量</t>
  </si>
  <si>
    <t>钻石</t>
  </si>
  <si>
    <t>捕鱼小时数</t>
  </si>
  <si>
    <t>升满期望</t>
  </si>
  <si>
    <t>最小消耗</t>
  </si>
  <si>
    <t>最大消耗</t>
  </si>
  <si>
    <t>key-value</t>
  </si>
  <si>
    <t>key</t>
  </si>
  <si>
    <t>value</t>
  </si>
  <si>
    <t>参数名称</t>
  </si>
  <si>
    <t>参数值，可以是各种数据类型的数字或字符串，程序来转化，一般都是值，不能填小数</t>
  </si>
  <si>
    <t>备注</t>
  </si>
  <si>
    <t>BulletsPerSecond</t>
  </si>
  <si>
    <t>每秒发射子弹数量（未生效）</t>
  </si>
  <si>
    <t>BulletV0</t>
  </si>
  <si>
    <t>子弹速度（标准1280*720，只在x或y轴移动的）</t>
  </si>
  <si>
    <t>BulletV0Per</t>
  </si>
  <si>
    <t>龙鲸武器第1阶段速度比例，在标准速度下的比例</t>
  </si>
  <si>
    <t>BulletV0DownPer</t>
  </si>
  <si>
    <t>龙鲸第2阶段速度，每帧衰减比例，1s60帧</t>
  </si>
  <si>
    <t>freeFire</t>
  </si>
  <si>
    <t>1,2</t>
  </si>
  <si>
    <t>冰海精灵免费开火能寄存的房间</t>
  </si>
  <si>
    <t>freeFireHz</t>
  </si>
  <si>
    <t>9</t>
  </si>
  <si>
    <t>冰海精灵期间开火频率，1秒钟N发子弹</t>
  </si>
  <si>
    <t>xuanlongjing</t>
  </si>
  <si>
    <t>3,4,6</t>
  </si>
  <si>
    <t>玄龙鲸鱼能寄存的房间</t>
  </si>
  <si>
    <t>CompenGold_UpLimit</t>
  </si>
  <si>
    <t>100000</t>
  </si>
  <si>
    <t>首充306对应的</t>
  </si>
  <si>
    <t>发财金上限</t>
  </si>
  <si>
    <r>
      <rPr>
        <b/>
        <sz val="11"/>
        <color theme="1"/>
        <rFont val="微软雅黑"/>
        <family val="2"/>
        <charset val="134"/>
      </rPr>
      <t>发财金G</t>
    </r>
    <r>
      <rPr>
        <sz val="11"/>
        <color theme="1"/>
        <rFont val="微软雅黑"/>
        <family val="2"/>
        <charset val="134"/>
      </rPr>
      <t>=A+MIN(UpLimit,B+当前解锁最高炮倍率*C)</t>
    </r>
  </si>
  <si>
    <t>CompenGold_B</t>
  </si>
  <si>
    <t>B表示发财金系数常量，暂定1000，填表控制</t>
  </si>
  <si>
    <t>A表示当前vip（从vip0开始到vip9）对应的发财金提升值，填表控制</t>
  </si>
  <si>
    <t>CompenGold_C</t>
  </si>
  <si>
    <t>0</t>
  </si>
  <si>
    <t>C表示炮倍率的乘法系数，暂定20，填表控制，</t>
  </si>
  <si>
    <t>VIP X</t>
  </si>
  <si>
    <t>A</t>
  </si>
  <si>
    <t>炮倍率档位</t>
  </si>
  <si>
    <t>金币</t>
  </si>
  <si>
    <t>CompenGold_308</t>
  </si>
  <si>
    <t>50000</t>
  </si>
  <si>
    <t>首充308、309对应的</t>
  </si>
  <si>
    <r>
      <rPr>
        <sz val="11"/>
        <color theme="1"/>
        <rFont val="微软雅黑"/>
        <family val="2"/>
        <charset val="134"/>
      </rPr>
      <t>发财金基础值，</t>
    </r>
    <r>
      <rPr>
        <b/>
        <sz val="11"/>
        <color theme="1"/>
        <rFont val="微软雅黑"/>
        <family val="2"/>
        <charset val="134"/>
      </rPr>
      <t>发财金G</t>
    </r>
    <r>
      <rPr>
        <sz val="11"/>
        <color theme="1"/>
        <rFont val="微软雅黑"/>
        <family val="2"/>
        <charset val="134"/>
      </rPr>
      <t>=基础值*贵族等级对应的倍数</t>
    </r>
  </si>
  <si>
    <t>Mission_Offer_Interval_limitfire</t>
  </si>
  <si>
    <t>300</t>
  </si>
  <si>
    <r>
      <rPr>
        <sz val="11"/>
        <color theme="1"/>
        <rFont val="微软雅黑"/>
        <family val="2"/>
        <charset val="134"/>
      </rPr>
      <t>按照时间间隔出现的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，需要的房间开炮次数</t>
    </r>
  </si>
  <si>
    <t>Mission_Offer_Interval</t>
  </si>
  <si>
    <t>720</t>
  </si>
  <si>
    <r>
      <rPr>
        <sz val="11"/>
        <color theme="1"/>
        <rFont val="微软雅黑"/>
        <family val="2"/>
        <charset val="134"/>
      </rPr>
      <t>按照时间间隔出现的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，需要的时间间隔/秒</t>
    </r>
  </si>
  <si>
    <t>Mission_Offer_FireTimes</t>
  </si>
  <si>
    <t>7500</t>
  </si>
  <si>
    <r>
      <rPr>
        <sz val="11"/>
        <color theme="1"/>
        <rFont val="微软雅黑"/>
        <family val="2"/>
        <charset val="134"/>
      </rPr>
      <t>按照房间开炮总次数出现的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，需要的开炮总次数</t>
    </r>
  </si>
  <si>
    <t>weaponEnergy</t>
  </si>
  <si>
    <t>武器的初始能量=weaponEnergy/10000</t>
  </si>
  <si>
    <t>weaponEnerg4</t>
  </si>
  <si>
    <t>经典场第4个房间默认能量</t>
  </si>
  <si>
    <t>weaponEnerglw</t>
  </si>
  <si>
    <t>龙王专场默认能量</t>
  </si>
  <si>
    <t>weaponEnergyjjc</t>
  </si>
  <si>
    <t>9550</t>
  </si>
  <si>
    <t>竞技场武器的初始能量=weaponEnergyjjc/10000</t>
  </si>
  <si>
    <t>kingMultiple</t>
  </si>
  <si>
    <t>国王的悬赏转盘奖励倍数</t>
  </si>
  <si>
    <t>gameCardMax</t>
  </si>
  <si>
    <t>500000</t>
  </si>
  <si>
    <t>小游戏卡牌的倍率临界值，用来校验下次是否掉落小游戏卡牌的</t>
  </si>
  <si>
    <t>gameEndfishPro</t>
  </si>
  <si>
    <t>3500</t>
  </si>
  <si>
    <t>小游戏结束后，有概率出海豚，该值/10000</t>
  </si>
  <si>
    <t>userHeadImage</t>
  </si>
  <si>
    <t>ic_tx_01,ic_tx_02,ic_tx_03,ic_tx_04,ic_tx_05,ic_tx_06,ic_tx_07,ic_tx_08</t>
  </si>
  <si>
    <t>用户头像（为了节省配置，就放在这里拼接一个字符串了）</t>
  </si>
  <si>
    <t>BlessNeedElves</t>
  </si>
  <si>
    <t>5,10</t>
  </si>
  <si>
    <t>月神赐福需要的小精灵数量</t>
  </si>
  <si>
    <t>pikaqiuBaodi</t>
  </si>
  <si>
    <r>
      <rPr>
        <sz val="11"/>
        <color theme="1"/>
        <rFont val="微软雅黑"/>
        <family val="2"/>
        <charset val="134"/>
      </rPr>
      <t>皮卡丘闪电保底值，</t>
    </r>
    <r>
      <rPr>
        <sz val="11"/>
        <color rgb="FFFF0000"/>
        <rFont val="微软雅黑"/>
        <family val="2"/>
        <charset val="134"/>
      </rPr>
      <t>算闪电能量时需要闪电鱼value减去该值</t>
    </r>
    <r>
      <rPr>
        <b/>
        <sz val="11"/>
        <color rgb="FFFF0000"/>
        <rFont val="微软雅黑"/>
        <family val="2"/>
        <charset val="134"/>
      </rPr>
      <t>(暂时去掉)</t>
    </r>
  </si>
  <si>
    <t>zhadanFishRangeC</t>
  </si>
  <si>
    <t>9000,11000</t>
  </si>
  <si>
    <t>暂时废弃</t>
  </si>
  <si>
    <r>
      <rPr>
        <sz val="11"/>
        <color theme="1"/>
        <rFont val="微软雅黑"/>
        <family val="2"/>
        <charset val="134"/>
      </rPr>
      <t>炸弹蟹、闪电鱼分值浮动范围9000，表示0.9</t>
    </r>
    <r>
      <rPr>
        <sz val="11"/>
        <color rgb="FFFF0000"/>
        <rFont val="微软雅黑"/>
        <family val="2"/>
        <charset val="134"/>
      </rPr>
      <t>(暂时是写死的,待调整时拆开)</t>
    </r>
  </si>
  <si>
    <t>aishaSkillBaodi</t>
  </si>
  <si>
    <t>50,75</t>
  </si>
  <si>
    <r>
      <rPr>
        <sz val="11"/>
        <color theme="1"/>
        <rFont val="微软雅黑"/>
        <family val="2"/>
        <charset val="134"/>
      </rPr>
      <t>艾莎技能保底值，</t>
    </r>
    <r>
      <rPr>
        <sz val="11"/>
        <color rgb="FFFF0000"/>
        <rFont val="微软雅黑"/>
        <family val="2"/>
        <charset val="134"/>
      </rPr>
      <t>算闪电能量时需要技能value减去该值</t>
    </r>
  </si>
  <si>
    <t>aishaSkillValue</t>
  </si>
  <si>
    <t>200,300</t>
  </si>
  <si>
    <t>艾莎的技能value</t>
  </si>
  <si>
    <r>
      <rPr>
        <b/>
        <sz val="11"/>
        <color rgb="FF7030A0"/>
        <rFont val="微软雅黑"/>
        <family val="2"/>
        <charset val="134"/>
      </rPr>
      <t>longjing</t>
    </r>
    <r>
      <rPr>
        <b/>
        <sz val="11"/>
        <color rgb="FF7030A0"/>
        <rFont val="微软雅黑"/>
        <family val="2"/>
        <charset val="134"/>
      </rPr>
      <t>Score</t>
    </r>
  </si>
  <si>
    <t>裂海玄龙鲸score</t>
  </si>
  <si>
    <t>longjingE1st</t>
  </si>
  <si>
    <t>350</t>
  </si>
  <si>
    <t>裂海玄龙鲸第一阶段最大能量</t>
  </si>
  <si>
    <t>longjingTime1st</t>
  </si>
  <si>
    <t>15</t>
  </si>
  <si>
    <t>裂海玄龙鲸第一阶段最大持续时间</t>
  </si>
  <si>
    <t>longjingBaodi</t>
  </si>
  <si>
    <t>50</t>
  </si>
  <si>
    <t>裂海玄龙鲸保底值</t>
  </si>
  <si>
    <t>BHjinglingScore</t>
  </si>
  <si>
    <t>冰海精灵boss分值</t>
  </si>
  <si>
    <t>BHjinglingIndex</t>
  </si>
  <si>
    <t>[[10,10,1,150],[10,10,2,200],[10,10,3,250]]</t>
  </si>
  <si>
    <t>冰海精灵阶段对应得[时间/秒，增加时间上限，倍数，能量（能量读取特殊武器表中）]</t>
  </si>
  <si>
    <t>qiantingzhaoziValue</t>
  </si>
  <si>
    <t>80</t>
  </si>
  <si>
    <t>潜艇罩子的积分</t>
  </si>
  <si>
    <t>qiantingBoxScore</t>
  </si>
  <si>
    <t>20</t>
  </si>
  <si>
    <t>潜艇宝箱的value，与分值score一样</t>
  </si>
  <si>
    <t>龙舟</t>
  </si>
  <si>
    <t>初级Hp</t>
  </si>
  <si>
    <t>中级Hp</t>
  </si>
  <si>
    <t>高级Hp</t>
  </si>
  <si>
    <t>longzhouScore</t>
  </si>
  <si>
    <t>龙舟第1、2、3阶段score</t>
  </si>
  <si>
    <t>longzhouHP</t>
  </si>
  <si>
    <t>25,33</t>
  </si>
  <si>
    <t>龙舟前两个阶段血量占总血量百分比（25表示25%），最后结果向下取整10万，第3阶段为总血量-前两个阶段血量</t>
  </si>
  <si>
    <t>longzhouST</t>
  </si>
  <si>
    <t>龙舟标准时间</t>
  </si>
  <si>
    <t>longzhouZuanPer</t>
  </si>
  <si>
    <t>第2阶段概率掉落的钻石占score比例，500表示5%，分母为10000</t>
  </si>
  <si>
    <t>longzhouFukaPer</t>
  </si>
  <si>
    <t>第3阶段概率掉落的福卡占score比例，福卡掉落走捕鱼掉落池子，当达到上限后per=0</t>
  </si>
  <si>
    <t>BonusNeedDamage</t>
  </si>
  <si>
    <t>龙舟赛额外奖励需达到的伤害：2000,每个房间都一样</t>
  </si>
  <si>
    <t>longguiFanbei</t>
  </si>
  <si>
    <t>3</t>
  </si>
  <si>
    <t>财神每次翻倍时间/s，用来控制boss播放led的延时时间</t>
  </si>
  <si>
    <r>
      <rPr>
        <sz val="11"/>
        <color theme="1"/>
        <rFont val="微软雅黑"/>
        <family val="2"/>
        <charset val="134"/>
      </rPr>
      <t>w</t>
    </r>
    <r>
      <rPr>
        <sz val="11"/>
        <color theme="1"/>
        <rFont val="微软雅黑"/>
        <family val="2"/>
        <charset val="134"/>
      </rPr>
      <t>useshenniu</t>
    </r>
    <r>
      <rPr>
        <sz val="11"/>
        <color theme="1"/>
        <rFont val="微软雅黑"/>
        <family val="2"/>
        <charset val="134"/>
      </rPr>
      <t>Fanbei</t>
    </r>
  </si>
  <si>
    <t>2560</t>
  </si>
  <si>
    <t>五色神牛每次翻倍时间/ms，用来控制boss播放led的延时时间，毫秒 1000毫秒改1秒</t>
  </si>
  <si>
    <t>jubaopenFanbei</t>
  </si>
  <si>
    <t>14</t>
  </si>
  <si>
    <t>聚宝盆翻倍总时间/s，用来控制聚宝盆播放led的延时时间</t>
  </si>
  <si>
    <t>duobaodaorenFanbei</t>
  </si>
  <si>
    <t>3560</t>
  </si>
  <si>
    <t>多宝道人每次翻倍时间/ms，用来控制boss播放led的延时时间，毫秒 1000毫秒改1秒</t>
  </si>
  <si>
    <t>lzTrackLeave</t>
  </si>
  <si>
    <t>龙舟及福卡争夺赛相关track快速游出屏幕需要时间/秒</t>
  </si>
  <si>
    <t>initItems</t>
  </si>
  <si>
    <t>1|2|10000,1|1|1,2|1001|2,2|1002|2,2|1004|1</t>
  </si>
  <si>
    <t>玩家初始数据，启航礼包：福卡、锁定、金币</t>
  </si>
  <si>
    <t>改为乐乐：金币钻石锁定冰冻召唤</t>
  </si>
  <si>
    <t>initItems_iostishen</t>
  </si>
  <si>
    <t>2|1001|2,2|1002|2,1|2|5000</t>
  </si>
  <si>
    <t>ios提审状态下玩家初始数据，启航礼包：冰冻、锁定、金币</t>
  </si>
  <si>
    <t>initItems_show</t>
  </si>
  <si>
    <t>1</t>
  </si>
  <si>
    <t>玩家初始数据，启航礼包：哪个物品需要提示贵重物品,1表示第1个物品为贵重物品,"1,3"表示为第1和第3个物品为贵重物品</t>
  </si>
  <si>
    <t>shopFreeGoldCD</t>
  </si>
  <si>
    <t>商城金币页签-免费礼包冷却时间/分钟</t>
  </si>
  <si>
    <t>shopFreeDiamondCD</t>
  </si>
  <si>
    <t>商城钻石页签-免费礼包冷却时间/分钟</t>
  </si>
  <si>
    <t>globalMailInItem</t>
  </si>
  <si>
    <r>
      <rPr>
        <sz val="11"/>
        <color theme="1"/>
        <rFont val="微软雅黑"/>
        <family val="2"/>
        <charset val="134"/>
      </rPr>
      <t>全局系统邮件有效期/天（</t>
    </r>
    <r>
      <rPr>
        <sz val="11"/>
        <color rgb="FFFF0000"/>
        <rFont val="微软雅黑"/>
        <family val="2"/>
        <charset val="134"/>
      </rPr>
      <t>有</t>
    </r>
    <r>
      <rPr>
        <sz val="11"/>
        <color theme="1"/>
        <rFont val="微软雅黑"/>
        <family val="2"/>
        <charset val="134"/>
      </rPr>
      <t>附件的）</t>
    </r>
  </si>
  <si>
    <t>globalMailNothing</t>
  </si>
  <si>
    <t>全局系统邮件有效期/天（无附件的）</t>
  </si>
  <si>
    <t>otherMailInItem</t>
  </si>
  <si>
    <t>其他系统邮件有效期/天（有附件的）</t>
  </si>
  <si>
    <t>otherMailNothing</t>
  </si>
  <si>
    <t>其他系统邮件有效期/天（无附件的）</t>
  </si>
  <si>
    <t>ziDan_kuangBao1</t>
  </si>
  <si>
    <t>0,45,20,20</t>
  </si>
  <si>
    <t>狂暴1级子弹的碰撞区</t>
  </si>
  <si>
    <t>ziDan_kuangBao2</t>
  </si>
  <si>
    <t>狂暴2级子弹的碰撞区</t>
  </si>
  <si>
    <t>ziDan_kuangBao3</t>
  </si>
  <si>
    <t>狂暴3级子弹的碰撞区</t>
  </si>
  <si>
    <t>arenaOpenTime</t>
  </si>
  <si>
    <t>00:00:00</t>
  </si>
  <si>
    <r>
      <rPr>
        <sz val="11"/>
        <color theme="1"/>
        <rFont val="微软雅黑"/>
        <family val="2"/>
        <charset val="134"/>
      </rPr>
      <t>竞技场开启时间,</t>
    </r>
    <r>
      <rPr>
        <sz val="11"/>
        <color rgb="FFFF0000"/>
        <rFont val="微软雅黑"/>
        <family val="2"/>
        <charset val="134"/>
      </rPr>
      <t>改时间要跟服务器说一下</t>
    </r>
  </si>
  <si>
    <t>arenaDeadLine</t>
  </si>
  <si>
    <t>23:00:00</t>
  </si>
  <si>
    <r>
      <rPr>
        <sz val="11"/>
        <color theme="1"/>
        <rFont val="微软雅黑"/>
        <family val="2"/>
        <charset val="134"/>
      </rPr>
      <t>竞技场报名截止时间,</t>
    </r>
    <r>
      <rPr>
        <sz val="11"/>
        <color rgb="FFFF0000"/>
        <rFont val="微软雅黑"/>
        <family val="2"/>
        <charset val="134"/>
      </rPr>
      <t>改时间要跟服务器说一下</t>
    </r>
  </si>
  <si>
    <t>arenaCloseTime</t>
  </si>
  <si>
    <t>23:30:00</t>
  </si>
  <si>
    <r>
      <rPr>
        <sz val="11"/>
        <color theme="1"/>
        <rFont val="微软雅黑"/>
        <family val="2"/>
        <charset val="134"/>
      </rPr>
      <t>竞技场结束时间,</t>
    </r>
    <r>
      <rPr>
        <sz val="11"/>
        <color rgb="FFFF0000"/>
        <rFont val="微软雅黑"/>
        <family val="2"/>
        <charset val="134"/>
      </rPr>
      <t>改时间要跟服务器说一下</t>
    </r>
  </si>
  <si>
    <t>Day_Ranking_RewardTime</t>
  </si>
  <si>
    <t>24:00:00</t>
  </si>
  <si>
    <r>
      <rPr>
        <sz val="11"/>
        <color theme="1"/>
        <rFont val="微软雅黑"/>
        <family val="2"/>
        <charset val="134"/>
      </rPr>
      <t>竞技场日排行奖励发放时间,</t>
    </r>
    <r>
      <rPr>
        <sz val="11"/>
        <color rgb="FFFF0000"/>
        <rFont val="微软雅黑"/>
        <family val="2"/>
        <charset val="134"/>
      </rPr>
      <t>改时间要跟服务器说一下</t>
    </r>
  </si>
  <si>
    <t>Week_Ranking_RewardTime</t>
  </si>
  <si>
    <t>09:00:00</t>
  </si>
  <si>
    <r>
      <rPr>
        <sz val="11"/>
        <color theme="1"/>
        <rFont val="微软雅黑"/>
        <family val="2"/>
        <charset val="134"/>
      </rPr>
      <t>竞技场周冠军奖励发放时间，每周一早上9点,</t>
    </r>
    <r>
      <rPr>
        <sz val="11"/>
        <color rgb="FFFF0000"/>
        <rFont val="微软雅黑"/>
        <family val="2"/>
        <charset val="134"/>
      </rPr>
      <t>改时间要跟服务器说一下</t>
    </r>
  </si>
  <si>
    <t>FirstArenaDiamond</t>
  </si>
  <si>
    <t>[0,2,5,10,15,20,30]</t>
  </si>
  <si>
    <t>进入竞技场消耗钻石，次数对应的消耗，最后一个值表示后续都是这个消耗值</t>
  </si>
  <si>
    <t>[0,10,20,30,50,100,200,300,400,500,600]</t>
  </si>
  <si>
    <t>ArenaDiamond_A</t>
  </si>
  <si>
    <t>废弃</t>
  </si>
  <si>
    <t>(废弃)A再次进入竞技场的消耗钻石系数，暂定2，填表控制</t>
  </si>
  <si>
    <r>
      <rPr>
        <b/>
        <sz val="11"/>
        <color theme="1"/>
        <rFont val="微软雅黑"/>
        <family val="2"/>
        <charset val="134"/>
      </rPr>
      <t>竞技场进入钻石数量=MIN（A</t>
    </r>
    <r>
      <rPr>
        <b/>
        <vertAlign val="superscript"/>
        <sz val="11"/>
        <color theme="1"/>
        <rFont val="微软雅黑"/>
        <family val="2"/>
        <charset val="134"/>
      </rPr>
      <t>(n+B)</t>
    </r>
    <r>
      <rPr>
        <b/>
        <sz val="11"/>
        <color theme="1"/>
        <rFont val="微软雅黑"/>
        <family val="2"/>
        <charset val="134"/>
      </rPr>
      <t>,C）（n≥2）</t>
    </r>
  </si>
  <si>
    <t>潜艇频率验算</t>
  </si>
  <si>
    <t>ArenaDiamond_B</t>
  </si>
  <si>
    <t>(废弃)B再次进入竞技场的消耗钻石系数，暂定-2，填表控制</t>
  </si>
  <si>
    <t>ArenaDiamond_C</t>
  </si>
  <si>
    <t>(废弃)C再次进入竞技场的消耗钻石上限</t>
  </si>
  <si>
    <t>ArenaUseBulletNum</t>
  </si>
  <si>
    <t>1400,700</t>
  </si>
  <si>
    <t>竞技场任务触发需消耗的子弹数量</t>
  </si>
  <si>
    <t>Violent2OpenVip</t>
  </si>
  <si>
    <r>
      <rPr>
        <sz val="11"/>
        <color theme="1"/>
        <rFont val="微软雅黑"/>
        <family val="2"/>
        <charset val="134"/>
      </rPr>
      <t>狂暴2级开启需要的VIP等级（这个参数和vip表的参数对应，只是前段用到vip表修改记得在这里修改）</t>
    </r>
    <r>
      <rPr>
        <sz val="11"/>
        <color rgb="FFFF0000"/>
        <rFont val="微软雅黑"/>
        <family val="2"/>
        <charset val="134"/>
      </rPr>
      <t>暂时没用到</t>
    </r>
  </si>
  <si>
    <t>Arena_TaskMark</t>
  </si>
  <si>
    <t>5000,7500,10000</t>
  </si>
  <si>
    <t>竞技场每天首次完成竞技任务需要的积分；x,y,z表示3个档位</t>
  </si>
  <si>
    <t>Arena_TaskReward</t>
  </si>
  <si>
    <r>
      <rPr>
        <b/>
        <sz val="11"/>
        <color rgb="FFFF0000"/>
        <rFont val="微软雅黑"/>
        <family val="2"/>
        <charset val="134"/>
      </rPr>
      <t>[['1|1|10'],['1|1|20']</t>
    </r>
    <r>
      <rPr>
        <sz val="11"/>
        <color theme="1"/>
        <rFont val="微软雅黑"/>
        <family val="2"/>
        <charset val="134"/>
      </rPr>
      <t>,['1|2|</t>
    </r>
    <r>
      <rPr>
        <b/>
        <sz val="11"/>
        <color theme="1"/>
        <rFont val="微软雅黑"/>
        <family val="2"/>
        <charset val="134"/>
      </rPr>
      <t>500000</t>
    </r>
    <r>
      <rPr>
        <sz val="11"/>
        <color theme="1"/>
        <rFont val="微软雅黑"/>
        <family val="2"/>
        <charset val="134"/>
      </rPr>
      <t>']]</t>
    </r>
  </si>
  <si>
    <t>竞技场每天首次完成竞技任务奖励的道具：[],[]两个档位对应的奖励</t>
  </si>
  <si>
    <t>ArenaBullet</t>
  </si>
  <si>
    <t>竞技场参赛子弹限制</t>
  </si>
  <si>
    <t>ArenaPhaseN</t>
  </si>
  <si>
    <t>[[1500,1],[1000,2],[500,3]]</t>
  </si>
  <si>
    <t>竞技场每个阶段子弹数量及对应的倍数</t>
  </si>
  <si>
    <t>ArenakuangbaoP</t>
  </si>
  <si>
    <t>80,60,50</t>
  </si>
  <si>
    <t>竞技场狂暴积分百分比</t>
  </si>
  <si>
    <t>ArenaAdjustGunGrade</t>
  </si>
  <si>
    <t>10000</t>
  </si>
  <si>
    <t>竞技场炮倍率大于10000可以手动调整炮倍率，小于等于1000不能手动调整炮倍率</t>
  </si>
  <si>
    <t>Bill_1</t>
  </si>
  <si>
    <t>60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</si>
  <si>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当前比赛结束且距离下一场比赛还有30分钟时：距下一场【话费争夺赛】开始\n还有:30:00，</t>
    </r>
  </si>
  <si>
    <t>Bill_2</t>
  </si>
  <si>
    <t>5,3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</si>
  <si>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在渔场外（大厅中），每场话费赛开始还有5分钟、3分钟、开始时，跑马灯各提示一次:距下一场30（300）倍房的【话费争夺赛】还有5分钟开始，请各位精灵捕手做好准备，加油哦</t>
    </r>
  </si>
  <si>
    <t>Bill_3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</si>
  <si>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渔场中开赛前提示，距开始还有5分钟，3分钟时，飘横幅提示“距【2元话费争夺赛】开赛还有n（5/3）分钟”</t>
    </r>
  </si>
  <si>
    <t>Bill_4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</si>
  <si>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渔场中开赛前提示，还有1分钟开始的时候，飘横幅提示“话费争夺赛马上就要开始了，请做好准备哟~”</t>
    </r>
  </si>
  <si>
    <t>Bill_5</t>
  </si>
  <si>
    <t>0,40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</si>
  <si>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本场30（300）倍房的【话费争夺赛】正式开始，请各位精灵捕手抓紧进入</t>
    </r>
  </si>
  <si>
    <t>Bill_6</t>
  </si>
  <si>
    <t>30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</si>
  <si>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进入渔场显示距下次比赛开启的剩余时间，提示时机：距离下场比赛还剩30分钟时</t>
    </r>
  </si>
  <si>
    <t>Bill_7</t>
  </si>
  <si>
    <t>5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</si>
  <si>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进入渔场后在距比赛开始前5分钟内每次退出都弹二次确认弹窗：“【话费争夺赛】马上就要开启了，真的要退出吗？”取消/确定</t>
    </r>
  </si>
  <si>
    <t>Bill_8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</si>
  <si>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距比赛结束1分钟内进入赛场的玩家不显示比赛相关内容</t>
    </r>
  </si>
  <si>
    <t>Bill_9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</si>
  <si>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比赛结束前提示，距比赛结束还有1分钟时，再次飘横幅提示【距离比赛结束还有1分钟，各位捕手不要松懈呀】</t>
    </r>
  </si>
  <si>
    <t>randomMin</t>
  </si>
  <si>
    <t>90</t>
  </si>
  <si>
    <t>随机数，=85/100</t>
  </si>
  <si>
    <r>
      <rPr>
        <b/>
        <sz val="10.5"/>
        <color theme="1"/>
        <rFont val="微软雅黑"/>
        <family val="2"/>
        <charset val="134"/>
      </rPr>
      <t>轰炸机金币获得G</t>
    </r>
    <r>
      <rPr>
        <sz val="10.5"/>
        <color theme="1"/>
        <rFont val="微软雅黑"/>
        <family val="2"/>
        <charset val="134"/>
      </rPr>
      <t>=int（等级系数*random（0.85,1.15）），</t>
    </r>
  </si>
  <si>
    <t>randomMax</t>
  </si>
  <si>
    <t>110</t>
  </si>
  <si>
    <r>
      <rPr>
        <sz val="10.5"/>
        <color rgb="FF333333"/>
        <rFont val="微软雅黑"/>
        <family val="2"/>
        <charset val="134"/>
      </rPr>
      <t>hongzhaji_C,Ⅰ、Ⅱ、Ⅲ、Ⅳ</t>
    </r>
    <r>
      <rPr>
        <sz val="10.5"/>
        <color theme="1"/>
        <rFont val="微软雅黑"/>
        <family val="2"/>
        <charset val="134"/>
      </rPr>
      <t>系数分别等于150000、250000、500000、1000000，可配置。</t>
    </r>
  </si>
  <si>
    <t>hongzhaji_C</t>
  </si>
  <si>
    <t>hongzhaji_Z</t>
  </si>
  <si>
    <t>4,6,8,10</t>
  </si>
  <si>
    <t>轰炸范围内鱼的最小数量保底，如果轰炸范围炸鱼数量小于这个值，则从范围外面找鱼</t>
  </si>
  <si>
    <t>hongzhaji_zidanNum</t>
  </si>
  <si>
    <t>6,8,10,12</t>
  </si>
  <si>
    <t>该等级轰炸机子弹数量</t>
  </si>
  <si>
    <t>zhenlongxia_P</t>
  </si>
  <si>
    <t>BOSS玩法，捕获真身龙虾的概率=zhenlongxia_P/100</t>
  </si>
  <si>
    <t>loadingStopTips</t>
  </si>
  <si>
    <t>10,20,30</t>
  </si>
  <si>
    <t>loading卡死弹出弹窗出现频率，第一次10s，第二次20s，后续的都是30s</t>
  </si>
  <si>
    <t>loadingStopRefresh</t>
  </si>
  <si>
    <t>12</t>
  </si>
  <si>
    <t>loading卡死刷新出现时机/单位秒</t>
  </si>
  <si>
    <t>Efire_lvN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</si>
  <si>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一、开火能量调整，玩家等级小于等于N时能量公式：E=min（A，默认E*（B+C*(fire_lvN-玩家等级)））</t>
    </r>
  </si>
  <si>
    <t>Efire_pochan_lvN</t>
  </si>
  <si>
    <t>7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</si>
  <si>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2、当玩家lvl小于等于N级时，若某次开火未能捕获将导致玩家破产，则该次开火必定捕获目标。</t>
    </r>
    <r>
      <rPr>
        <sz val="11"/>
        <color rgb="FFFF0000"/>
        <rFont val="微软雅黑"/>
        <family val="2"/>
        <charset val="134"/>
      </rPr>
      <t>玩家1级以上金币小于等于</t>
    </r>
    <r>
      <rPr>
        <b/>
        <sz val="11"/>
        <color rgb="FFFF0000"/>
        <rFont val="微软雅黑"/>
        <family val="2"/>
        <charset val="134"/>
      </rPr>
      <t>400</t>
    </r>
    <r>
      <rPr>
        <sz val="11"/>
        <color rgb="FFFF0000"/>
        <rFont val="微软雅黑"/>
        <family val="2"/>
        <charset val="134"/>
      </rPr>
      <t>必命中</t>
    </r>
  </si>
  <si>
    <t>Efire_A</t>
  </si>
  <si>
    <t>实际取值除以了10000</t>
  </si>
  <si>
    <t>Efire_B</t>
  </si>
  <si>
    <t>Efire_C</t>
  </si>
  <si>
    <t>Esuoding_A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</si>
  <si>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二、锁定能量调整，玩家等级小于等于N时能量公式：E= min(A,B/C/multiple+默认E)</t>
    </r>
  </si>
  <si>
    <t>Esuoding_B</t>
  </si>
  <si>
    <t>multiple当前玩家使用炮倍率</t>
  </si>
  <si>
    <t>Esuoding_C</t>
  </si>
  <si>
    <t>注：每天限2次，当玩家等级大于7级且玩家在触发过当天第一次破产后进行锁定时即可触发，中途切换武器倍率E跟随变化</t>
  </si>
  <si>
    <t>xiaoyouxi_minLv</t>
  </si>
  <si>
    <t>10</t>
  </si>
  <si>
    <t>三、小游戏卡牌：玩家使用武器小于等于N时，不掉小游戏，捕鱼按照不掉小游戏概率走</t>
  </si>
  <si>
    <t>xiaoyouxi_user_minLv</t>
  </si>
  <si>
    <t>服务器优化玩家命中体验效果处理,玩家等级大于等于8级</t>
  </si>
  <si>
    <t>xiaoyouxi_user_fireTime</t>
  </si>
  <si>
    <t>玩家本次房间内连续未命中开火次数</t>
  </si>
  <si>
    <t>xiaoyouxi_biDropLv</t>
  </si>
  <si>
    <t>当玩家等级等于10级，炮等级大于等于30时，若玩家从来没有掉落过小游戏卡片，则下次捕获鱼的时候必然掉落一次。</t>
  </si>
  <si>
    <t>xiaoyouxi_biDropPaoLv</t>
  </si>
  <si>
    <t>Rechange_Ratio</t>
  </si>
  <si>
    <t>200000</t>
  </si>
  <si>
    <t>四、充值,充值额度与充值池比例，1人民币=xxx金币</t>
  </si>
  <si>
    <t>ERechange_A</t>
  </si>
  <si>
    <t>2</t>
  </si>
  <si>
    <t>choujiang_huafeiquan</t>
  </si>
  <si>
    <t>[[120,1],[150,1.2],[180,1.3],[280,1.5]]</t>
  </si>
  <si>
    <t>五、抽奖,福卡价值变动,x,y：x表示当前福卡要求，y表示同金币价值的倍数，y=-1表示超过对应的x则不掉福卡</t>
  </si>
  <si>
    <t>Diamonds_lvN</t>
  </si>
  <si>
    <t>六、钻石调整，当玩家等级大于等于N时，钻石掉落衰减</t>
  </si>
  <si>
    <t>Diamonds_currentweapon</t>
  </si>
  <si>
    <t>玩家当前使用炮倍率折点(用于处理掉了的概率)</t>
  </si>
  <si>
    <t>Diamonds_A</t>
  </si>
  <si>
    <t>当前使用炮倍率小于折点时，P=默认p*（A/10000）*（当前使用炮倍率/min（500，已解锁的最高炮倍率））</t>
  </si>
  <si>
    <t>Diamonds_B</t>
  </si>
  <si>
    <t>当前使用炮倍率大于等于折点时，P=默认p*（B/10000）</t>
  </si>
  <si>
    <t>Diamonds_C</t>
  </si>
  <si>
    <t>P=默认p*0.034,0.034=340/10000</t>
  </si>
  <si>
    <t>Diamonds_unlockweapon</t>
  </si>
  <si>
    <t>unlockweapon：玩家已解锁的最高炮倍率</t>
  </si>
  <si>
    <t>itemDrop_lvN</t>
  </si>
  <si>
    <r>
      <rPr>
        <sz val="11"/>
        <color theme="1"/>
        <rFont val="微软雅黑"/>
        <family val="2"/>
        <charset val="134"/>
      </rPr>
      <t>七、</t>
    </r>
    <r>
      <rPr>
        <b/>
        <sz val="11"/>
        <color rgb="FFFF0000"/>
        <rFont val="微软雅黑"/>
        <family val="2"/>
        <charset val="134"/>
      </rPr>
      <t>（道具衰减干掉）</t>
    </r>
  </si>
  <si>
    <t>itemDrop_currentweapon</t>
  </si>
  <si>
    <t>itemDrop_A</t>
  </si>
  <si>
    <t>dropHongBao_minLv</t>
  </si>
  <si>
    <t>当玩家lv大于等于5级时，掉落红包</t>
  </si>
  <si>
    <t>dropHongBao_currentweapon</t>
  </si>
  <si>
    <t>P=默认p*（currentweapon/min（600，unlockweapon）），玩家当前使用炮倍率折点(用于处理掉了的概率)</t>
  </si>
  <si>
    <t>firstRecharge_Per</t>
  </si>
  <si>
    <t>5000</t>
  </si>
  <si>
    <t>首次充值返还福卡%（1福卡=0.1元），值=5000/10000</t>
  </si>
  <si>
    <t>Recharge_Per</t>
  </si>
  <si>
    <t>2500</t>
  </si>
  <si>
    <t>充值返还福卡%，值=2500/10000</t>
  </si>
  <si>
    <t>huafeiquanDrop_C</t>
  </si>
  <si>
    <t>捕鱼掉落福卡概率P=P0-[P0*（当前房间已掉落福卡/当前允许掉落的上限）]*C，P0=quanPro</t>
  </si>
  <si>
    <t>huafeiquanDrop_RechargeC</t>
  </si>
  <si>
    <t>充值影响捕鱼掉落福卡概率P=P0-[P0*（充值掉落数量/奖池上限）]*C，P0=quanProRecharge</t>
  </si>
  <si>
    <t>huafeiquanP0_A</t>
  </si>
  <si>
    <t>P=默认P0（见fish表）*（currentweapon/min（300，unlockweapon）），currentweapon为当前使用炮倍率，unlockweapon已解锁的炮倍率</t>
  </si>
  <si>
    <t>quanBili</t>
  </si>
  <si>
    <t>福卡显示，服务器：客户端=10</t>
  </si>
  <si>
    <t>quanValue</t>
  </si>
  <si>
    <t>[[0,5000,0.6],[5000,10000,0.8],[10000,15000,1],[15000,20000,1],[20000,25000,1.2],[25000,30000,1.4]]</t>
  </si>
  <si>
    <t>玩家持有福卡和金币价值之间的关系，未填写进来得范围，系数为1</t>
  </si>
  <si>
    <t>NumfishTime</t>
  </si>
  <si>
    <t>[[8,12],[17,23]]</t>
  </si>
  <si>
    <t>新手引导结束后，第8~12次捕获鱼和17~23次分别有概率掉落1次</t>
  </si>
  <si>
    <t>dropQuanPmax</t>
  </si>
  <si>
    <t>捕获鱼后掉落福卡概率上限</t>
  </si>
  <si>
    <t>shareEverday_TimesAfter</t>
  </si>
  <si>
    <t>每日分享次数达到N次后（不包含N次），分享有50%的概率分享失败(因不足4秒导致的分享失败不触发下次必成功)</t>
  </si>
  <si>
    <t>shareSucessNeedTime</t>
  </si>
  <si>
    <t>分享成功需要的停留时间/s</t>
  </si>
  <si>
    <t>shareTimesAfter_losePro</t>
  </si>
  <si>
    <t>N次后，分享失败的概率，概率=50/100</t>
  </si>
  <si>
    <t>shareFirst_reward</t>
  </si>
  <si>
    <t>1|1|20</t>
  </si>
  <si>
    <t>首次分享奖励</t>
  </si>
  <si>
    <t>videoFirst_reward</t>
  </si>
  <si>
    <t>首次看广告奖励</t>
  </si>
  <si>
    <t>shareBoss_paoLvMin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</si>
  <si>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，出现分享需要的炮倍率最低限制</t>
    </r>
  </si>
  <si>
    <t>shareBoss_timesLimit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</si>
  <si>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，出现分享的次数上限，计算的成功次数</t>
    </r>
  </si>
  <si>
    <t>shareBoss_pro0</t>
  </si>
  <si>
    <t>100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</si>
  <si>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，首次击杀BOSS出现分享的概率</t>
    </r>
  </si>
  <si>
    <t>shareBoss_pro1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</si>
  <si>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，如果点击分享后下次触发分享的概率</t>
    </r>
  </si>
  <si>
    <t>shareBoss_pro2</t>
  </si>
  <si>
    <t>玩家在BOSS模块中的分享，如果点击关闭后下次触发分享的概率</t>
  </si>
  <si>
    <t>shareBoss_rewardRange</t>
  </si>
  <si>
    <t>800,1200</t>
  </si>
  <si>
    <t>【炮倍率（击杀时的）*boss分值*随机系数（0.08~0.12）】,数据除以10000</t>
  </si>
  <si>
    <t>shareBoss_rewardPro</t>
  </si>
  <si>
    <t>1000</t>
  </si>
  <si>
    <r>
      <rPr>
        <sz val="11"/>
        <color theme="1"/>
        <rFont val="微软雅黑"/>
        <family val="2"/>
        <charset val="134"/>
      </rPr>
      <t>击杀boss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返回的概率，1表示10000分之1</t>
    </r>
  </si>
  <si>
    <t>shareBoss_rewardTimesLimit</t>
  </si>
  <si>
    <r>
      <rPr>
        <sz val="11"/>
        <color theme="1"/>
        <rFont val="微软雅黑"/>
        <family val="2"/>
        <charset val="134"/>
      </rPr>
      <t>击杀boss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返回奖励次数限制/每日，计算的成功次数</t>
    </r>
  </si>
  <si>
    <t>shareBroke_doublePro</t>
  </si>
  <si>
    <r>
      <rPr>
        <sz val="11"/>
        <color theme="1"/>
        <rFont val="微软雅黑"/>
        <family val="2"/>
        <charset val="134"/>
      </rPr>
      <t>破产后，</t>
    </r>
    <r>
      <rPr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触发双倍的概率20，表示概率=20/100</t>
    </r>
  </si>
  <si>
    <t>shareBroke_rewardTimesLimit</t>
  </si>
  <si>
    <t>999</t>
  </si>
  <si>
    <r>
      <rPr>
        <sz val="11"/>
        <color theme="1"/>
        <rFont val="微软雅黑"/>
        <family val="2"/>
        <charset val="134"/>
      </rPr>
      <t>破产</t>
    </r>
    <r>
      <rPr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成功双倍奖励次数限制/每日</t>
    </r>
  </si>
  <si>
    <t>shareBroke_shareAddTimes</t>
  </si>
  <si>
    <r>
      <rPr>
        <sz val="11"/>
        <color theme="1"/>
        <rFont val="微软雅黑"/>
        <family val="2"/>
        <charset val="134"/>
      </rPr>
      <t>破产中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获得的额外次数，其中N次是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成功所得,N&lt;=次数上限</t>
    </r>
  </si>
  <si>
    <t>shareDraw_timesLimit</t>
  </si>
  <si>
    <r>
      <rPr>
        <sz val="11"/>
        <color theme="1"/>
        <rFont val="微软雅黑"/>
        <family val="2"/>
        <charset val="134"/>
      </rPr>
      <t>玩家在抽奖模块中的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成功，出现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的次数上限</t>
    </r>
  </si>
  <si>
    <t>shareDraw_rewardTimesLimit</t>
  </si>
  <si>
    <r>
      <rPr>
        <sz val="11"/>
        <color rgb="FFFF0000"/>
        <rFont val="微软雅黑"/>
        <family val="2"/>
        <charset val="134"/>
      </rPr>
      <t>抽奖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rgb="FFFF0000"/>
        <rFont val="微软雅黑"/>
        <family val="2"/>
        <charset val="134"/>
      </rPr>
      <t>获得奖励的次数限制</t>
    </r>
  </si>
  <si>
    <t>fuli_collectReward</t>
  </si>
  <si>
    <t>1|2|500,2|1001|2,2|1002|2</t>
  </si>
  <si>
    <t>收藏有礼，从微信小程序启动游戏（微信小游戏暂时不用，用在大通服的360里了）</t>
  </si>
  <si>
    <t>billTideLimit</t>
  </si>
  <si>
    <r>
      <rPr>
        <sz val="11"/>
        <color theme="1"/>
        <rFont val="微软雅黑"/>
        <family val="2"/>
        <charset val="134"/>
      </rPr>
      <t>话费鱼潮每天全服的福卡产出上限</t>
    </r>
    <r>
      <rPr>
        <sz val="11"/>
        <color rgb="FFFF0000"/>
        <rFont val="微软雅黑"/>
        <family val="2"/>
        <charset val="134"/>
      </rPr>
      <t>（废弃）</t>
    </r>
  </si>
  <si>
    <t>ownBillLimit</t>
  </si>
  <si>
    <t>150</t>
  </si>
  <si>
    <r>
      <rPr>
        <b/>
        <sz val="11"/>
        <color rgb="FFFF0000"/>
        <rFont val="微软雅黑"/>
        <family val="2"/>
        <charset val="134"/>
      </rPr>
      <t>（暂时废弃）</t>
    </r>
    <r>
      <rPr>
        <sz val="11"/>
        <color theme="1"/>
        <rFont val="微软雅黑"/>
        <family val="2"/>
        <charset val="134"/>
      </rPr>
      <t>玩家持有话费数量＞15元，则停止捕鱼和话费鱼潮掉落</t>
    </r>
  </si>
  <si>
    <t>dropProDecay</t>
  </si>
  <si>
    <t>[['2|1001|100',10],['2|1002|30',10],['2|1004|50',10]]</t>
  </si>
  <si>
    <r>
      <rPr>
        <b/>
        <sz val="11"/>
        <color rgb="FFFF0000"/>
        <rFont val="微软雅黑"/>
        <family val="2"/>
        <charset val="134"/>
      </rPr>
      <t>（暂时废弃）</t>
    </r>
    <r>
      <rPr>
        <sz val="11"/>
        <color theme="1"/>
        <rFont val="微软雅黑"/>
        <family val="2"/>
        <charset val="134"/>
      </rPr>
      <t>根据玩家持有锁定、冰冻、召唤数量，概率做衰减</t>
    </r>
  </si>
  <si>
    <t>FreeGoldAdvTimes</t>
  </si>
  <si>
    <t>每天看广告免费金币次数</t>
  </si>
  <si>
    <t>FreeGoldProVIPN</t>
  </si>
  <si>
    <t>VIPN及其以后概率发生变化</t>
  </si>
  <si>
    <t>FreeGoldNoAdvVIPN</t>
  </si>
  <si>
    <t>VIP3免广告，客户端用到的数据</t>
  </si>
  <si>
    <t>quanPro1_lv</t>
  </si>
  <si>
    <t>用户等级&lt;=9时，福卡掉落概率</t>
  </si>
  <si>
    <t>paoUnlock_xiaoshou</t>
  </si>
  <si>
    <r>
      <rPr>
        <sz val="11"/>
        <color theme="1"/>
        <rFont val="微软雅黑"/>
        <family val="2"/>
        <charset val="134"/>
      </rPr>
      <t>解锁炮倍率时小手提示出现时间/s,客户端用，</t>
    </r>
    <r>
      <rPr>
        <sz val="11"/>
        <color rgb="FFFF0000"/>
        <rFont val="微软雅黑"/>
        <family val="2"/>
        <charset val="134"/>
      </rPr>
      <t>（最小只能填写5，弹板的调度时间是5s）</t>
    </r>
  </si>
  <si>
    <t>paoUnlock_meirenyu</t>
  </si>
  <si>
    <t>30,90</t>
  </si>
  <si>
    <r>
      <rPr>
        <sz val="11"/>
        <color theme="1"/>
        <rFont val="微软雅黑"/>
        <family val="2"/>
        <charset val="134"/>
      </rPr>
      <t>解锁炮倍率时美人鱼提示出现时间/s,客户端用</t>
    </r>
    <r>
      <rPr>
        <sz val="11"/>
        <color rgb="FFFF0000"/>
        <rFont val="微软雅黑"/>
        <family val="2"/>
        <charset val="134"/>
      </rPr>
      <t>（最小只能填写5，展开弹板的调度时间是5s）</t>
    </r>
  </si>
  <si>
    <t>zidongFireOpenlimit</t>
  </si>
  <si>
    <t>自动开火免费体验等级</t>
  </si>
  <si>
    <t>FreeGoldFowerlimit</t>
  </si>
  <si>
    <t>【免费金币】模块的最低等级限制（即到表中等级才解锁该功能）</t>
  </si>
  <si>
    <t>vowOpenlimit</t>
  </si>
  <si>
    <t>4</t>
  </si>
  <si>
    <t>财神赐福开启等级（明日礼）</t>
  </si>
  <si>
    <t>fuliOpenlimit</t>
  </si>
  <si>
    <t>福利显示的开启等级</t>
  </si>
  <si>
    <t>rankShowlimit</t>
  </si>
  <si>
    <t>排行榜引导的开启等级</t>
  </si>
  <si>
    <t>luckyGoldlimit</t>
  </si>
  <si>
    <t>6</t>
  </si>
  <si>
    <t>幸运金币（幸运抽抽乐）开启等级</t>
  </si>
  <si>
    <t>RMBcardGoldlessEx</t>
  </si>
  <si>
    <r>
      <rPr>
        <b/>
        <sz val="11"/>
        <color theme="1"/>
        <rFont val="微软雅黑"/>
        <family val="2"/>
        <charset val="134"/>
      </rPr>
      <t>卡牌大放送,小游戏卡牌获得金币</t>
    </r>
    <r>
      <rPr>
        <sz val="11"/>
        <color theme="1"/>
        <rFont val="微软雅黑"/>
        <family val="2"/>
        <charset val="134"/>
      </rPr>
      <t>低于平均值，则80%概率触发，概率=N/100</t>
    </r>
  </si>
  <si>
    <t>RMBcardGoldMoreEx</t>
  </si>
  <si>
    <r>
      <rPr>
        <b/>
        <sz val="11"/>
        <color theme="1"/>
        <rFont val="微软雅黑"/>
        <family val="2"/>
        <charset val="134"/>
      </rPr>
      <t>卡牌大放送,小游戏卡牌获得金币</t>
    </r>
    <r>
      <rPr>
        <sz val="11"/>
        <color theme="1"/>
        <rFont val="微软雅黑"/>
        <family val="2"/>
        <charset val="134"/>
      </rPr>
      <t>高于平均值则50%概率触发，概率=N/100</t>
    </r>
  </si>
  <si>
    <t>RMBcardTreasureBox</t>
  </si>
  <si>
    <r>
      <rPr>
        <b/>
        <sz val="11"/>
        <color theme="1"/>
        <rFont val="微软雅黑"/>
        <family val="2"/>
        <charset val="134"/>
      </rPr>
      <t>卡牌大放送,寻宝鱼小游戏</t>
    </r>
    <r>
      <rPr>
        <sz val="11"/>
        <color theme="1"/>
        <rFont val="微软雅黑"/>
        <family val="2"/>
        <charset val="134"/>
      </rPr>
      <t>前N次必出宝箱</t>
    </r>
  </si>
  <si>
    <t>RMBcardUnbuyShowTimes</t>
  </si>
  <si>
    <t>卡牌大放送,如果玩家有N次不买，则今日不再触发/天</t>
  </si>
  <si>
    <t>RMBBOSSBuyTimes</t>
  </si>
  <si>
    <t>喜从天降</t>
  </si>
  <si>
    <t>喜从天降,每日购买次数限制</t>
  </si>
  <si>
    <t>RMBBOSSAddShowTimes</t>
  </si>
  <si>
    <t>若触发后玩家有N次未购买则今日不在触发。</t>
  </si>
  <si>
    <t>RMBBOSSAddPro</t>
  </si>
  <si>
    <r>
      <rPr>
        <sz val="11"/>
        <color theme="1"/>
        <rFont val="微软雅黑"/>
        <family val="2"/>
        <charset val="134"/>
      </rPr>
      <t>玩家在没有</t>
    </r>
    <r>
      <rPr>
        <b/>
        <sz val="11"/>
        <color theme="1"/>
        <rFont val="微软雅黑"/>
        <family val="2"/>
        <charset val="134"/>
      </rPr>
      <t>喜从天降</t>
    </r>
    <r>
      <rPr>
        <sz val="11"/>
        <color theme="1"/>
        <rFont val="微软雅黑"/>
        <family val="2"/>
        <charset val="134"/>
      </rPr>
      <t>的情况下，如果本次概率为0则不增加，如果有概率时本次未触发，则下次触发的概率增加20%，概率=N/100</t>
    </r>
  </si>
  <si>
    <t>RMBjxBuyTimes</t>
  </si>
  <si>
    <t>惊喜礼包</t>
  </si>
  <si>
    <t>惊喜礼包,每日购买次数限制</t>
  </si>
  <si>
    <t>RMBjxAddShowTimes</t>
  </si>
  <si>
    <t>RMBPaoLvUpTimes</t>
  </si>
  <si>
    <t>依据升炮后的最大炮倍率触发，在升炮动画结束后，打开直升N炮界面（N为该充值档位能够直升的炮倍率的值，35倍开始配置），每天触发2次</t>
  </si>
  <si>
    <t>praiseTimes</t>
  </si>
  <si>
    <t>每天的点赞次数</t>
  </si>
  <si>
    <t>praiseAddMyGold</t>
  </si>
  <si>
    <t>500,1000</t>
  </si>
  <si>
    <t>我给别人点赞增加我的金币</t>
  </si>
  <si>
    <t>praiseAddOthPrest</t>
  </si>
  <si>
    <t>点赞增加对方的人气值</t>
  </si>
  <si>
    <t>chaiHongbaoTimes</t>
  </si>
  <si>
    <t>非周卡用户每天可以拆红包次数</t>
  </si>
  <si>
    <t>buyZhoucardAddTimes</t>
  </si>
  <si>
    <t>购买周卡可以提升每日上限，额外加5个</t>
  </si>
  <si>
    <t>buyYuecardAddTimes</t>
  </si>
  <si>
    <t>购买月卡可以提升每日上限，额外加10个</t>
  </si>
  <si>
    <t>daiChaiHongbaolimitNum</t>
  </si>
  <si>
    <t>玩家待拆红包终身累计上限为30个</t>
  </si>
  <si>
    <t>buyuDropHBTips</t>
  </si>
  <si>
    <t>1,3</t>
  </si>
  <si>
    <t>捕鱼掉落红包气泡和小手提示时机，在第1,3次掉落出现</t>
  </si>
  <si>
    <t>dropOrderOfHB</t>
  </si>
  <si>
    <t>1301,1302,1303,1304</t>
  </si>
  <si>
    <t>掉落红包的次序/天(目前是固定次序)，配置4个id表示就掉落4个</t>
  </si>
  <si>
    <t>dropHBMinLv</t>
  </si>
  <si>
    <t>dropHBProC</t>
  </si>
  <si>
    <t>600</t>
  </si>
  <si>
    <r>
      <rPr>
        <sz val="11"/>
        <color theme="1"/>
        <rFont val="微软雅黑"/>
        <family val="2"/>
        <charset val="134"/>
      </rPr>
      <t>红包掉落概率系数：&lt;</t>
    </r>
    <r>
      <rPr>
        <b/>
        <sz val="11"/>
        <color theme="1"/>
        <rFont val="微软雅黑"/>
        <family val="2"/>
        <charset val="134"/>
      </rPr>
      <t>600</t>
    </r>
    <r>
      <rPr>
        <sz val="11"/>
        <color theme="1"/>
        <rFont val="微软雅黑"/>
        <family val="2"/>
        <charset val="134"/>
      </rPr>
      <t>，P=默认p*（currentweapon/min（</t>
    </r>
    <r>
      <rPr>
        <b/>
        <sz val="11"/>
        <color theme="1"/>
        <rFont val="微软雅黑"/>
        <family val="2"/>
        <charset val="134"/>
      </rPr>
      <t>600</t>
    </r>
    <r>
      <rPr>
        <sz val="11"/>
        <color theme="1"/>
        <rFont val="微软雅黑"/>
        <family val="2"/>
        <charset val="134"/>
      </rPr>
      <t>，unlockweapon）），&gt;=600,p=默认p</t>
    </r>
  </si>
  <si>
    <t>lvRangeOfQQTips</t>
  </si>
  <si>
    <t>7,15</t>
  </si>
  <si>
    <t>玩家QQ群提示的等级范围</t>
  </si>
  <si>
    <t>QQshowTime</t>
  </si>
  <si>
    <t>120</t>
  </si>
  <si>
    <t>每天展示时间/秒</t>
  </si>
  <si>
    <t>changename</t>
  </si>
  <si>
    <t>vipn及以上可以改名字（小程序不需要此功能）</t>
  </si>
  <si>
    <t>HongBaoRange</t>
  </si>
  <si>
    <t>80,120</t>
  </si>
  <si>
    <t>互动红包随机范围,80,120,表示80%到120%之间随机</t>
  </si>
  <si>
    <t>zhuanpanup</t>
  </si>
  <si>
    <t>转盘奖池在1000倍炮后升级，此处控制提示文字</t>
  </si>
  <si>
    <t>friendpao</t>
  </si>
  <si>
    <t>[[1,500],[500,1000],[1000,5000],[5000,100000]]</t>
  </si>
  <si>
    <t>好友推荐，炮倍率的区间区分（前闭后开）</t>
  </si>
  <si>
    <t>friendvip</t>
  </si>
  <si>
    <t>[[0,3],[3,5],[5,7],[7,15]]</t>
  </si>
  <si>
    <t>好友推荐，vip的区间区分（前闭后开）</t>
  </si>
  <si>
    <t>friendrank</t>
  </si>
  <si>
    <t>[[0,8],[8,15],[15,30],[30,100]]</t>
  </si>
  <si>
    <t>好友推荐，玩家等级的区间区分（前闭后开）</t>
  </si>
  <si>
    <t>friendmax</t>
  </si>
  <si>
    <t>拥有好友上限</t>
  </si>
  <si>
    <t>friendask</t>
  </si>
  <si>
    <t>最多能发多少条好友申请</t>
  </si>
  <si>
    <t>firstpay1</t>
  </si>
  <si>
    <t>触发首充主动弹出的开火次数设置（客户端统计，只触发1元）</t>
  </si>
  <si>
    <t>firstpay2</t>
  </si>
  <si>
    <t>触发首充主动弹出的天数设置（只触发1元首充主动弹出）</t>
  </si>
  <si>
    <t>firstpay3</t>
  </si>
  <si>
    <t>大于该炮倍率时，1元首充奖品替换</t>
  </si>
  <si>
    <t>firstpay4</t>
  </si>
  <si>
    <t>3元首充礼包中随机福卡显示下限</t>
  </si>
  <si>
    <t>firstpay5</t>
  </si>
  <si>
    <t>3元首充礼包中随机福卡显示上限</t>
  </si>
  <si>
    <t>MaxPao</t>
  </si>
  <si>
    <t>游戏中的最大炮倍率</t>
  </si>
  <si>
    <t>activityopen</t>
  </si>
  <si>
    <t>2019-10-01 00:00:00</t>
  </si>
  <si>
    <t>充值活动，开始时间（当前为国庆7天乐活动）（后续活动改活动时间及备注即可）</t>
  </si>
  <si>
    <t>存储%</t>
  </si>
  <si>
    <t>暴击概率</t>
  </si>
  <si>
    <t>2倍暴击期望</t>
  </si>
  <si>
    <t>3倍暴击期望</t>
  </si>
  <si>
    <t>activityclose</t>
  </si>
  <si>
    <t>2019-10-08 00:00:00</t>
  </si>
  <si>
    <t>充值活动，结束时间（当前为国庆7天乐活动）（后续活动改活动时间及备注即可）</t>
  </si>
  <si>
    <t>paygift</t>
  </si>
  <si>
    <t>2000</t>
  </si>
  <si>
    <t>充值活动，充值额外赠送1万金币（每充1元赠送的金币，注意包含各种礼包）</t>
  </si>
  <si>
    <t>attestation</t>
  </si>
  <si>
    <t>身份认证奖励</t>
  </si>
  <si>
    <t>invitenew</t>
  </si>
  <si>
    <t>邀请任务-新玩家需要达到n等级后才算完成任务</t>
  </si>
  <si>
    <t>inviteold</t>
  </si>
  <si>
    <t>邀请任务-老玩家间隔n天后登陆才算老玩家（充值任意金额后才算完成任务）</t>
  </si>
  <si>
    <t>invitemax</t>
  </si>
  <si>
    <t>邀请任务-邀请刷新轮次上限</t>
  </si>
  <si>
    <t>zidongFireTime</t>
  </si>
  <si>
    <t>自动开火免费时间/秒</t>
  </si>
  <si>
    <t>PiggyBankOpenLevel</t>
  </si>
  <si>
    <t>存钱罐功能开启等级</t>
  </si>
  <si>
    <t>PiggyBankItem</t>
  </si>
  <si>
    <t>每次领取获得道具概率，n%（与金币量无关）</t>
  </si>
  <si>
    <t>PiggyBankCritWeekTimes</t>
  </si>
  <si>
    <t>每周暴击次数上限，3次</t>
  </si>
  <si>
    <t>AirBallMaxLv</t>
  </si>
  <si>
    <t>潜艇最高等级</t>
  </si>
  <si>
    <t>refreshgold</t>
  </si>
  <si>
    <t>刷新金蛋的概率=5000/10000</t>
  </si>
  <si>
    <t>refreshNeed</t>
  </si>
  <si>
    <t>刷新消耗钻石</t>
  </si>
  <si>
    <t>refreshTime</t>
  </si>
  <si>
    <t>刷新时间间隔/秒</t>
  </si>
  <si>
    <t>popup</t>
  </si>
  <si>
    <t>1800</t>
  </si>
  <si>
    <t>新手明日礼主动弹出弹窗，需要开火次数</t>
  </si>
  <si>
    <t>vowmax</t>
  </si>
  <si>
    <t>新手明日礼每日许愿次数上限</t>
  </si>
  <si>
    <t>vowinitial</t>
  </si>
  <si>
    <t>新手明日礼初始许愿次数</t>
  </si>
  <si>
    <t>vowtime</t>
  </si>
  <si>
    <t>新手明日礼间隔n分钟后恢复1个许愿次数</t>
  </si>
  <si>
    <t>vowaccumulation</t>
  </si>
  <si>
    <t>新手明日礼许愿次数累积最高限制</t>
  </si>
  <si>
    <t>vowduration</t>
  </si>
  <si>
    <t>新手明日礼总持续时间，注意有延期一天领取奖励的情况</t>
  </si>
  <si>
    <t>jackpotPer</t>
  </si>
  <si>
    <t>高级场中每次开火存储金币比例为p（暂定0.5%，可配置）,0.5%=50/10000，同时高级场默认能量E=基础默认能量E-jackpotPer</t>
  </si>
  <si>
    <t>jackpotShowA0</t>
  </si>
  <si>
    <t>120000000</t>
  </si>
  <si>
    <r>
      <rPr>
        <b/>
        <sz val="11"/>
        <color theme="1"/>
        <rFont val="微软雅黑"/>
        <family val="2"/>
        <charset val="134"/>
      </rPr>
      <t>展示奖池A初始值为</t>
    </r>
    <r>
      <rPr>
        <b/>
        <sz val="10.5"/>
        <color theme="1"/>
        <rFont val="Calibri"/>
        <family val="2"/>
      </rPr>
      <t>120000000</t>
    </r>
  </si>
  <si>
    <t>jackpotShowRange</t>
  </si>
  <si>
    <t>110000000,130000000</t>
  </si>
  <si>
    <t>5.1展示奖池A初始值</t>
  </si>
  <si>
    <t>jackpotAddInterval</t>
  </si>
  <si>
    <t>1,1667</t>
  </si>
  <si>
    <t>服务器每1s增加1667金币</t>
  </si>
  <si>
    <t>AaddChangeTime</t>
  </si>
  <si>
    <t>在范围内，每20秒随机1次</t>
  </si>
  <si>
    <t>AaddChangeNum</t>
  </si>
  <si>
    <r>
      <rPr>
        <sz val="11"/>
        <color theme="1"/>
        <rFont val="微软雅黑"/>
        <family val="2"/>
        <charset val="134"/>
      </rPr>
      <t>[[</t>
    </r>
    <r>
      <rPr>
        <b/>
        <sz val="11"/>
        <color theme="1"/>
        <rFont val="微软雅黑"/>
        <family val="2"/>
        <charset val="134"/>
      </rPr>
      <t>25</t>
    </r>
    <r>
      <rPr>
        <sz val="11"/>
        <color theme="1"/>
        <rFont val="微软雅黑"/>
        <family val="2"/>
        <charset val="134"/>
      </rPr>
      <t>,-16670,3334],[25,-166700,133360],[20,-3334000,3070614],[10,-5001000,4977662],[20,0,0]]</t>
    </r>
  </si>
  <si>
    <r>
      <rPr>
        <sz val="11"/>
        <color theme="1"/>
        <rFont val="微软雅黑"/>
        <family val="2"/>
        <charset val="134"/>
      </rPr>
      <t>5.1随机规则，</t>
    </r>
    <r>
      <rPr>
        <b/>
        <sz val="11"/>
        <color rgb="FFFF0000"/>
        <rFont val="微软雅黑"/>
        <family val="2"/>
        <charset val="134"/>
      </rPr>
      <t>50</t>
    </r>
    <r>
      <rPr>
        <sz val="11"/>
        <color theme="1"/>
        <rFont val="微软雅黑"/>
        <family val="2"/>
        <charset val="134"/>
      </rPr>
      <t>表示概率权重，1-概率部分为不变的情况</t>
    </r>
  </si>
  <si>
    <t>AaddChangeTime1</t>
  </si>
  <si>
    <t>A超过130000000，每10s随机1次</t>
  </si>
  <si>
    <t>AaddChangeNum1</t>
  </si>
  <si>
    <r>
      <rPr>
        <sz val="11"/>
        <color theme="1"/>
        <rFont val="微软雅黑"/>
        <family val="2"/>
        <charset val="134"/>
      </rPr>
      <t>[[7</t>
    </r>
    <r>
      <rPr>
        <b/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,-4167500,250050],[30,0,0]]</t>
    </r>
  </si>
  <si>
    <t>A超过130000000，随机范围</t>
  </si>
  <si>
    <t>AaddChangeTime2</t>
  </si>
  <si>
    <t>A小于110000000，每10s随机1次</t>
  </si>
  <si>
    <t>AaddChangeNum2</t>
  </si>
  <si>
    <r>
      <rPr>
        <sz val="11"/>
        <color theme="1"/>
        <rFont val="微软雅黑"/>
        <family val="2"/>
        <charset val="134"/>
      </rPr>
      <t>[[7</t>
    </r>
    <r>
      <rPr>
        <b/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,-250050,4167500],[30,0,0]]</t>
    </r>
  </si>
  <si>
    <t>A小于110000000，随机范围</t>
  </si>
  <si>
    <t>jackpotTrackXZtime</t>
  </si>
  <si>
    <t>1200</t>
  </si>
  <si>
    <t>奖金池修正时间间隔，秒</t>
  </si>
  <si>
    <t>jackpotTrackXZRange</t>
  </si>
  <si>
    <t>118000000,122000000</t>
  </si>
  <si>
    <t>15分钟后强制的修正范围</t>
  </si>
  <si>
    <t>jackpotTrack</t>
  </si>
  <si>
    <t>212</t>
  </si>
  <si>
    <t>彩金鱼track</t>
  </si>
  <si>
    <t>jackpotTrackFrequency</t>
  </si>
  <si>
    <t>彩金鱼出现频率 单位秒</t>
  </si>
  <si>
    <t>jackpotFishid</t>
  </si>
  <si>
    <t>43</t>
  </si>
  <si>
    <t>彩金鱼id</t>
  </si>
  <si>
    <t>fuli_collectReward1</t>
  </si>
  <si>
    <t>1|2|30000,1|1|20,2|1001|2</t>
  </si>
  <si>
    <t>360桌面放置图标，首次完成时领取的奖励</t>
  </si>
  <si>
    <t>CashbackDay</t>
  </si>
  <si>
    <t>你游戏我买单活动时间（充49返50活动）</t>
  </si>
  <si>
    <t>NumOfcalls</t>
  </si>
  <si>
    <t>BOSS召唤需要的普通召唤数量，钻石价格=数量*普通召唤钻石价格</t>
  </si>
  <si>
    <t>paobeiTipsN</t>
  </si>
  <si>
    <t>500</t>
  </si>
  <si>
    <t>新手引导结束后当玩家持有金币&gt;当前使用炮倍*N且当前使用炮倍不是房间最大时，出现气泡提示“炮倍越高，收益越高哦~”</t>
  </si>
  <si>
    <t>GaojiStart</t>
  </si>
  <si>
    <t>[1500000,1000000,0]</t>
  </si>
  <si>
    <t>中级场前期节奏阶段划分点,演出金币</t>
  </si>
  <si>
    <t>yanchuOver</t>
  </si>
  <si>
    <t>1300000</t>
  </si>
  <si>
    <t>玩家金币达到130万后演出结束</t>
  </si>
  <si>
    <t>buyuJinguseG</t>
  </si>
  <si>
    <t>捕鱼净消耗5000金币=1福卡</t>
  </si>
  <si>
    <t>longzhouJinguseG</t>
  </si>
  <si>
    <t>打龙舟净消耗2500金币=1福卡</t>
  </si>
  <si>
    <t>SeniorWeapon</t>
  </si>
  <si>
    <t>大于等于此VIP等级时，玩家进入渔场会使用高级入场动画，炮落位动画</t>
  </si>
  <si>
    <t>bindnumber</t>
  </si>
  <si>
    <r>
      <rPr>
        <sz val="11"/>
        <color theme="1"/>
        <rFont val="微软雅黑"/>
        <family val="2"/>
        <charset val="134"/>
      </rPr>
      <t>1|2|200000,1|1|20,2|1001|5,2|1002|</t>
    </r>
    <r>
      <rPr>
        <sz val="11"/>
        <color theme="1"/>
        <rFont val="微软雅黑"/>
        <family val="2"/>
        <charset val="134"/>
      </rPr>
      <t>5</t>
    </r>
    <r>
      <rPr>
        <sz val="11"/>
        <color theme="1"/>
        <rFont val="微软雅黑"/>
        <family val="2"/>
        <charset val="134"/>
      </rPr>
      <t>,2|1004|</t>
    </r>
    <r>
      <rPr>
        <sz val="11"/>
        <color theme="1"/>
        <rFont val="微软雅黑"/>
        <family val="2"/>
        <charset val="134"/>
      </rPr>
      <t>5</t>
    </r>
  </si>
  <si>
    <t>绑定手机号的奖励</t>
  </si>
  <si>
    <t>bindcard</t>
  </si>
  <si>
    <t>1|2|50000,1|1|50</t>
  </si>
  <si>
    <t>实名认证的奖励</t>
  </si>
  <si>
    <t>luckyBaseGold</t>
  </si>
  <si>
    <t>幸运金币基础金币</t>
  </si>
  <si>
    <t>luckyGoldptPrice</t>
  </si>
  <si>
    <r>
      <rPr>
        <sz val="11"/>
        <color theme="1"/>
        <rFont val="微软雅黑"/>
        <family val="2"/>
        <charset val="134"/>
      </rPr>
      <t>幸运金币超级翻倍钻石价格</t>
    </r>
    <r>
      <rPr>
        <sz val="11"/>
        <color rgb="FFFF0000"/>
        <rFont val="微软雅黑"/>
        <family val="2"/>
        <charset val="134"/>
      </rPr>
      <t>（钻石抽时对应的值）</t>
    </r>
  </si>
  <si>
    <t>luckyGoldcjPrice</t>
  </si>
  <si>
    <t>180</t>
  </si>
  <si>
    <t>luckyBaseGoldks</t>
  </si>
  <si>
    <r>
      <rPr>
        <sz val="11"/>
        <color theme="1"/>
        <rFont val="微软雅黑"/>
        <family val="2"/>
        <charset val="134"/>
      </rPr>
      <t>幸运金币基础金币</t>
    </r>
    <r>
      <rPr>
        <sz val="11"/>
        <color rgb="FFFF0000"/>
        <rFont val="微软雅黑"/>
        <family val="2"/>
        <charset val="134"/>
      </rPr>
      <t>（福卡抽奖时对应的值）</t>
    </r>
  </si>
  <si>
    <t>luckyGoldptPriceks</t>
  </si>
  <si>
    <r>
      <rPr>
        <sz val="11"/>
        <color theme="1"/>
        <rFont val="微软雅黑"/>
        <family val="2"/>
        <charset val="134"/>
      </rPr>
      <t>幸运金币超级翻倍</t>
    </r>
    <r>
      <rPr>
        <b/>
        <sz val="11"/>
        <color rgb="FFFF0000"/>
        <rFont val="微软雅黑"/>
        <family val="2"/>
        <charset val="134"/>
      </rPr>
      <t>福卡</t>
    </r>
    <r>
      <rPr>
        <sz val="11"/>
        <color theme="1"/>
        <rFont val="微软雅黑"/>
        <family val="2"/>
        <charset val="134"/>
      </rPr>
      <t>价格</t>
    </r>
    <r>
      <rPr>
        <sz val="11"/>
        <color rgb="FFFF0000"/>
        <rFont val="微软雅黑"/>
        <family val="2"/>
        <charset val="134"/>
      </rPr>
      <t>（福卡抽奖时对应的值）</t>
    </r>
  </si>
  <si>
    <t>luckyGoldcjPriceks</t>
  </si>
  <si>
    <t>20星钻=40万金币</t>
  </si>
  <si>
    <t>PTFreeCD</t>
  </si>
  <si>
    <t>45,120,1440,1440,1440,1440,1440</t>
  </si>
  <si>
    <t>幸运金币注册后第N次免费普通翻倍的冷却时间/分钟，配置了几个表示有几个免费</t>
  </si>
  <si>
    <t>CJFreeCD</t>
  </si>
  <si>
    <t>1440</t>
  </si>
  <si>
    <t>幸运金币注册后第N次免费超级翻倍的冷却时间/分钟，配置了几个表示有几个免费</t>
  </si>
  <si>
    <t>NobrokeInvalid</t>
  </si>
  <si>
    <t>不破产礼包购买后开火N次后，不破产礼包状态立即消失（防刷）</t>
  </si>
  <si>
    <t>NobrokeDiamond</t>
  </si>
  <si>
    <r>
      <rPr>
        <sz val="11"/>
        <color theme="1"/>
        <rFont val="微软雅黑"/>
        <family val="2"/>
        <charset val="134"/>
      </rPr>
      <t>不破产礼包购买后龙舟钻石掉落上限，rmb*N%</t>
    </r>
    <r>
      <rPr>
        <sz val="6"/>
        <color theme="1"/>
        <rFont val="微软雅黑"/>
        <family val="2"/>
        <charset val="134"/>
      </rPr>
      <t>00</t>
    </r>
    <r>
      <rPr>
        <sz val="11"/>
        <color theme="1"/>
        <rFont val="微软雅黑"/>
        <family val="2"/>
        <charset val="134"/>
      </rPr>
      <t>，N=10000表示100%</t>
    </r>
  </si>
  <si>
    <t>NobrokeFuka</t>
  </si>
  <si>
    <t>不破产礼包购买后该玩家捕鱼、福卡鱼潮、龙舟掉落福卡上限，rmb*N</t>
  </si>
  <si>
    <t>FacaiDoubling1</t>
  </si>
  <si>
    <t>306</t>
  </si>
  <si>
    <t>购买哪些档位的商品可以开启发财金领取翻n倍的功能</t>
  </si>
  <si>
    <t>FacaiDoubling2</t>
  </si>
  <si>
    <t>66</t>
  </si>
  <si>
    <t>发财金领取翻66倍</t>
  </si>
  <si>
    <t>ChangeNamePay</t>
  </si>
  <si>
    <t>1|1|200</t>
  </si>
  <si>
    <t>改昵称改名字需要话费的道具（每次）</t>
  </si>
  <si>
    <t>RMBpoolHitN</t>
  </si>
  <si>
    <t>充值池子，攻击必中鱼保底值，攻击必中鱼100次不中后必中</t>
  </si>
  <si>
    <t>RMBpoolHitP</t>
  </si>
  <si>
    <t>剩余池子&gt;本次捕获鱼value*炮倍*50%,50%可配置，5000表示50%，万分比</t>
  </si>
  <si>
    <t>RMBpoolEdown</t>
  </si>
  <si>
    <t>出现负值，然后降低玩家能量0.02（相当于每次开火填充池子0.02*炮倍率的数值），直到填平池子。，0.02可以配置</t>
  </si>
  <si>
    <t>恶龙HP</t>
  </si>
  <si>
    <t>Rechange_goldlimit</t>
  </si>
  <si>
    <t>充值池最高累积上限</t>
  </si>
  <si>
    <t>闪电金币价值</t>
  </si>
  <si>
    <t>记得修改鱼属性表！！</t>
  </si>
  <si>
    <t>DragonHp</t>
  </si>
  <si>
    <t>勇者斗恶龙</t>
  </si>
  <si>
    <t>星钻价格</t>
  </si>
  <si>
    <t>击杀奖励金币价值</t>
  </si>
  <si>
    <t>DragonShow</t>
  </si>
  <si>
    <t>[[1,0.8],[0.8,0.5],[0.5,0.2],[0.2,0]]</t>
  </si>
  <si>
    <t>恶龙状态表现阶段划分，依据百分比区分，例如100表示100%</t>
  </si>
  <si>
    <t>攻击1次</t>
  </si>
  <si>
    <t>攻击10次</t>
  </si>
  <si>
    <t>击杀需要次数</t>
  </si>
  <si>
    <t>消耗星钻</t>
  </si>
  <si>
    <t>3级核弹</t>
  </si>
  <si>
    <t>额外赠送比例</t>
  </si>
  <si>
    <t>hurt1</t>
  </si>
  <si>
    <r>
      <rPr>
        <sz val="11"/>
        <color theme="1"/>
        <rFont val="微软雅黑"/>
        <family val="2"/>
        <charset val="134"/>
      </rPr>
      <t>勇者斗恶龙，</t>
    </r>
    <r>
      <rPr>
        <b/>
        <sz val="11"/>
        <color theme="1"/>
        <rFont val="微软雅黑"/>
        <family val="2"/>
        <charset val="134"/>
      </rPr>
      <t>攻击1次</t>
    </r>
    <r>
      <rPr>
        <sz val="11"/>
        <color theme="1"/>
        <rFont val="微软雅黑"/>
        <family val="2"/>
        <charset val="134"/>
      </rPr>
      <t>伤害</t>
    </r>
  </si>
  <si>
    <t>第N次</t>
  </si>
  <si>
    <t>最小</t>
  </si>
  <si>
    <t>最大</t>
  </si>
  <si>
    <t>期望</t>
  </si>
  <si>
    <t>hurt10</t>
  </si>
  <si>
    <r>
      <rPr>
        <sz val="11"/>
        <color theme="1"/>
        <rFont val="微软雅黑"/>
        <family val="2"/>
        <charset val="134"/>
      </rPr>
      <t>勇者斗恶龙，</t>
    </r>
    <r>
      <rPr>
        <b/>
        <sz val="11"/>
        <color theme="1"/>
        <rFont val="微软雅黑"/>
        <family val="2"/>
        <charset val="134"/>
      </rPr>
      <t>攻击10次</t>
    </r>
    <r>
      <rPr>
        <sz val="11"/>
        <color theme="1"/>
        <rFont val="微软雅黑"/>
        <family val="2"/>
        <charset val="134"/>
      </rPr>
      <t>伤害</t>
    </r>
  </si>
  <si>
    <t>killDragonReward</t>
  </si>
  <si>
    <t>2|1007|1</t>
  </si>
  <si>
    <t>击杀恶龙奖励</t>
  </si>
  <si>
    <t>buyLimit1603</t>
  </si>
  <si>
    <t>闪电单次购买的上限值</t>
  </si>
  <si>
    <t>TurntableMustHit</t>
  </si>
  <si>
    <t>{"1101":{"2":1},"1103":{"1":1}}</t>
  </si>
  <si>
    <t>欢乐转转转必中设定，6元档第2次必中30倍（欢乐转转转表中的编号1）或者30元第1次必中30倍</t>
  </si>
  <si>
    <t>gengbaoTips1</t>
  </si>
  <si>
    <t>渔场停留实践/分钟</t>
  </si>
  <si>
    <t>更包提示，非强更提示逻辑之一：每天玩家在渔场捕鱼5分钟后且今日捕鱼总时间到达10分钟（30分钟、60分钟）时弹出）；</t>
  </si>
  <si>
    <t>gengbaoTips2</t>
  </si>
  <si>
    <t>10,30,60</t>
  </si>
  <si>
    <t>今日游戏总时间/分钟</t>
  </si>
  <si>
    <t>jubaopG</t>
  </si>
  <si>
    <t>聚宝盆每次开火存储金币，10表示10%</t>
  </si>
  <si>
    <t>CZvaluePer</t>
  </si>
  <si>
    <t>充值池子必中判定value百分比值，30表示30%</t>
  </si>
  <si>
    <t>CZvaluePerF</t>
  </si>
  <si>
    <t>30,80</t>
  </si>
  <si>
    <t>充值池子必中判定value百分比值，30%~80%浮动</t>
  </si>
  <si>
    <t>CZhitNum</t>
  </si>
  <si>
    <t>充值池子必中连续攻击必中鱼最低次数要求</t>
  </si>
  <si>
    <t>CZPF</t>
  </si>
  <si>
    <t>5,15</t>
  </si>
  <si>
    <t>充值池子必中连续攻击必中鱼最低次数要求,从浮动值随机一个</t>
  </si>
  <si>
    <t>CZfanbeiNum</t>
  </si>
  <si>
    <t>充值池子必中财神时处理倍数的临界值</t>
  </si>
  <si>
    <t>bindname</t>
  </si>
  <si>
    <t>首次修改昵称的奖励</t>
  </si>
  <si>
    <r>
      <rPr>
        <sz val="11"/>
        <color theme="1"/>
        <rFont val="微软雅黑"/>
        <family val="2"/>
        <charset val="134"/>
      </rPr>
      <t>xieyuanshuai</t>
    </r>
    <r>
      <rPr>
        <sz val="11"/>
        <color theme="1"/>
        <rFont val="微软雅黑"/>
        <family val="2"/>
        <charset val="134"/>
      </rPr>
      <t>E</t>
    </r>
  </si>
  <si>
    <t>蟹元帅20个阶段对应的能量，填0表示当前阶段不消耗能量</t>
  </si>
  <si>
    <r>
      <rPr>
        <sz val="11"/>
        <color theme="1"/>
        <rFont val="微软雅黑"/>
        <family val="2"/>
        <charset val="134"/>
      </rPr>
      <t>xieyuanshuai</t>
    </r>
    <r>
      <rPr>
        <sz val="11"/>
        <color theme="1"/>
        <rFont val="微软雅黑"/>
        <family val="2"/>
        <charset val="134"/>
      </rPr>
      <t>Track</t>
    </r>
  </si>
  <si>
    <r>
      <rPr>
        <sz val="11"/>
        <color theme="1"/>
        <rFont val="微软雅黑"/>
        <family val="2"/>
        <charset val="134"/>
      </rPr>
      <t>蟹元帅track群，</t>
    </r>
    <r>
      <rPr>
        <sz val="11"/>
        <color theme="1"/>
        <rFont val="微软雅黑"/>
        <family val="2"/>
        <charset val="134"/>
      </rPr>
      <t>1表示本次出现，0表示不出现</t>
    </r>
  </si>
  <si>
    <t>Personal1</t>
  </si>
  <si>
    <t>24</t>
  </si>
  <si>
    <t>ai私人豪礼玩家未购买icon存在时间/小时</t>
  </si>
  <si>
    <t>Personal2</t>
  </si>
  <si>
    <t>ai测试阶段，破产后私人豪礼界面弹出概率，1250，表示1250/10000</t>
  </si>
  <si>
    <t>fanpaiShowA0</t>
  </si>
  <si>
    <t>155000000</t>
  </si>
  <si>
    <t>展示奖池A初始值</t>
  </si>
  <si>
    <t>fanpaiShowRange</t>
  </si>
  <si>
    <t>奖池范围</t>
  </si>
  <si>
    <t>fanpaiAddInterval</t>
  </si>
  <si>
    <t>服务器每1s增加1667</t>
  </si>
  <si>
    <t>fanpaiChangeTime</t>
  </si>
  <si>
    <t>在范围内，每20秒随机1次，下面一行为随机权重和随机范围</t>
  </si>
  <si>
    <t>fanpaiChangeNum</t>
  </si>
  <si>
    <t>[[25,-18903,3780],[25,-189038,151230],[20,-378075,3482075],[10,-5671134,5644669],[20,0,0]]</t>
  </si>
  <si>
    <t>fanpaiChangeTime1</t>
  </si>
  <si>
    <t>A超过最大值，每10s随机1次，下面一行为随机权重和随机范围</t>
  </si>
  <si>
    <t>fanpaiChangeNum1</t>
  </si>
  <si>
    <t>[[70,-4725945,283556],[30,0,0]]</t>
  </si>
  <si>
    <t>fanpaiChangeTime2</t>
  </si>
  <si>
    <t>A低于最小值，每10s随机1次，下面一行为随机权重和随机范围</t>
  </si>
  <si>
    <t>fanpaiChangeNum2</t>
  </si>
  <si>
    <t>[[70,-283556,4725945],[30,0,0]]</t>
  </si>
  <si>
    <t>monkeyPaoNeed</t>
  </si>
  <si>
    <t>活动开启期间，累计充值rmb648后获得永久</t>
  </si>
  <si>
    <t>mongkeyPaoId</t>
  </si>
  <si>
    <t>4000</t>
  </si>
  <si>
    <t>炮id</t>
  </si>
  <si>
    <r>
      <rPr>
        <sz val="11"/>
        <color theme="1"/>
        <rFont val="微软雅黑"/>
        <family val="2"/>
        <charset val="134"/>
      </rPr>
      <t>mongkey</t>
    </r>
    <r>
      <rPr>
        <sz val="11"/>
        <color theme="1"/>
        <rFont val="微软雅黑"/>
        <family val="2"/>
        <charset val="134"/>
      </rPr>
      <t>SPG</t>
    </r>
  </si>
  <si>
    <t>捕鱼净消耗500万金币得1碎片</t>
  </si>
  <si>
    <t>mongkeySPLimit</t>
  </si>
  <si>
    <t>170</t>
  </si>
  <si>
    <t>美猴王碎片掉落上限</t>
  </si>
  <si>
    <t>mongkeySPN</t>
  </si>
  <si>
    <t>碎片掉落数量分界线，&lt;=10为一个概率，&gt;10为一个概率</t>
  </si>
  <si>
    <t>leaveUpLz</t>
  </si>
  <si>
    <t>距离龙舟赛开始多长时间内，退出房间时提示此模块（退出房间提示）</t>
  </si>
  <si>
    <t>Recharge1N</t>
  </si>
  <si>
    <t>[[1,[0.4,10000],[1,9600]],[2,[0.4,10000],[1,9600]],[3,[0.4,10000],[1,9600]],[4,[0.4,10000],[1,9600]]]</t>
  </si>
  <si>
    <t>若配置不足4，则最后两个用一样的</t>
  </si>
  <si>
    <t>4个方案，充值体验阶段1中1.1和1.2开火次数分界点0.4N和能量，能量0.96=9600/10000</t>
  </si>
  <si>
    <t>Recharge2G</t>
  </si>
  <si>
    <t>[[1,[0.64,9000],[0.35,9200],[0.14,9400],[0,9600]],[2,[0.64,9000],[0.35,9200],[0.14,9400],[0,9600]],[3,[0.64,9000],[0.35,9200],[0.14,9400],[0,9600]],[4,[0.64,9000],[0.35,9200],[0.14,9400],[0,9600]]]</t>
  </si>
  <si>
    <t>充值体验阶段2，依据玩家持有金币分界的4个阶段划分和能量设定</t>
  </si>
  <si>
    <t>RechargePrange</t>
  </si>
  <si>
    <t>[[1,[0.5,1.5]],[2,[0.5,1.5]],[3,[0.5,1.5]],[4,[0.5,1.5]]]</t>
  </si>
  <si>
    <t>充值体验阶段触发不破产必中时玩家持有金币随机范围</t>
  </si>
  <si>
    <t>RechargeMiss</t>
  </si>
  <si>
    <t>[[30,200],[40,100],[50,50]]</t>
  </si>
  <si>
    <t>当玩家持有金币-免费金币超过30倍G时，攻击value200以上的鱼必不中</t>
  </si>
  <si>
    <t>leaveUpQd</t>
  </si>
  <si>
    <t>签到最高翻的倍数，仅用于明日可领的计算数值，退出房间时提示此模块（退出房间提示）</t>
  </si>
  <si>
    <t>push0</t>
  </si>
  <si>
    <t>奖励已发送😊|您好，收到一份奖励，点我领取&gt;&gt;|gate</t>
  </si>
  <si>
    <t>推送奖励（标题｜内容｜页面参数）</t>
  </si>
  <si>
    <t>页面参数前端和闲来运用后台页面一一对应</t>
  </si>
  <si>
    <t>push1</t>
  </si>
  <si>
    <t>签到领好礼|上线签到，最高可领10倍金币&gt;&gt;|openSign</t>
  </si>
  <si>
    <t>推送签到</t>
  </si>
  <si>
    <t>push2</t>
  </si>
  <si>
    <t>大家一起发财|发财金已到账，登录最高可领66倍金币&gt;&gt;|gate</t>
  </si>
  <si>
    <t>推送发财金</t>
  </si>
  <si>
    <t>push3</t>
  </si>
  <si>
    <t>幸运抽抽乐|幸运抽抽乐已准备好，超级翻倍最高999倍，等你来领！&gt;&gt;|openLuckyGoldView</t>
  </si>
  <si>
    <t>推送抽抽乐</t>
  </si>
  <si>
    <t>push4</t>
  </si>
  <si>
    <t>邮件通知！|您有一封新的邮件待领取，现在领取！&gt;&gt;|openMail</t>
  </si>
  <si>
    <t>推送邮件</t>
  </si>
  <si>
    <t>push5</t>
  </si>
  <si>
    <t>龙舟赛开赛啦！|龙舟副卡赛马上开始，超级大奖等你来领！&gt;&gt;|openDragonBoatMatch</t>
  </si>
  <si>
    <t>推送龙舟赛</t>
  </si>
  <si>
    <t>push6</t>
  </si>
  <si>
    <t>贵族金币领取|贵族金币已准备就绪，上线金币补充至%s万|gate</t>
  </si>
  <si>
    <t>推送贵族补充金币，“gate”表示没有返回位置或大厅</t>
  </si>
  <si>
    <t>pushtime0</t>
  </si>
  <si>
    <t>2|12:00,20:00</t>
  </si>
  <si>
    <t>推送奖励时间</t>
  </si>
  <si>
    <t>类型2:时间段（开始时间，结束时间），整点或者半点推送</t>
  </si>
  <si>
    <t>pushtime1</t>
  </si>
  <si>
    <t>1|10:00,12:00</t>
  </si>
  <si>
    <t>推送签到时间</t>
  </si>
  <si>
    <t>类型1:固定时间点｜多个时间点用逗号隔开</t>
  </si>
  <si>
    <t>pushtime2</t>
  </si>
  <si>
    <t>2|10:00,23:00</t>
  </si>
  <si>
    <t>推送发财金时间</t>
  </si>
  <si>
    <t>pushtime3</t>
  </si>
  <si>
    <t>2|12:00,23:00</t>
  </si>
  <si>
    <t>推送抽抽乐时间</t>
  </si>
  <si>
    <t>pushtime4</t>
  </si>
  <si>
    <t>推送邮件时间</t>
  </si>
  <si>
    <t>池子不出现概率</t>
  </si>
  <si>
    <t>发财金池子</t>
  </si>
  <si>
    <t>计算出
总期望</t>
  </si>
  <si>
    <t>出现池子后的期望</t>
  </si>
  <si>
    <t>pushtime5</t>
  </si>
  <si>
    <t>3|10:00,23:00</t>
  </si>
  <si>
    <t>推送龙舟赛时间</t>
  </si>
  <si>
    <t>类型3：龙舟赛特殊时间</t>
  </si>
  <si>
    <t>方案</t>
  </si>
  <si>
    <t>P0</t>
  </si>
  <si>
    <t>权重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</si>
  <si>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</si>
  <si>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</si>
  <si>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</si>
  <si>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</si>
  <si>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</si>
  <si>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</si>
  <si>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</si>
  <si>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</si>
  <si>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</si>
  <si>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</si>
  <si>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pushtime6</t>
  </si>
  <si>
    <t>1|11:00</t>
  </si>
  <si>
    <t>推送贵族补充金币时间</t>
  </si>
  <si>
    <t>pushreward</t>
  </si>
  <si>
    <t>1|2|500000,1|1|20,2|1001|3</t>
  </si>
  <si>
    <t>推送弹窗奖励</t>
  </si>
  <si>
    <t>fcjPoolGroup</t>
  </si>
  <si>
    <t>发财金池子,方案6、7、8</t>
  </si>
  <si>
    <t>autoFireVipLv</t>
  </si>
  <si>
    <t>自动开火需要的VIP等级</t>
  </si>
  <si>
    <t>LuckyValRef</t>
  </si>
  <si>
    <r>
      <rPr>
        <sz val="11"/>
        <color theme="1"/>
        <rFont val="微软雅黑"/>
        <family val="2"/>
        <charset val="134"/>
      </rPr>
      <t>8</t>
    </r>
    <r>
      <rPr>
        <sz val="11"/>
        <color theme="1"/>
        <rFont val="微软雅黑"/>
        <family val="2"/>
        <charset val="134"/>
      </rPr>
      <t>,18</t>
    </r>
  </si>
  <si>
    <t>方案C</t>
  </si>
  <si>
    <t>幸运值每8~18秒重置或捕获奖金鱼后重置</t>
  </si>
  <si>
    <t>ReKC</t>
  </si>
  <si>
    <t>[5,20]</t>
  </si>
  <si>
    <t>充值库存系数【5,20】秒根据当前的充值库存范围，变化一次</t>
  </si>
  <si>
    <t>1次不出</t>
  </si>
  <si>
    <t>出1次</t>
  </si>
  <si>
    <t>出2次</t>
  </si>
  <si>
    <t>出3次</t>
  </si>
  <si>
    <t>出4次</t>
  </si>
  <si>
    <t>Re648addKC</t>
  </si>
  <si>
    <t>[1.4,1.2,1]</t>
  </si>
  <si>
    <t>每日648有充值库存系数加成（充值库存系数*加成）,表示第1次为1.2，第2次为1,第3次后都为1</t>
  </si>
  <si>
    <t>ReKresetP</t>
  </si>
  <si>
    <t>[50,50,0]</t>
  </si>
  <si>
    <t>充值库存失效后会重置为强前值得50%，修正两次后，第3次清零，50标识50%</t>
  </si>
  <si>
    <t>ReKnoeffectC</t>
  </si>
  <si>
    <t>充值库存失效值，库存中的值小于当前炮倍率*0.01(100表示0.01)时，GM库存置为0；</t>
  </si>
  <si>
    <t>shimingreward</t>
  </si>
  <si>
    <t>1|2|200000,1|1|20,2|1001|3,2|1002|3</t>
  </si>
  <si>
    <t>实名认证奖励</t>
  </si>
  <si>
    <t>brokeA</t>
  </si>
  <si>
    <t>当前金币小于等于当前炮*120倍时，触发一次破产保护</t>
  </si>
  <si>
    <t>brokeB</t>
  </si>
  <si>
    <t>800</t>
  </si>
  <si>
    <t>当金币数大于等于当前炮*800时，已触发的破产保护取消；</t>
  </si>
  <si>
    <t>broProtLimit</t>
  </si>
  <si>
    <t>破产保护次数上限，5次</t>
  </si>
  <si>
    <t>broProtAddLimit</t>
  </si>
  <si>
    <t>额外保护加成次数上限：3次</t>
  </si>
  <si>
    <t>broProtAddTR</t>
  </si>
  <si>
    <t>[6,238]</t>
  </si>
  <si>
    <t>单次充值金额在【6，238】范围内时，赠送一次破产保护；</t>
  </si>
  <si>
    <t>broProtAddCR</t>
  </si>
  <si>
    <t>[50,238]</t>
  </si>
  <si>
    <t>单次充值金额在【50，238】范围内时，赠送一次额外保护加成；</t>
  </si>
  <si>
    <t>brokeEffectP</t>
  </si>
  <si>
    <t>8000</t>
  </si>
  <si>
    <t>消耗破产保护次数，触发破产保护的概率：80%,8000=8000/10000,当日不同的充值金额，会额外增加破产保护的子弹数和破产系数，消耗一次额外加成次数：</t>
  </si>
  <si>
    <t>RealName_AddReward</t>
  </si>
  <si>
    <t>实名认证充值加送100%奖励为充值金额每元*10万金币</t>
  </si>
  <si>
    <t>lianxuBroShopId</t>
  </si>
  <si>
    <t>[206,207]</t>
  </si>
  <si>
    <t>有效破产次数增加，必要条件1，商城金币648、328的档位id，每充1次记录有效破产次数1</t>
  </si>
  <si>
    <t>lianxuBroG</t>
  </si>
  <si>
    <t>20000000</t>
  </si>
  <si>
    <t>有效破产次数增加，必要条件2，金币必须小于2000万</t>
  </si>
  <si>
    <t>lianxuBroContTime</t>
  </si>
  <si>
    <r>
      <rPr>
        <sz val="11"/>
        <color theme="1"/>
        <rFont val="微软雅黑"/>
        <family val="2"/>
        <charset val="134"/>
      </rPr>
      <t>有效破产次数增加，必要条件3，有效时间(秒)，</t>
    </r>
    <r>
      <rPr>
        <sz val="9"/>
        <color theme="1"/>
        <rFont val="微软雅黑"/>
        <family val="2"/>
        <charset val="134"/>
      </rPr>
      <t>从最后一次商城328或648算起，到现在</t>
    </r>
  </si>
  <si>
    <t>lianxuBroNum</t>
  </si>
  <si>
    <t>连续破产触发保护生效，需要的最小有效破产次数</t>
  </si>
  <si>
    <t>lianxuBroPao</t>
  </si>
  <si>
    <t>80000</t>
  </si>
  <si>
    <t>连续破产触发保护生效，需要的最低炮倍</t>
  </si>
  <si>
    <t>kuangbaoN</t>
  </si>
  <si>
    <t>[1,2,4,5]</t>
  </si>
  <si>
    <t>狂暴道具加成系数（锁定按照1倍狂暴考虑，即可以理解成狂暴1~4倍）</t>
  </si>
  <si>
    <t>kuangbaoC</t>
  </si>
  <si>
    <t>25</t>
  </si>
  <si>
    <t>道具（锁定、狂暴）技能修正系数,25=25/10000</t>
  </si>
  <si>
    <t>kuangbaoAdd</t>
  </si>
  <si>
    <t>[[500,80000],[400,80000],[300,80000],[200,80000],[100,80000],[1,80000]]</t>
  </si>
  <si>
    <t>狂暴保护系数，终身第N次使用且炮倍小于80000时，增加修正系数（kuangbaoC）倍数，数组5个值相当于前5次有保护</t>
  </si>
  <si>
    <t>suodingAdd</t>
  </si>
  <si>
    <t>[[200,4000],[100,4000],[100,4000],[50,4000],[50,4000],[50,4000],[50,4000],[50,4000],[50,4000],[50,4000],[1,4000]]</t>
  </si>
  <si>
    <t>锁定保护系数，终身第N次使用且炮倍小于4000时，增加修正系数（kuangbaoC）倍数，数组10个值相当于前10次有保护</t>
  </si>
  <si>
    <t>broProtNew</t>
  </si>
  <si>
    <t>新玩家赠送两次破产保护</t>
  </si>
  <si>
    <t>soulSharkLedTime</t>
  </si>
  <si>
    <t>8</t>
  </si>
  <si>
    <t>噬魂鲨led延时时长（秒）</t>
  </si>
  <si>
    <t>爆炸河豚倍数</t>
  </si>
  <si>
    <t>fish52EC</t>
  </si>
  <si>
    <t>[[1,1],[2,1],[3,1]]</t>
  </si>
  <si>
    <t>爆炸河豚倍数和权重</t>
  </si>
  <si>
    <t>fishidxw</t>
  </si>
  <si>
    <t>漩涡鱼</t>
  </si>
  <si>
    <t>oxcoin</t>
  </si>
  <si>
    <t>[[10,15],[15,20],[0,0.9]]</t>
  </si>
  <si>
    <t>五彩神牛普通攻击金币个数范围、终结攻击金币个数范围、单个金币上下浮动百分比区间</t>
  </si>
  <si>
    <t>vipGift</t>
  </si>
  <si>
    <t>[250000,5,0.9,0.9,0.75,0.77]</t>
  </si>
  <si>
    <t>贵族直升礼包，2001系数配置</t>
  </si>
  <si>
    <t>基础能量</t>
  </si>
  <si>
    <t>bingDongN</t>
  </si>
  <si>
    <t>[[3,5],[5,10],[2,4],[2,3],[1,3],[1,4]]</t>
  </si>
  <si>
    <t>部分冰冻，按照鱼类型分，冰冻鱼的数量</t>
  </si>
  <si>
    <t>基础保底值</t>
  </si>
  <si>
    <t>ledShow3</t>
  </si>
  <si>
    <r>
      <rPr>
        <sz val="10"/>
        <color theme="1"/>
        <rFont val="微软雅黑"/>
        <family val="2"/>
        <charset val="134"/>
      </rPr>
      <t>[[37,[300,1500]],[42,[300,1500]],[61,[500,3000]],[65,[500,5000]],[7</t>
    </r>
    <r>
      <rPr>
        <sz val="10"/>
        <color theme="1"/>
        <rFont val="微软雅黑"/>
        <family val="2"/>
        <charset val="134"/>
      </rPr>
      <t>6</t>
    </r>
    <r>
      <rPr>
        <sz val="10"/>
        <color theme="1"/>
        <rFont val="微软雅黑"/>
        <family val="2"/>
        <charset val="134"/>
      </rPr>
      <t>,[500,3000]]]</t>
    </r>
  </si>
  <si>
    <t>假led，3类型针对哪些不按套路的boss，格式为鱼id和分值范围</t>
  </si>
  <si>
    <t>鱼score</t>
  </si>
  <si>
    <t>shejituItemValue1</t>
  </si>
  <si>
    <t>社稷图击破效果道具分值</t>
  </si>
  <si>
    <t>shejituItemValue2</t>
  </si>
  <si>
    <t>社稷图捕获后（每个）道具分值</t>
  </si>
  <si>
    <t>shejituItemNum</t>
  </si>
  <si>
    <t>[2,4]</t>
  </si>
  <si>
    <t>社稷图捕获后掉落道具数量</t>
  </si>
  <si>
    <t>huiguilibaoGift</t>
  </si>
  <si>
    <t>1|2|200000,2|1001|2,2|1002|3</t>
  </si>
  <si>
    <t>改为VIP表配置</t>
  </si>
  <si>
    <t>回归礼包免费奖励</t>
  </si>
  <si>
    <t>fishNum</t>
  </si>
  <si>
    <t>[[9,20,7],[23,45,45]]</t>
  </si>
  <si>
    <t>刷新机制：同屏鱼数量，第一次补7条track、15条鱼,不足时必补充6条track；之后20条track、40条鱼,不足时必补充至40条鱼</t>
  </si>
  <si>
    <t>choiceRoom</t>
  </si>
  <si>
    <t>vip多少时解锁，自选房间功能</t>
  </si>
  <si>
    <t>ReK0</t>
  </si>
  <si>
    <t>创建账号后初始库存</t>
  </si>
  <si>
    <t>choiceRoom2</t>
  </si>
  <si>
    <t>多少分钟刷新一次假数据（单位为分钟，自选房间的假房间数据）</t>
  </si>
  <si>
    <t>limitGold1</t>
  </si>
  <si>
    <t>鸿运福利-定时领宝箱功能，领取n天福利金后可转动一次转盘</t>
  </si>
  <si>
    <t>limitGold2</t>
  </si>
  <si>
    <t>鸿运福利-定时领宝箱功能，领取n次福利金后可摇一次骰子</t>
  </si>
  <si>
    <t>gameDiamondValue</t>
  </si>
  <si>
    <t>20000</t>
  </si>
  <si>
    <t>小游戏补齐能量时，钻石的价值</t>
  </si>
  <si>
    <t>暂时读取炮解锁表，当前容错用</t>
  </si>
  <si>
    <t>锻造材料掉落节奏，每消耗5万金币获得1个材料</t>
  </si>
  <si>
    <t>duanzaoP</t>
  </si>
  <si>
    <t>掉落材料需要玩家使用的最低炮倍</t>
  </si>
  <si>
    <t>duanzaoCrit</t>
  </si>
  <si>
    <t>玩家触发暴击需要使用的最低炮倍</t>
  </si>
  <si>
    <t>limitgoldTurntable</t>
  </si>
  <si>
    <t>2,4</t>
  </si>
  <si>
    <t>鸿运福利-定时领宝箱功能，转盘阶段：x，y（x为首次领取需要的进度，y为非首次领取需要的进度）</t>
  </si>
  <si>
    <t>limitgoldDice</t>
  </si>
  <si>
    <t>3,5</t>
  </si>
  <si>
    <t>鸿运福利-定时领宝箱功能，骰子阶段：x，y（x为首次领取需要的进度，y为非首次领取需要的进度）</t>
  </si>
  <si>
    <t>duanzaoFuyou</t>
  </si>
  <si>
    <t>玩家触发浮游炮需要使用的最低炮倍</t>
  </si>
  <si>
    <t>fuyouPaoE1</t>
  </si>
  <si>
    <t>[0.2,0.18,0.15,0.12,0.1,0]</t>
  </si>
  <si>
    <t>触发1枚浮游炮增加能量E</t>
  </si>
  <si>
    <t>fuyouPaoE2</t>
  </si>
  <si>
    <t>[0.3,0.25,0.2,0.15,0.12,0]</t>
  </si>
  <si>
    <t>触发2枚浮游炮增加能量E</t>
  </si>
  <si>
    <t>fuyouPaoPro</t>
  </si>
  <si>
    <t>触发浮游炮的默认概率5表示5%</t>
  </si>
  <si>
    <t>fuyouPaoAddPro</t>
  </si>
  <si>
    <t>触发浮游炮失败增加的概率</t>
  </si>
  <si>
    <t>hToapp</t>
  </si>
  <si>
    <t>1|2|1000000,1|1|100,2|2107|1,2|1001|10</t>
  </si>
  <si>
    <t>H5往app导量（目前只有H5版本专用）</t>
  </si>
  <si>
    <t>newSignIn1Advert</t>
  </si>
  <si>
    <t>600000</t>
  </si>
  <si>
    <t>看广告——新签到（转盘），第二阶段6点券获得金币的期望值：x金币</t>
  </si>
  <si>
    <t>newSignIn1</t>
  </si>
  <si>
    <t>2000000</t>
  </si>
  <si>
    <t>点券——新签到（转盘），第二阶段6点券获得金币的期望值：x金币</t>
  </si>
  <si>
    <t>newSignIn2</t>
  </si>
  <si>
    <t>6,8</t>
  </si>
  <si>
    <t>新签到（转盘），吉祥物落在外圈的随机数量</t>
  </si>
  <si>
    <t>newSignIn3</t>
  </si>
  <si>
    <t>新签到（转盘），吉祥物落在内圈的随机数量</t>
  </si>
  <si>
    <t>newSignIn4</t>
  </si>
  <si>
    <t>2,3</t>
  </si>
  <si>
    <t>新签到（转盘），吉祥物落在翻倍栏的随机数量</t>
  </si>
  <si>
    <t>newSignIn5</t>
  </si>
  <si>
    <t>新签到（转盘），出现0个吉祥物的权重</t>
  </si>
  <si>
    <t>newSignIn6</t>
  </si>
  <si>
    <t>新签到（转盘），出现1个吉祥物的权重</t>
  </si>
  <si>
    <t>newSignIn7</t>
  </si>
  <si>
    <t>新签到（转盘），出现2个吉祥物的权重</t>
  </si>
  <si>
    <t>newSignInFake1</t>
  </si>
  <si>
    <t>13365687,*贝壳er</t>
  </si>
  <si>
    <t>新签到（转盘），假数据</t>
  </si>
  <si>
    <t>newSignInFake2</t>
  </si>
  <si>
    <t>12106826,*迷果</t>
  </si>
  <si>
    <t>newSignInFake3</t>
  </si>
  <si>
    <t>13562809,*的航海家</t>
  </si>
  <si>
    <t>newSignInjackpotR</t>
  </si>
  <si>
    <t>[0.5,2]</t>
  </si>
  <si>
    <t>服务器校验的奖金池范围，在jackpotShowA00.7~1.3之间波动</t>
  </si>
  <si>
    <t>newSignIn8</t>
  </si>
  <si>
    <t>1|2|100000</t>
  </si>
  <si>
    <t>新签到更新奖励（补偿老玩家）</t>
  </si>
  <si>
    <t>newSignInMaxG</t>
  </si>
  <si>
    <t>1200000</t>
  </si>
  <si>
    <t>第1轮签到最高可令奖励，今天明天</t>
  </si>
  <si>
    <t>shopCD</t>
  </si>
  <si>
    <t>240</t>
  </si>
  <si>
    <t>商城广告精选专区(分钟)</t>
  </si>
  <si>
    <t>advertMissonN</t>
  </si>
  <si>
    <t>3,3</t>
  </si>
  <si>
    <t>航海日志，默认解锁任务栏、看广告解锁任务栏</t>
  </si>
  <si>
    <t>advertMissonD</t>
  </si>
  <si>
    <t>1,2,3</t>
  </si>
  <si>
    <t>航海日志，默认开启的3个品质</t>
  </si>
  <si>
    <t>advertArtifact</t>
  </si>
  <si>
    <t>[29,30,31,32]</t>
  </si>
  <si>
    <t>标记哪些类型属于锻造材料。</t>
  </si>
  <si>
    <t>adverAchievement</t>
  </si>
  <si>
    <t>[3,5]</t>
  </si>
  <si>
    <t>x,y成就系统，x为连续x次点直接领取，则后续y此领取无看广告</t>
  </si>
  <si>
    <t>advertvipexp</t>
  </si>
  <si>
    <t>看几次广告得1vip经验</t>
  </si>
  <si>
    <t>adecpmDefault</t>
  </si>
  <si>
    <t>ecpm中初始默认值</t>
  </si>
  <si>
    <t>adecpmMax</t>
  </si>
  <si>
    <t>ecpm中上限值，超出此值视为此值</t>
  </si>
  <si>
    <t>adecpmFixed</t>
  </si>
  <si>
    <t>ecpm中固定值（仅在ab方案中使用此，此在a方案，保持平衡）</t>
  </si>
  <si>
    <t>adecpmValue</t>
  </si>
  <si>
    <t>200</t>
  </si>
  <si>
    <t>ecpm乘此值，等于金币价值</t>
  </si>
  <si>
    <t>pushgap</t>
  </si>
  <si>
    <t>检测航海日志推送间隔时间</t>
  </si>
  <si>
    <t>c</t>
  </si>
  <si>
    <t>int[]</t>
  </si>
  <si>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2小时领取一次</t>
    </r>
  </si>
  <si>
    <t>VIPLevel</t>
  </si>
  <si>
    <t>VIPExp</t>
  </si>
  <si>
    <t>desVIP</t>
  </si>
  <si>
    <t>desVIPTs</t>
  </si>
  <si>
    <t>desRechange</t>
  </si>
  <si>
    <t>signIn</t>
  </si>
  <si>
    <t>shopCdG</t>
  </si>
  <si>
    <t>shopCdD</t>
  </si>
  <si>
    <t>WLCD</t>
  </si>
  <si>
    <t>GCD</t>
  </si>
  <si>
    <t>FLCD</t>
  </si>
  <si>
    <t>BZCD</t>
  </si>
  <si>
    <t>JGCD</t>
  </si>
  <si>
    <t>attackAdd</t>
  </si>
  <si>
    <t>freeGoldTimes</t>
  </si>
  <si>
    <t>oneTimeBuy</t>
  </si>
  <si>
    <t>oneTimeReward</t>
  </si>
  <si>
    <t>backGift</t>
  </si>
  <si>
    <t>goldFreeGift</t>
  </si>
  <si>
    <t>diamondFreeGift</t>
  </si>
  <si>
    <t>PTfanbei</t>
  </si>
  <si>
    <t>CJfanbei</t>
  </si>
  <si>
    <t>goldAddedTo</t>
  </si>
  <si>
    <t>compenGoldTimes</t>
  </si>
  <si>
    <t>compenGoldNum</t>
  </si>
  <si>
    <t>compenGoldNum308</t>
  </si>
  <si>
    <t>buyRage</t>
  </si>
  <si>
    <t>unlockRageLv</t>
  </si>
  <si>
    <t>extraGoldRecharge</t>
  </si>
  <si>
    <t>mailAdd</t>
  </si>
  <si>
    <t>itemLimit</t>
  </si>
  <si>
    <t>shandianLimit</t>
  </si>
  <si>
    <t>freeNum</t>
  </si>
  <si>
    <t>spLimit</t>
  </si>
  <si>
    <t>Marble1Limit</t>
  </si>
  <si>
    <t>Marble2Limit</t>
  </si>
  <si>
    <t>Marble3Limit</t>
  </si>
  <si>
    <t>arenaScoreAdd</t>
  </si>
  <si>
    <t>arenaRank1</t>
  </si>
  <si>
    <t>arenaReward1</t>
  </si>
  <si>
    <t>arenaRank2</t>
  </si>
  <si>
    <t>arenaReward2</t>
  </si>
  <si>
    <t>arenaRank3</t>
  </si>
  <si>
    <t>arenaReward3</t>
  </si>
  <si>
    <t>arenaRank4</t>
  </si>
  <si>
    <t>arenaReward4</t>
  </si>
  <si>
    <t>arenaRank5</t>
  </si>
  <si>
    <t>arenaReward5</t>
  </si>
  <si>
    <t>maxsave</t>
  </si>
  <si>
    <t>goldCritical</t>
  </si>
  <si>
    <t>criticalE</t>
  </si>
  <si>
    <t>defaultE</t>
  </si>
  <si>
    <t>goldUp</t>
  </si>
  <si>
    <t>goldUpPer</t>
  </si>
  <si>
    <r>
      <rPr>
        <sz val="10"/>
        <color theme="1"/>
        <rFont val="微软雅黑"/>
        <family val="2"/>
        <charset val="134"/>
      </rPr>
      <t>LuckVal</t>
    </r>
    <r>
      <rPr>
        <sz val="10"/>
        <color theme="1"/>
        <rFont val="微软雅黑"/>
        <family val="2"/>
        <charset val="134"/>
      </rPr>
      <t>R</t>
    </r>
  </si>
  <si>
    <t>resetKtime</t>
  </si>
  <si>
    <t>broPPro</t>
  </si>
  <si>
    <t>broPBulletNum</t>
  </si>
  <si>
    <t>broPC</t>
  </si>
  <si>
    <t>lianxuBulletNum</t>
  </si>
  <si>
    <t>lianxubroPC</t>
  </si>
  <si>
    <t>VIPC</t>
  </si>
  <si>
    <t>perLuckyCardAdd</t>
  </si>
  <si>
    <t>limitGoldAdd1</t>
  </si>
  <si>
    <t>limitGoldAdd2</t>
  </si>
  <si>
    <t>limitGoldAdd3</t>
  </si>
  <si>
    <t>商城免费领取金币</t>
  </si>
  <si>
    <t>商城免费领取钻石</t>
  </si>
  <si>
    <t>波动值</t>
  </si>
  <si>
    <t>VIP等级</t>
  </si>
  <si>
    <t>升到当前级需要累计的经验</t>
  </si>
  <si>
    <t xml:space="preserve">VIP描述
</t>
  </si>
  <si>
    <t xml:space="preserve">VIP描述，ios提审状态
</t>
  </si>
  <si>
    <t>充值金额描述
当前vip后续哪些显示金额</t>
  </si>
  <si>
    <r>
      <rPr>
        <sz val="8"/>
        <color theme="1"/>
        <rFont val="微软雅黑"/>
        <family val="2"/>
        <charset val="134"/>
      </rPr>
      <t xml:space="preserve">vipn时，签到奖励翻x倍
</t>
    </r>
    <r>
      <rPr>
        <sz val="8"/>
        <color rgb="FFFF0000"/>
        <rFont val="微软雅黑"/>
        <family val="2"/>
        <charset val="134"/>
      </rPr>
      <t>V9和V10必须是不一样的</t>
    </r>
  </si>
  <si>
    <r>
      <rPr>
        <sz val="8"/>
        <color rgb="FFFF0000"/>
        <rFont val="微软雅黑"/>
        <family val="2"/>
        <charset val="134"/>
      </rPr>
      <t>广告与非广告</t>
    </r>
    <r>
      <rPr>
        <sz val="8"/>
        <color theme="1"/>
        <rFont val="微软雅黑"/>
        <family val="2"/>
        <charset val="134"/>
      </rPr>
      <t xml:space="preserve">
商城金币领取时间cd减少n/分钟</t>
    </r>
  </si>
  <si>
    <r>
      <rPr>
        <sz val="8"/>
        <color rgb="FFFF0000"/>
        <rFont val="微软雅黑"/>
        <family val="2"/>
        <charset val="134"/>
      </rPr>
      <t>广告与非广告</t>
    </r>
    <r>
      <rPr>
        <sz val="8"/>
        <color theme="1"/>
        <rFont val="微软雅黑"/>
        <family val="2"/>
        <charset val="134"/>
      </rPr>
      <t xml:space="preserve">
商城星钻领取时间cd减少n/分钟</t>
    </r>
  </si>
  <si>
    <r>
      <rPr>
        <sz val="8"/>
        <color rgb="FFFF0000"/>
        <rFont val="微软雅黑"/>
        <family val="2"/>
        <charset val="134"/>
      </rPr>
      <t>广告与非广告</t>
    </r>
    <r>
      <rPr>
        <sz val="8"/>
        <color theme="1"/>
        <rFont val="微软雅黑"/>
        <family val="2"/>
        <charset val="134"/>
      </rPr>
      <t xml:space="preserve">
开火威力提升buff时间延长n/分钟</t>
    </r>
  </si>
  <si>
    <r>
      <rPr>
        <sz val="8"/>
        <color rgb="FFFF0000"/>
        <rFont val="微软雅黑"/>
        <family val="2"/>
        <charset val="134"/>
      </rPr>
      <t>广告与非广告</t>
    </r>
    <r>
      <rPr>
        <sz val="8"/>
        <color theme="1"/>
        <rFont val="微软雅黑"/>
        <family val="2"/>
        <charset val="134"/>
      </rPr>
      <t xml:space="preserve">
赏金猎人buff时间延长n/分钟</t>
    </r>
  </si>
  <si>
    <r>
      <rPr>
        <sz val="8"/>
        <color rgb="FFFF0000"/>
        <rFont val="微软雅黑"/>
        <family val="2"/>
        <charset val="134"/>
      </rPr>
      <t>广告与非广告</t>
    </r>
    <r>
      <rPr>
        <sz val="8"/>
        <color theme="1"/>
        <rFont val="微软雅黑"/>
        <family val="2"/>
        <charset val="134"/>
      </rPr>
      <t xml:space="preserve">
分裂时间延长n/分钟</t>
    </r>
  </si>
  <si>
    <r>
      <rPr>
        <sz val="8"/>
        <color rgb="FFFF0000"/>
        <rFont val="微软雅黑"/>
        <family val="2"/>
        <charset val="134"/>
      </rPr>
      <t>广告与非广告</t>
    </r>
    <r>
      <rPr>
        <sz val="8"/>
        <color theme="1"/>
        <rFont val="微软雅黑"/>
        <family val="2"/>
        <charset val="134"/>
      </rPr>
      <t xml:space="preserve">
爆炸时间延长n</t>
    </r>
  </si>
  <si>
    <r>
      <rPr>
        <sz val="8"/>
        <color rgb="FFFF0000"/>
        <rFont val="微软雅黑"/>
        <family val="2"/>
        <charset val="134"/>
      </rPr>
      <t>广告与非广告</t>
    </r>
    <r>
      <rPr>
        <sz val="8"/>
        <color theme="1"/>
        <rFont val="微软雅黑"/>
        <family val="2"/>
        <charset val="134"/>
      </rPr>
      <t xml:space="preserve">
激光时间延长n</t>
    </r>
  </si>
  <si>
    <t>攻击力（能量）增加提示图片
当前版本没有，配空</t>
  </si>
  <si>
    <t>免费金币一等奖每天次数限制</t>
  </si>
  <si>
    <t>升级到某档VIP，可购买的一次性礼包id（对应充值相关表）</t>
  </si>
  <si>
    <t>升级到某档VIP，可领取的一次性奖励（格式：x|y|z，x为类型，y为道具编号，z为数量）</t>
  </si>
  <si>
    <r>
      <rPr>
        <sz val="8"/>
        <color theme="1"/>
        <rFont val="微软雅黑"/>
        <family val="2"/>
        <charset val="134"/>
      </rPr>
      <t>回归礼包</t>
    </r>
    <r>
      <rPr>
        <sz val="8"/>
        <color rgb="FFFF0000"/>
        <rFont val="微软雅黑"/>
        <family val="2"/>
        <charset val="134"/>
      </rPr>
      <t>，免费领取的奖励</t>
    </r>
  </si>
  <si>
    <t>商城金币页签免费礼包奖励内容
从范围内随机，包含填写的最小和最大值</t>
  </si>
  <si>
    <t>商城钻石页签免费礼包奖励内容</t>
  </si>
  <si>
    <t>幸运金币
普通翻倍</t>
  </si>
  <si>
    <t>幸运金币
超级翻倍</t>
  </si>
  <si>
    <t>每日首次登陆将金币补足至300万</t>
  </si>
  <si>
    <t>每日领取N次发财金</t>
  </si>
  <si>
    <r>
      <rPr>
        <sz val="8"/>
        <color theme="1"/>
        <rFont val="微软雅黑"/>
        <family val="2"/>
        <charset val="134"/>
      </rPr>
      <t xml:space="preserve">每次领取发财金+xxx金币
</t>
    </r>
    <r>
      <rPr>
        <b/>
        <sz val="8"/>
        <color theme="0"/>
        <rFont val="微软雅黑"/>
        <family val="2"/>
        <charset val="134"/>
      </rPr>
      <t>对应首充306</t>
    </r>
  </si>
  <si>
    <r>
      <rPr>
        <sz val="8"/>
        <color theme="1"/>
        <rFont val="微软雅黑"/>
        <family val="2"/>
        <charset val="134"/>
      </rPr>
      <t xml:space="preserve">每次领取发财金倍数
</t>
    </r>
    <r>
      <rPr>
        <b/>
        <sz val="8"/>
        <color theme="0"/>
        <rFont val="微软雅黑"/>
        <family val="2"/>
        <charset val="134"/>
      </rPr>
      <t>对应首充308</t>
    </r>
  </si>
  <si>
    <t>开启狂暴购买
0否，1是</t>
  </si>
  <si>
    <t>当前VIP解锁的
狂暴等级</t>
  </si>
  <si>
    <t>充值金币额外赠送5%</t>
  </si>
  <si>
    <t>邮件接收上限</t>
  </si>
  <si>
    <t>每日捕鱼掉落
道具限制</t>
  </si>
  <si>
    <t>勇者斗恶龙闪电掉落上限/每天</t>
  </si>
  <si>
    <t>勇者斗恶龙闪电赠送上限/每天</t>
  </si>
  <si>
    <t>美猴王碎片掉落上限/每天</t>
  </si>
  <si>
    <t>弹珠掉落上限/每天</t>
  </si>
  <si>
    <t>自动开火解锁需要的VIP等级
0未解锁
1解锁</t>
  </si>
  <si>
    <t>vip多少时解锁，自选房间功能
0不能
1能</t>
  </si>
  <si>
    <r>
      <rPr>
        <sz val="9"/>
        <color theme="1"/>
        <rFont val="微软雅黑"/>
        <family val="2"/>
        <charset val="134"/>
      </rPr>
      <t xml:space="preserve">竞技场积分加成%
</t>
    </r>
    <r>
      <rPr>
        <sz val="9"/>
        <color rgb="FFFF0000"/>
        <rFont val="微软雅黑"/>
        <family val="2"/>
        <charset val="134"/>
      </rPr>
      <t>注意！改动此列需要收到调整多语言描述</t>
    </r>
  </si>
  <si>
    <t>排名范围1</t>
  </si>
  <si>
    <t>奖励1</t>
  </si>
  <si>
    <t>排名范围2</t>
  </si>
  <si>
    <t>奖励2</t>
  </si>
  <si>
    <t>排名范围3</t>
  </si>
  <si>
    <t>奖励3</t>
  </si>
  <si>
    <t>排名范围4</t>
  </si>
  <si>
    <t>奖励4</t>
  </si>
  <si>
    <t>排名范围5</t>
  </si>
  <si>
    <t>奖励5</t>
  </si>
  <si>
    <t>存钱罐vip可存储金币上限</t>
  </si>
  <si>
    <t>金币临界数量</t>
  </si>
  <si>
    <r>
      <rPr>
        <b/>
        <sz val="11"/>
        <color rgb="FFFF0000"/>
        <rFont val="微软雅黑"/>
        <family val="2"/>
        <charset val="134"/>
      </rPr>
      <t xml:space="preserve">临界时E
</t>
    </r>
    <r>
      <rPr>
        <b/>
        <sz val="11"/>
        <color rgb="FF00B0F0"/>
        <rFont val="微软雅黑"/>
        <family val="2"/>
        <charset val="134"/>
      </rPr>
      <t>仅</t>
    </r>
    <r>
      <rPr>
        <b/>
        <sz val="10"/>
        <color rgb="FF00B0F0"/>
        <rFont val="微软雅黑"/>
        <family val="2"/>
        <charset val="134"/>
      </rPr>
      <t>渔场用</t>
    </r>
  </si>
  <si>
    <r>
      <rPr>
        <b/>
        <sz val="11"/>
        <color rgb="FFFF0000"/>
        <rFont val="微软雅黑"/>
        <family val="2"/>
        <charset val="134"/>
      </rPr>
      <t>E</t>
    </r>
    <r>
      <rPr>
        <sz val="11"/>
        <color theme="1"/>
        <rFont val="宋体"/>
        <family val="3"/>
        <charset val="134"/>
      </rPr>
      <t xml:space="preserve">默认
</t>
    </r>
    <r>
      <rPr>
        <b/>
        <sz val="10"/>
        <color rgb="FF00B0F0"/>
        <rFont val="宋体"/>
        <family val="3"/>
        <charset val="134"/>
      </rPr>
      <t>渔场通用</t>
    </r>
  </si>
  <si>
    <t>玩家金币&gt;N时某些鱼捕获概率降低</t>
  </si>
  <si>
    <r>
      <rPr>
        <b/>
        <sz val="10"/>
        <color rgb="FFFF0000"/>
        <rFont val="微软雅黑"/>
        <family val="2"/>
        <charset val="134"/>
      </rPr>
      <t xml:space="preserve">鱼类型和对应的能量%
</t>
    </r>
    <r>
      <rPr>
        <b/>
        <sz val="10"/>
        <color rgb="FF00B0F0"/>
        <rFont val="微软雅黑"/>
        <family val="2"/>
        <charset val="134"/>
      </rPr>
      <t>仅渔场用</t>
    </r>
  </si>
  <si>
    <t>波动值范围
波动值*最终能量为最后能量</t>
  </si>
  <si>
    <t>充值库存重置时间/小时
从a,b范围内随机
每次登录检查时间</t>
  </si>
  <si>
    <t>不同VIP， 领取救济金时， 触发破产保护的概率（不额外消耗破产保护次数）</t>
  </si>
  <si>
    <t>不同VIP，触发破产保护的子弹数量
a,b表示从之间随机</t>
  </si>
  <si>
    <t>不同VIP， 触发破产保护时， 破产保护系数：</t>
  </si>
  <si>
    <t>玩家使用10万炮时生效
玩家3次及以上高额328或628元的商城金币充值，但在短时间内金币小于了2000万，增加修正子弹和能量</t>
  </si>
  <si>
    <t>vip修正系数对能量的
0.009=90/10000</t>
  </si>
  <si>
    <t>vip积累幸运卡牌能量时额外积累的百分比</t>
  </si>
  <si>
    <t>鸿运福利的加成
模块：福利金</t>
  </si>
  <si>
    <t>鸿运福利的加成
模块：转盘</t>
  </si>
  <si>
    <t>鸿运福利的加成
模块：骰子</t>
  </si>
  <si>
    <t>平均值</t>
  </si>
  <si>
    <t>倒计时/小时</t>
  </si>
  <si>
    <t>每天领取</t>
  </si>
  <si>
    <t>v0--v3</t>
  </si>
  <si>
    <t>值范围（小）</t>
  </si>
  <si>
    <t>值范围（大）</t>
  </si>
  <si>
    <t>1|2|200000,2|1001|2,2|1002|2</t>
  </si>
  <si>
    <t>1|2|10000,1|2|15000,1|2|20000</t>
  </si>
  <si>
    <t>1|1|1,1|1|1</t>
  </si>
  <si>
    <t>2|1001|1,2|1002|1,2|1004|1,2|1601|5,2|2301|999,2|2302|999,2|2303|999,2|2304|999</t>
  </si>
  <si>
    <t>[[4,0.95],[5,0.95],[6,0.85]]</t>
  </si>
  <si>
    <t>[48,96]</t>
  </si>
  <si>
    <t>[10,30]</t>
  </si>
  <si>
    <t>[0,1.2]</t>
  </si>
  <si>
    <t>[200,400]</t>
  </si>
  <si>
    <t>[1,3]</t>
  </si>
  <si>
    <t>基础炮</t>
  </si>
  <si>
    <t>总期望</t>
  </si>
  <si>
    <t>16,0,12,23,24,37,99</t>
  </si>
  <si>
    <t>0,3</t>
  </si>
  <si>
    <t>1|2|500000</t>
  </si>
  <si>
    <t>1|2|20000,1|2|30000,1|2|40000</t>
  </si>
  <si>
    <t>1|1|1,1|1|2</t>
  </si>
  <si>
    <t>[36,72]</t>
  </si>
  <si>
    <t>[20,36]</t>
  </si>
  <si>
    <t>[0.5,1.6]</t>
  </si>
  <si>
    <t>金刚王座</t>
  </si>
  <si>
    <t>16,0,17,3,23,24,37,38,39,40,41</t>
  </si>
  <si>
    <t>0,4,8</t>
  </si>
  <si>
    <t>1|2|2000000</t>
  </si>
  <si>
    <t>1|2|500000,2|1001|5,2|1002|5</t>
  </si>
  <si>
    <t>2|1001|1,2|1002|1,2|1004|1,2|1601|6,2|2301|999,2|2302|999,2|2303|999,2|2304|999</t>
  </si>
  <si>
    <t>[24,48]</t>
  </si>
  <si>
    <t>[24,40]</t>
  </si>
  <si>
    <t>[0.6,2]</t>
  </si>
  <si>
    <t>急速旋涡</t>
  </si>
  <si>
    <t>16,0,9,7,4,15,5,23,24,37,38,39,40,41</t>
  </si>
  <si>
    <t>0,4,5</t>
  </si>
  <si>
    <t>1|2|5000000</t>
  </si>
  <si>
    <t>1|2|1000000,2|1001|10,2|1002|10</t>
  </si>
  <si>
    <t>4,5</t>
  </si>
  <si>
    <t>1|2|300000</t>
  </si>
  <si>
    <t>[24,36]</t>
  </si>
  <si>
    <t>[28,44]</t>
  </si>
  <si>
    <t>[0.7,2]</t>
  </si>
  <si>
    <t>未来科技</t>
  </si>
  <si>
    <t>16,0,18,9,12,23,24,37,38,39,40,41</t>
  </si>
  <si>
    <t>1|2|10000000</t>
  </si>
  <si>
    <t>1|2|1500000,2|1001|15,2|1002|15</t>
  </si>
  <si>
    <t>2|1001|2,2|1002|2,2|1004|2,2|1601|8,2|2301|999,2|2302|999,2|2303|999,2|2304|999</t>
  </si>
  <si>
    <t>1|2|1000000</t>
  </si>
  <si>
    <t>1|2|7500000</t>
  </si>
  <si>
    <t>[18,36]</t>
  </si>
  <si>
    <t>[36,50]</t>
  </si>
  <si>
    <t>[0.8,2]</t>
  </si>
  <si>
    <t>热能熔炉</t>
  </si>
  <si>
    <t>16,0,2,9,7,4,15,5</t>
  </si>
  <si>
    <t>1|2|15000000</t>
  </si>
  <si>
    <t>1|2|2000000,2|1001|20,2|1002|20</t>
  </si>
  <si>
    <t>1|2|40000,1|2|50000,1|2|60000,1|2|70000,1|2|80000</t>
  </si>
  <si>
    <t>1|1|2,1|1|3,1|1|4</t>
  </si>
  <si>
    <t>1|2|1500000</t>
  </si>
  <si>
    <t>[42,60]</t>
  </si>
  <si>
    <t>[1,2]</t>
  </si>
  <si>
    <t>[2,3]</t>
  </si>
  <si>
    <t>生命守护</t>
  </si>
  <si>
    <t>16,0,2,9,7,3</t>
  </si>
  <si>
    <t>0,4,9,8</t>
  </si>
  <si>
    <t>1|2|18000000</t>
  </si>
  <si>
    <t>1|2|3000000,2|1001|30,2|1002|30</t>
  </si>
  <si>
    <t>2|1001|2,2|1002|2,2|1004|2,2|1601|10,2|2301|999,2|2302|999,2|2303|999,2|2304|999</t>
  </si>
  <si>
    <t>1|2|3000000</t>
  </si>
  <si>
    <t>[12,36]</t>
  </si>
  <si>
    <t>[50,70]</t>
  </si>
  <si>
    <t>[1.2,2.2]</t>
  </si>
  <si>
    <t>[2.5,4]</t>
  </si>
  <si>
    <t>磁悬风暴</t>
  </si>
  <si>
    <t>16,0,2,9,4,15,5,12</t>
  </si>
  <si>
    <t>0,4,5,9,7</t>
  </si>
  <si>
    <t>1|2|25000000</t>
  </si>
  <si>
    <t>1|2|4000000,2|1001|40,2|1002|40</t>
  </si>
  <si>
    <t>2|1001|3,2|1002|3,2|1004|3,2|1601|10,2|2301|999,2|2302|999,2|2303|999,2|2304|999</t>
  </si>
  <si>
    <t>1,1</t>
  </si>
  <si>
    <t>2,5</t>
  </si>
  <si>
    <t>6,10</t>
  </si>
  <si>
    <t>[1.2,2.4]</t>
  </si>
  <si>
    <t>恶魔城堡</t>
  </si>
  <si>
    <t>16,0,2,9</t>
  </si>
  <si>
    <t>0,9,8,7</t>
  </si>
  <si>
    <t>1|2|50000000</t>
  </si>
  <si>
    <t>1|2|6000000,2|1001|60,2|1002|60</t>
  </si>
  <si>
    <t>2|1001|3,2|1002|3,2|1004|3,2|1601|12,2|2301|999,2|2302|999,2|2303|999,2|2304|999</t>
  </si>
  <si>
    <t>11,15</t>
  </si>
  <si>
    <t>[12,30]</t>
  </si>
  <si>
    <t>[1.2,2.6]</t>
  </si>
  <si>
    <t>[3.5,5.5]</t>
  </si>
  <si>
    <t>赤色火焰</t>
  </si>
  <si>
    <t>0,4,9,8,7</t>
  </si>
  <si>
    <t>1|2|100000000</t>
  </si>
  <si>
    <t>1|2|8000000,2|1001|70,2|1002|70</t>
  </si>
  <si>
    <t>1|2|80000,1|2|90000,1|2|100000,1|2|110000,1|2|120000</t>
  </si>
  <si>
    <t>1|1|4,1|1|5,1|1|6</t>
  </si>
  <si>
    <t>2|1001|3,2|1002|3,2|1004|3,2|1601|15,2|2301|999,2|2302|999,2|2303|999,2|2304|999</t>
  </si>
  <si>
    <t>16,20</t>
  </si>
  <si>
    <t>[1.2,2.8]</t>
  </si>
  <si>
    <t>[3.5,7]</t>
  </si>
  <si>
    <t>末日裁决</t>
  </si>
  <si>
    <t>v4--v7</t>
  </si>
  <si>
    <t>16,0,2,9,7,4,15,12</t>
  </si>
  <si>
    <t>1|2|200000000</t>
  </si>
  <si>
    <t>1|2|10000000,2|1001|80,2|1002|80</t>
  </si>
  <si>
    <t>2|1001|3,2|1002|3,2|1004|3,2|1601|20,2|2301|999,2|2302|999,2|2303|999,2|2304|999</t>
  </si>
  <si>
    <t>1|2|20000000</t>
  </si>
  <si>
    <t>[1.2,3]</t>
  </si>
  <si>
    <t>[3.5,8]</t>
  </si>
  <si>
    <t>v8--v10</t>
  </si>
  <si>
    <t>枚举广告相关特权，一部分是广告单独有的，一部分是与VIP升级相同的</t>
  </si>
  <si>
    <t>adTanqiu</t>
  </si>
  <si>
    <t>adWingFeng</t>
  </si>
  <si>
    <t>adWingHuo</t>
  </si>
  <si>
    <t>adWingLei</t>
  </si>
  <si>
    <t>adShopCdjx</t>
  </si>
  <si>
    <t>adShopCdzhq</t>
  </si>
  <si>
    <t>adLuckyDraw</t>
  </si>
  <si>
    <t>adGame</t>
  </si>
  <si>
    <t>adFireTime</t>
  </si>
  <si>
    <t>adFireNum</t>
  </si>
  <si>
    <t>adCompenGAdd</t>
  </si>
  <si>
    <t>adCarMultiple</t>
  </si>
  <si>
    <t>adCjAddTimes</t>
  </si>
  <si>
    <t>adArenaBullet</t>
  </si>
  <si>
    <t>adMissionCD</t>
  </si>
  <si>
    <t>adMissionMultiple</t>
  </si>
  <si>
    <t xml:space="preserve">VIP等级
</t>
  </si>
  <si>
    <t>升到当前级需要
累计的经验</t>
  </si>
  <si>
    <t>升级到某档VIP，可购买的一次性礼包id（对应充值相关表）
留空表示，只保留vipX0等级的礼包</t>
  </si>
  <si>
    <r>
      <rPr>
        <sz val="8"/>
        <color rgb="FFFF0000"/>
        <rFont val="微软雅黑"/>
        <family val="2"/>
        <charset val="134"/>
      </rPr>
      <t>广告与非广告</t>
    </r>
    <r>
      <rPr>
        <sz val="8"/>
        <color theme="1"/>
        <rFont val="微软雅黑"/>
        <family val="2"/>
        <charset val="134"/>
      </rPr>
      <t xml:space="preserve">
升级到某档VIP，可领取的一次性奖励
</t>
    </r>
    <r>
      <rPr>
        <sz val="8"/>
        <color rgb="FFFF0000"/>
        <rFont val="微软雅黑"/>
        <family val="2"/>
        <charset val="134"/>
      </rPr>
      <t>与VIP升级表同一特权</t>
    </r>
  </si>
  <si>
    <r>
      <rPr>
        <sz val="8"/>
        <color rgb="FFFF0000"/>
        <rFont val="微软雅黑"/>
        <family val="2"/>
        <charset val="134"/>
      </rPr>
      <t>广告与非广告</t>
    </r>
    <r>
      <rPr>
        <sz val="8"/>
        <color theme="1"/>
        <rFont val="微软雅黑"/>
        <family val="2"/>
        <charset val="134"/>
      </rPr>
      <t xml:space="preserve">
每日首次登陆将金币补足至300万
</t>
    </r>
    <r>
      <rPr>
        <sz val="8"/>
        <color rgb="FFFF0000"/>
        <rFont val="微软雅黑"/>
        <family val="2"/>
        <charset val="134"/>
      </rPr>
      <t>与VIP升级表同一特权</t>
    </r>
  </si>
  <si>
    <t>看广告弹球碰碰碰所得球+n</t>
  </si>
  <si>
    <t>看广告获得风翅膀使用时间+n/小时</t>
  </si>
  <si>
    <r>
      <rPr>
        <sz val="8"/>
        <color theme="1"/>
        <rFont val="微软雅黑"/>
        <family val="2"/>
        <charset val="134"/>
      </rPr>
      <t>看广告获得火翅膀使用时间+n</t>
    </r>
    <r>
      <rPr>
        <sz val="8"/>
        <color theme="1"/>
        <rFont val="微软雅黑"/>
        <family val="2"/>
        <charset val="134"/>
      </rPr>
      <t>/</t>
    </r>
    <r>
      <rPr>
        <sz val="8"/>
        <color theme="1"/>
        <rFont val="微软雅黑"/>
        <family val="2"/>
        <charset val="134"/>
      </rPr>
      <t>小时</t>
    </r>
  </si>
  <si>
    <r>
      <rPr>
        <sz val="8"/>
        <color theme="1"/>
        <rFont val="微软雅黑"/>
        <family val="2"/>
        <charset val="134"/>
      </rPr>
      <t>看广告获得雷翅膀使用时间+n</t>
    </r>
    <r>
      <rPr>
        <sz val="8"/>
        <color theme="1"/>
        <rFont val="微软雅黑"/>
        <family val="2"/>
        <charset val="134"/>
      </rPr>
      <t>/</t>
    </r>
    <r>
      <rPr>
        <sz val="8"/>
        <color theme="1"/>
        <rFont val="微软雅黑"/>
        <family val="2"/>
        <charset val="134"/>
      </rPr>
      <t>小时</t>
    </r>
  </si>
  <si>
    <t>商城精选刷新时间减少n/分钟</t>
  </si>
  <si>
    <t>商城专区刷新时间减少n/秒</t>
  </si>
  <si>
    <t>抽抽乐看广告抽取次数+n</t>
  </si>
  <si>
    <t>小游戏重选次数+1</t>
  </si>
  <si>
    <t>看广告触发的自动开火时长延长n分钟</t>
  </si>
  <si>
    <t>看广告触发的自动开火次数增加n次</t>
  </si>
  <si>
    <t>破产看广告的发财金金额+n</t>
  </si>
  <si>
    <t>每次看广告幸运卡片进度增加值变为n倍（能支持小数）
150表示1.5倍数</t>
  </si>
  <si>
    <t>超级武器数量为0时看广告领取次数+n</t>
  </si>
  <si>
    <t>竞技场每次看广告子弹数再+n</t>
  </si>
  <si>
    <t>航海日志任务初始时间减少n%</t>
  </si>
  <si>
    <t>航海日志加速倍数增加</t>
  </si>
  <si>
    <t>升级需
要经验
计算值</t>
  </si>
  <si>
    <t>修正后</t>
  </si>
  <si>
    <t>vip1.0</t>
  </si>
  <si>
    <t>差值</t>
  </si>
  <si>
    <t>vip2.0</t>
  </si>
  <si>
    <t>vip3.0</t>
  </si>
  <si>
    <t>vip4.0</t>
  </si>
  <si>
    <t>vip金币补充至</t>
  </si>
  <si>
    <t>vip5.0</t>
  </si>
  <si>
    <t>vip6.0</t>
  </si>
  <si>
    <t>vip7.0</t>
  </si>
  <si>
    <t>vip8.0</t>
  </si>
  <si>
    <t>vip9.0</t>
  </si>
  <si>
    <t>des</t>
  </si>
  <si>
    <t>range</t>
  </si>
  <si>
    <r>
      <rPr>
        <sz val="8"/>
        <color theme="1"/>
        <rFont val="微软雅黑"/>
        <family val="2"/>
        <charset val="134"/>
      </rPr>
      <t>特权字段名称对应
V</t>
    </r>
    <r>
      <rPr>
        <sz val="8"/>
        <color theme="1"/>
        <rFont val="微软雅黑"/>
        <family val="2"/>
        <charset val="134"/>
      </rPr>
      <t>IPUp和VIPAd</t>
    </r>
  </si>
  <si>
    <t>特权描述</t>
  </si>
  <si>
    <t>描述可以展示范围的VIP范围，“[a,b]”,前闭后闭
0~100</t>
  </si>
  <si>
    <t>vip_desc_16</t>
  </si>
  <si>
    <t>[10,109]</t>
  </si>
  <si>
    <r>
      <rPr>
        <sz val="8"/>
        <color rgb="FFFF0000"/>
        <rFont val="微软雅黑"/>
        <family val="2"/>
        <charset val="134"/>
      </rPr>
      <t xml:space="preserve">广告与非广告 </t>
    </r>
    <r>
      <rPr>
        <sz val="8"/>
        <color theme="1"/>
        <rFont val="微软雅黑"/>
        <family val="2"/>
        <charset val="134"/>
      </rPr>
      <t>升级到某档VIP，可领取的一次性奖励（格式：x|y|z，x为类型，y为道具编号，z为数量）</t>
    </r>
  </si>
  <si>
    <t>vip_desc_2</t>
  </si>
  <si>
    <r>
      <rPr>
        <sz val="8"/>
        <color rgb="FFFF0000"/>
        <rFont val="微软雅黑"/>
        <family val="2"/>
        <charset val="134"/>
      </rPr>
      <t>广告与非广告</t>
    </r>
    <r>
      <rPr>
        <sz val="8"/>
        <color theme="1"/>
        <rFont val="微软雅黑"/>
        <family val="2"/>
        <charset val="134"/>
      </rPr>
      <t xml:space="preserve"> 每日首次登陆将金币补足至300万</t>
    </r>
  </si>
  <si>
    <t>vip_desc_18</t>
  </si>
  <si>
    <t>vip_desc_9</t>
  </si>
  <si>
    <t>vip_desc_7</t>
  </si>
  <si>
    <t>vip_desc_3</t>
  </si>
  <si>
    <t>vip_desc_4</t>
  </si>
  <si>
    <r>
      <rPr>
        <sz val="8"/>
        <color theme="1"/>
        <rFont val="微软雅黑"/>
        <family val="2"/>
        <charset val="134"/>
      </rPr>
      <t xml:space="preserve">每次领取发财金+xxx金币
</t>
    </r>
    <r>
      <rPr>
        <b/>
        <sz val="8"/>
        <color theme="1"/>
        <rFont val="微软雅黑"/>
        <family val="2"/>
        <charset val="134"/>
      </rPr>
      <t>对应首充306</t>
    </r>
  </si>
  <si>
    <t>vip_desc_15</t>
  </si>
  <si>
    <r>
      <rPr>
        <sz val="8"/>
        <color theme="1"/>
        <rFont val="微软雅黑"/>
        <family val="2"/>
        <charset val="134"/>
      </rPr>
      <t xml:space="preserve">每次领取发财金倍数
</t>
    </r>
    <r>
      <rPr>
        <b/>
        <sz val="8"/>
        <color theme="1"/>
        <rFont val="微软雅黑"/>
        <family val="2"/>
        <charset val="134"/>
      </rPr>
      <t>对应首充308</t>
    </r>
  </si>
  <si>
    <t>vip_desc_5</t>
  </si>
  <si>
    <t>不展示永久解锁炮的特权描述和继承上一个vip等级的描述</t>
  </si>
  <si>
    <t>vip_desc_12</t>
  </si>
  <si>
    <t>枚举VIP显示特权，不重复枚举这两个表里的所有特权</t>
  </si>
  <si>
    <t>vip_desc_17</t>
  </si>
  <si>
    <t>客户端需要处理显示的互斥，比如原来发财金x66倍的特权描述</t>
  </si>
  <si>
    <t>vip_desc_19</t>
  </si>
  <si>
    <t>vip_desc_20</t>
  </si>
  <si>
    <t>vip_desc_21</t>
  </si>
  <si>
    <t>vip_desc_22</t>
  </si>
  <si>
    <t>vip_desc_23</t>
  </si>
  <si>
    <r>
      <rPr>
        <sz val="8"/>
        <color rgb="FFFF0000"/>
        <rFont val="微软雅黑"/>
        <family val="2"/>
        <charset val="134"/>
      </rPr>
      <t>广告与非广告</t>
    </r>
    <r>
      <rPr>
        <sz val="8"/>
        <color theme="1"/>
        <rFont val="微软雅黑"/>
        <family val="2"/>
        <charset val="134"/>
      </rPr>
      <t>商城金币领取时间cd减少n/分钟</t>
    </r>
  </si>
  <si>
    <t>vip_desc_24</t>
  </si>
  <si>
    <r>
      <rPr>
        <sz val="8"/>
        <color rgb="FFFF0000"/>
        <rFont val="微软雅黑"/>
        <family val="2"/>
        <charset val="134"/>
      </rPr>
      <t>广告与非广告</t>
    </r>
    <r>
      <rPr>
        <sz val="8"/>
        <color theme="1"/>
        <rFont val="微软雅黑"/>
        <family val="2"/>
        <charset val="134"/>
      </rPr>
      <t>商城星钻领取时间cd减少n/分钟</t>
    </r>
  </si>
  <si>
    <t>vip_desc_25</t>
  </si>
  <si>
    <t>vip_desc_26</t>
  </si>
  <si>
    <t>商城专区刷新时间减少n/分钟</t>
  </si>
  <si>
    <t>vip_desc_27</t>
  </si>
  <si>
    <t>vip_desc_28</t>
  </si>
  <si>
    <t>vip_desc_29</t>
  </si>
  <si>
    <t>[10,19]</t>
  </si>
  <si>
    <t>vip_desc_30</t>
  </si>
  <si>
    <t>vip_desc_31</t>
  </si>
  <si>
    <t>vip_desc_32</t>
  </si>
  <si>
    <t>vip_desc_33</t>
  </si>
  <si>
    <t>超级武器看视频领取次数+n</t>
  </si>
  <si>
    <t>vip_desc_34</t>
  </si>
  <si>
    <t>vip_desc_35</t>
  </si>
  <si>
    <t>vip_desc_36</t>
  </si>
  <si>
    <t>vip_desc_37</t>
  </si>
  <si>
    <t>贵族x级，开火威力提升buff时间延长n/分钟</t>
  </si>
  <si>
    <t>vip_desc_38</t>
  </si>
  <si>
    <r>
      <rPr>
        <sz val="8"/>
        <color rgb="FFFF0000"/>
        <rFont val="微软雅黑"/>
        <family val="2"/>
        <charset val="134"/>
      </rPr>
      <t>广告与非广告</t>
    </r>
    <r>
      <rPr>
        <sz val="8"/>
        <color theme="1"/>
        <rFont val="微软雅黑"/>
        <family val="2"/>
        <charset val="134"/>
      </rPr>
      <t xml:space="preserve"> 赏金猎人buff时间延长n/分钟</t>
    </r>
  </si>
  <si>
    <t>vip_desc_39</t>
  </si>
  <si>
    <r>
      <rPr>
        <sz val="8"/>
        <color rgb="FFFF0000"/>
        <rFont val="微软雅黑"/>
        <family val="2"/>
        <charset val="134"/>
      </rPr>
      <t>广告与非广告</t>
    </r>
    <r>
      <rPr>
        <sz val="8"/>
        <color theme="1"/>
        <rFont val="微软雅黑"/>
        <family val="2"/>
        <charset val="134"/>
      </rPr>
      <t xml:space="preserve"> 分裂时间延长n/分钟</t>
    </r>
  </si>
  <si>
    <t>vip_desc_40</t>
  </si>
  <si>
    <r>
      <rPr>
        <sz val="8"/>
        <color rgb="FFFF0000"/>
        <rFont val="微软雅黑"/>
        <family val="2"/>
        <charset val="134"/>
      </rPr>
      <t>广告与非广告</t>
    </r>
    <r>
      <rPr>
        <sz val="8"/>
        <color theme="1"/>
        <rFont val="微软雅黑"/>
        <family val="2"/>
        <charset val="134"/>
      </rPr>
      <t xml:space="preserve"> 爆炸时间延长n</t>
    </r>
  </si>
  <si>
    <t>vip_desc_41</t>
  </si>
  <si>
    <r>
      <rPr>
        <sz val="8"/>
        <color rgb="FFFF0000"/>
        <rFont val="微软雅黑"/>
        <family val="2"/>
        <charset val="134"/>
      </rPr>
      <t>广告与非广告</t>
    </r>
    <r>
      <rPr>
        <sz val="8"/>
        <color theme="1"/>
        <rFont val="微软雅黑"/>
        <family val="2"/>
        <charset val="134"/>
      </rPr>
      <t xml:space="preserve"> 激光时间延长n</t>
    </r>
  </si>
  <si>
    <t>rangeMin</t>
  </si>
  <si>
    <t>弹头金币价值</t>
  </si>
  <si>
    <t>掉落弹头的范围最小值前闭后开
最大值为下一档的最小值
最高档的最大值为无穷大</t>
  </si>
  <si>
    <t>服务器开关</t>
  </si>
  <si>
    <t>itemId</t>
  </si>
  <si>
    <t>name</t>
  </si>
  <si>
    <t>nameLanguage</t>
  </si>
  <si>
    <t>nameChinese</t>
  </si>
  <si>
    <t>coinValue</t>
  </si>
  <si>
    <t>GValue</t>
  </si>
  <si>
    <t>DValue</t>
  </si>
  <si>
    <t>automaticUse</t>
  </si>
  <si>
    <t>desLanguage</t>
  </si>
  <si>
    <t>functionType</t>
  </si>
  <si>
    <t>channel</t>
  </si>
  <si>
    <t>channelid</t>
  </si>
  <si>
    <t>parameterType</t>
  </si>
  <si>
    <t>parameterType2</t>
  </si>
  <si>
    <t>displayButtons</t>
  </si>
  <si>
    <t>unlockGiveNum</t>
  </si>
  <si>
    <t>canGiveNumLimit</t>
  </si>
  <si>
    <t>giveMinVip</t>
  </si>
  <si>
    <t>defaultGiveNum</t>
  </si>
  <si>
    <t>giveLimit</t>
  </si>
  <si>
    <t>receiveLimit</t>
  </si>
  <si>
    <t>buyPrice</t>
  </si>
  <si>
    <t>defaultBuyNum</t>
  </si>
  <si>
    <t>sellPrice</t>
  </si>
  <si>
    <t>defaultSellNum</t>
  </si>
  <si>
    <t>notOwned</t>
  </si>
  <si>
    <t>notOwned2</t>
  </si>
  <si>
    <t>upLimit</t>
  </si>
  <si>
    <t>道具id
1xxx开头
2xxx开头
3xxx开头
道具只能到3xxx，区分记录日志的炮4xxx</t>
  </si>
  <si>
    <t>道具图片
资源名称</t>
  </si>
  <si>
    <t xml:space="preserve">道具名称(多语言格式)
</t>
  </si>
  <si>
    <t>中文描述
（后台统计专用）</t>
  </si>
  <si>
    <t>物品对应的金币价值
（后台统计专用）</t>
  </si>
  <si>
    <t>星钻价值</t>
  </si>
  <si>
    <t>自动使用，1获得道具后，服务端控制自动使用
目前只有首充和邮件在使用</t>
  </si>
  <si>
    <t>道具描述(多语言格式)</t>
  </si>
  <si>
    <r>
      <rPr>
        <sz val="8"/>
        <color theme="1"/>
        <rFont val="微软雅黑"/>
        <family val="2"/>
        <charset val="134"/>
      </rPr>
      <t xml:space="preserve">道具效果
1.锁定;2.冰冻;3.狂暴;4.召唤
5.自动开火+限时;6.礼包；7贵族卡，8话费卡，9实物
10轰炸机,11红包.12活动道具（限时），13用于合成
20会员加长卡
21.炮台体验卡
22充值金币返利卡
</t>
    </r>
    <r>
      <rPr>
        <sz val="8"/>
        <color rgb="FFFF0000"/>
        <rFont val="微软雅黑"/>
        <family val="2"/>
        <charset val="134"/>
      </rPr>
      <t>23用于锻造 24灵石</t>
    </r>
  </si>
  <si>
    <t xml:space="preserve">实物所属渠道
1,大麦城
</t>
  </si>
  <si>
    <t>物品在渠道商城所属id</t>
  </si>
  <si>
    <r>
      <rPr>
        <sz val="8"/>
        <color theme="1"/>
        <rFont val="微软雅黑"/>
        <family val="2"/>
        <charset val="134"/>
      </rPr>
      <t>参数类型，
针对道具效果7，6周卡(6\7\8)，</t>
    </r>
    <r>
      <rPr>
        <sz val="8"/>
        <color rgb="FFFF0000"/>
        <rFont val="微软雅黑"/>
        <family val="2"/>
        <charset val="134"/>
      </rPr>
      <t>2金币月卡（废弃）</t>
    </r>
    <r>
      <rPr>
        <sz val="8"/>
        <color theme="1"/>
        <rFont val="微软雅黑"/>
        <family val="2"/>
        <charset val="134"/>
      </rPr>
      <t>，3三年卡;4星钻月卡，5金币月卡
针对8,话费卡人民币面额/元;
针对10,爆炸半径R,像素
11互动红包基础金币值
针对道具效果4，0表示普通召唤，1表示主宰召唤
注意：当I列道具效果为13（用于合成）时，此列对应合成配方的key（合成表中）</t>
    </r>
  </si>
  <si>
    <t>参数类型2
附加参数</t>
  </si>
  <si>
    <t>显示的功能按钮
1赠送;2购买
3使用;4续费
5转换成话费券;6跳转（用使用）
7出售,8合成、9无任何功能</t>
  </si>
  <si>
    <t>赠送解锁需要的个数限制，
-1表示不需要限制</t>
  </si>
  <si>
    <t xml:space="preserve">可以赠送的最小数量
</t>
  </si>
  <si>
    <t>赠送需要的vip最低等级</t>
  </si>
  <si>
    <t>赠送默认值
-1表示无默认值</t>
  </si>
  <si>
    <t>该物品每日赠送上限
-1表示无限制</t>
  </si>
  <si>
    <t>该物品每日接收上限
-1表示无限制</t>
  </si>
  <si>
    <t>购买道具消耗钻石</t>
  </si>
  <si>
    <t>购买默认值
-1表示无默认值</t>
  </si>
  <si>
    <t>出售道具获得奖励内容
格式：x1|y1|z1,x2|y2|z2|
x：消耗类型；：1货币，2道具
y：物品id，1钻石，2金币 ，z：具体数量</t>
  </si>
  <si>
    <t>出售默认值
-1表示无默认值</t>
  </si>
  <si>
    <r>
      <rPr>
        <b/>
        <sz val="8"/>
        <color theme="1"/>
        <rFont val="微软雅黑"/>
        <family val="2"/>
        <charset val="134"/>
      </rPr>
      <t>未拥有</t>
    </r>
    <r>
      <rPr>
        <sz val="8"/>
        <color theme="1"/>
        <rFont val="微软雅黑"/>
        <family val="2"/>
        <charset val="134"/>
      </rPr>
      <t>是否展示
0不展示
1展示</t>
    </r>
  </si>
  <si>
    <r>
      <rPr>
        <b/>
        <sz val="8"/>
        <color theme="1"/>
        <rFont val="微软雅黑"/>
        <family val="2"/>
        <charset val="134"/>
      </rPr>
      <t>拥有的道具在背包中</t>
    </r>
    <r>
      <rPr>
        <sz val="8"/>
        <color theme="1"/>
        <rFont val="微软雅黑"/>
        <family val="2"/>
        <charset val="134"/>
      </rPr>
      <t>是否展示
0不展示
1展示</t>
    </r>
  </si>
  <si>
    <t>道具存储上限
-1表示不设上限</t>
  </si>
  <si>
    <t>背包中实物展示的数量描述可能是：x元，京东卡*1，这个配成多语言格式，（后续根据具体实物奖励配置描述）</t>
  </si>
  <si>
    <t>ic_zs_01</t>
  </si>
  <si>
    <t>zuanshi</t>
  </si>
  <si>
    <t>zuanshi_des</t>
  </si>
  <si>
    <t>ic_jb_01</t>
  </si>
  <si>
    <t>jinbi</t>
  </si>
  <si>
    <t>jinbi_des</t>
  </si>
  <si>
    <t>ic_cj_01</t>
  </si>
  <si>
    <t>jifen</t>
  </si>
  <si>
    <t>抽奖券</t>
  </si>
  <si>
    <t>icon_vip_exp_01</t>
  </si>
  <si>
    <t>vipexp</t>
  </si>
  <si>
    <t>VIP经验</t>
  </si>
  <si>
    <t>vipexp_des</t>
  </si>
  <si>
    <t>icon_jifen_01</t>
  </si>
  <si>
    <t>竞技场积分</t>
  </si>
  <si>
    <t>icon_huoyuedu_01</t>
  </si>
  <si>
    <t>huoyuedu</t>
  </si>
  <si>
    <t>活跃度</t>
  </si>
  <si>
    <t>huoyuedu_des</t>
  </si>
  <si>
    <t>ic_sc_dq_01</t>
  </si>
  <si>
    <t>dianquan</t>
  </si>
  <si>
    <t>点券</t>
  </si>
  <si>
    <t>dianquang_des</t>
  </si>
  <si>
    <t>ui_cj_icon02</t>
  </si>
  <si>
    <t>chengjiudian</t>
  </si>
  <si>
    <t>成就点</t>
  </si>
  <si>
    <t>chengjiudian_des</t>
  </si>
  <si>
    <t>ic_jn_01</t>
  </si>
  <si>
    <t>suoding</t>
  </si>
  <si>
    <t>锁定</t>
  </si>
  <si>
    <t>suoding_des</t>
  </si>
  <si>
    <t>2,1</t>
  </si>
  <si>
    <t>ic_jn_02</t>
  </si>
  <si>
    <t>bingdong</t>
  </si>
  <si>
    <t>冰冻</t>
  </si>
  <si>
    <t>bingdong_des</t>
  </si>
  <si>
    <t>ic_jn_03</t>
  </si>
  <si>
    <t>kuangbao</t>
  </si>
  <si>
    <t>狂暴</t>
  </si>
  <si>
    <t>kuangbao_des</t>
  </si>
  <si>
    <t>ic_jn_04</t>
  </si>
  <si>
    <t>zhaohuan</t>
  </si>
  <si>
    <t>召唤</t>
  </si>
  <si>
    <t>zhaohuan_des</t>
  </si>
  <si>
    <t>ic_jn_05</t>
  </si>
  <si>
    <t>zhuzaizhaohuan</t>
  </si>
  <si>
    <t>主宰召唤</t>
  </si>
  <si>
    <t>zhuzaizhaohuan_des</t>
  </si>
  <si>
    <t>ic_hd_01</t>
  </si>
  <si>
    <t>chaojiwuqi1</t>
  </si>
  <si>
    <t>Ⅰ级核弹</t>
  </si>
  <si>
    <t>chaojiwuqi1_des</t>
  </si>
  <si>
    <t>7,1</t>
  </si>
  <si>
    <t>ic_hd_02</t>
  </si>
  <si>
    <t>chaojiwuqi2</t>
  </si>
  <si>
    <t>Ⅱ级核弹</t>
  </si>
  <si>
    <t>chaojiwuqi2_des</t>
  </si>
  <si>
    <t>ic_hd_03</t>
  </si>
  <si>
    <t>chaojiwuqi3</t>
  </si>
  <si>
    <t>Ⅲ级核弹</t>
  </si>
  <si>
    <t>chaojiwuqi3_des</t>
  </si>
  <si>
    <t>ic_hd_04</t>
  </si>
  <si>
    <t>chaojiwuqi4</t>
  </si>
  <si>
    <t>Ⅳ级核弹</t>
  </si>
  <si>
    <t>chaojiwuqi4_des</t>
  </si>
  <si>
    <t>zidongfire</t>
  </si>
  <si>
    <t>自动开炮</t>
  </si>
  <si>
    <t>zidongfire_des</t>
  </si>
  <si>
    <t>icon_guizuka_zhouka_01</t>
  </si>
  <si>
    <t>zhouka</t>
  </si>
  <si>
    <t>周卡</t>
  </si>
  <si>
    <t>zhouka_des</t>
  </si>
  <si>
    <t>icon_guizuka_yueka_01</t>
  </si>
  <si>
    <t>yueka</t>
  </si>
  <si>
    <t>金币月卡</t>
  </si>
  <si>
    <t>yueka_des</t>
  </si>
  <si>
    <t>yueka2</t>
  </si>
  <si>
    <t>星钻月卡</t>
  </si>
  <si>
    <t>yueka2_des</t>
  </si>
  <si>
    <t>ic_fk_01</t>
  </si>
  <si>
    <t>huafeiquan</t>
  </si>
  <si>
    <t>福卡</t>
  </si>
  <si>
    <t>huafeiquan_des</t>
  </si>
  <si>
    <t>ic_hf_01</t>
  </si>
  <si>
    <t>zhichongka2</t>
  </si>
  <si>
    <t>2元话费直充卡</t>
  </si>
  <si>
    <t>zhichongka_des</t>
  </si>
  <si>
    <t>3,7</t>
  </si>
  <si>
    <t>1|2|800000</t>
  </si>
  <si>
    <t>ic_hf_02</t>
  </si>
  <si>
    <t>zhichongka5</t>
  </si>
  <si>
    <t>5元话费直充卡</t>
  </si>
  <si>
    <t>ic_hf_03</t>
  </si>
  <si>
    <t>zhichongka10</t>
  </si>
  <si>
    <t>10元话费直充卡</t>
  </si>
  <si>
    <t>1|2|4000000</t>
  </si>
  <si>
    <t>ic_hf_04</t>
  </si>
  <si>
    <t>zhichongka30</t>
  </si>
  <si>
    <t>30元话费卡</t>
  </si>
  <si>
    <t>1|2|12000000</t>
  </si>
  <si>
    <t>ic_hf_05</t>
  </si>
  <si>
    <t>zhichongka50</t>
  </si>
  <si>
    <t>50元话费卡</t>
  </si>
  <si>
    <t>icon_1yuanzhichongka_01</t>
  </si>
  <si>
    <t>zhichongka1</t>
  </si>
  <si>
    <t>1元话费直充卡</t>
  </si>
  <si>
    <t>1|2|400000</t>
  </si>
  <si>
    <t>ic_cj_02</t>
  </si>
  <si>
    <t>maidanquan</t>
  </si>
  <si>
    <t>买单券</t>
  </si>
  <si>
    <t>maidanquan_des</t>
  </si>
  <si>
    <t>6,7</t>
  </si>
  <si>
    <t>icon_jinchuizi_01</t>
  </si>
  <si>
    <t>hammer_gold</t>
  </si>
  <si>
    <t>金锤子</t>
  </si>
  <si>
    <t>hammer_gold_des</t>
  </si>
  <si>
    <t>icon_yinchuizi_01</t>
  </si>
  <si>
    <t>hammer_silver</t>
  </si>
  <si>
    <t>银锤子</t>
  </si>
  <si>
    <t>hammer_silver_des</t>
  </si>
  <si>
    <t>ic_shandian2</t>
  </si>
  <si>
    <t>shandian</t>
  </si>
  <si>
    <t>闪电</t>
  </si>
  <si>
    <t>shangdian_des</t>
  </si>
  <si>
    <t>ic_hwsp_01</t>
  </si>
  <si>
    <t>houwangsuipian</t>
  </si>
  <si>
    <t>超级猴王碎片</t>
  </si>
  <si>
    <t>houwangsuipian_des</t>
  </si>
  <si>
    <t>ic_danzhu1</t>
  </si>
  <si>
    <t>danzhu1</t>
  </si>
  <si>
    <t>玻璃弹珠</t>
  </si>
  <si>
    <t>danzhu1_des</t>
  </si>
  <si>
    <t>ic_danzhu2</t>
  </si>
  <si>
    <t>danzhu2</t>
  </si>
  <si>
    <t>金弹珠</t>
  </si>
  <si>
    <t>danzhu2_des</t>
  </si>
  <si>
    <t>ic_danzhu3</t>
  </si>
  <si>
    <t>danzhu3</t>
  </si>
  <si>
    <t>七彩弹珠</t>
  </si>
  <si>
    <t>danzhu3_des</t>
  </si>
  <si>
    <t>ic_hyk_01</t>
  </si>
  <si>
    <t>huiyuanplus</t>
  </si>
  <si>
    <t>金币月卡加时</t>
  </si>
  <si>
    <t>huiyuanplus_des</t>
  </si>
  <si>
    <t>1|2|150000</t>
  </si>
  <si>
    <t>huiyuanplus1</t>
  </si>
  <si>
    <t>星钻月卡加时</t>
  </si>
  <si>
    <t>huiyuanplus1_des</t>
  </si>
  <si>
    <t>ic_hdsp_01</t>
  </si>
  <si>
    <t>hdsp1</t>
  </si>
  <si>
    <t>Ⅰ级核弹碎片</t>
  </si>
  <si>
    <t>hdsp1_des</t>
  </si>
  <si>
    <t>1|2|10000</t>
  </si>
  <si>
    <t>ic_hdsp_02</t>
  </si>
  <si>
    <t>hdsp2</t>
  </si>
  <si>
    <t>Ⅱ级核弹碎片</t>
  </si>
  <si>
    <t>hdsp2_des</t>
  </si>
  <si>
    <t>1|2|20000</t>
  </si>
  <si>
    <t>ic_hdsp_03</t>
  </si>
  <si>
    <t>hdsp3</t>
  </si>
  <si>
    <t>Ⅲ级核弹碎片</t>
  </si>
  <si>
    <t>hdsp3_des</t>
  </si>
  <si>
    <t>1|2|50000</t>
  </si>
  <si>
    <t>ic_hdsp_04</t>
  </si>
  <si>
    <t>hdsp4</t>
  </si>
  <si>
    <t>Ⅳ级核弹碎片</t>
  </si>
  <si>
    <t>hdsp4_des</t>
  </si>
  <si>
    <t>ic_hwty_01</t>
  </si>
  <si>
    <t>houwangpao1</t>
  </si>
  <si>
    <t>齐天大圣1天体验卡</t>
  </si>
  <si>
    <t>houwangpao1_des</t>
  </si>
  <si>
    <t>houwangpao3</t>
  </si>
  <si>
    <t>齐天大圣3天体验卡</t>
  </si>
  <si>
    <t>houwangpao3_des</t>
  </si>
  <si>
    <t>houwangpao5</t>
  </si>
  <si>
    <t>齐天大圣5天体验卡</t>
  </si>
  <si>
    <t>houwangpao5_des</t>
  </si>
  <si>
    <t>houwangpao7</t>
  </si>
  <si>
    <t>齐天大圣7天体验卡</t>
  </si>
  <si>
    <t>houwangpao7_des</t>
  </si>
  <si>
    <t>ic_huochibang_01</t>
  </si>
  <si>
    <t>huochibang3</t>
  </si>
  <si>
    <t>火翅膀体验卡3天</t>
  </si>
  <si>
    <t>huochibang3_des</t>
  </si>
  <si>
    <t>huochibang30</t>
  </si>
  <si>
    <t>火翅膀体验卡30天</t>
  </si>
  <si>
    <t>huochibang30_des</t>
  </si>
  <si>
    <t>huochibang7</t>
  </si>
  <si>
    <t>火翅膀体验卡7天</t>
  </si>
  <si>
    <t>huochibang7_des</t>
  </si>
  <si>
    <t>ic_jbfl_01</t>
  </si>
  <si>
    <t>jinbifanli1</t>
  </si>
  <si>
    <t>20%金牛返利卡</t>
  </si>
  <si>
    <t>jinbifanli1_des</t>
  </si>
  <si>
    <t>ic_jbfl_02</t>
  </si>
  <si>
    <t>jinbifanli2</t>
  </si>
  <si>
    <t>30%金牛返利卡</t>
  </si>
  <si>
    <t>jinbifanli2_des</t>
  </si>
  <si>
    <t>ic_jbfl_03</t>
  </si>
  <si>
    <t>jinbifanli3</t>
  </si>
  <si>
    <t>40%金牛返利卡</t>
  </si>
  <si>
    <t>jinbifanli3_des</t>
  </si>
  <si>
    <t>ic_jbfl_04</t>
  </si>
  <si>
    <t>jinbifanli4</t>
  </si>
  <si>
    <t>50%金牛返利卡</t>
  </si>
  <si>
    <t>jinbifanli4_des</t>
  </si>
  <si>
    <t>ic_jbfl_05</t>
  </si>
  <si>
    <t>jinbifanli5</t>
  </si>
  <si>
    <t>60%金牛返利卡</t>
  </si>
  <si>
    <t>jinbifanli5_des</t>
  </si>
  <si>
    <t>ic_jbfl_06</t>
  </si>
  <si>
    <t>jinbifanli6</t>
  </si>
  <si>
    <t>70%金牛返利卡</t>
  </si>
  <si>
    <t>jinbifanli6_des</t>
  </si>
  <si>
    <t>ic_jbfl_07</t>
  </si>
  <si>
    <t>jinbifanli7</t>
  </si>
  <si>
    <t>80%金牛返利卡</t>
  </si>
  <si>
    <t>jinbifanli7_des</t>
  </si>
  <si>
    <t>ic_jbfl_08</t>
  </si>
  <si>
    <t>jinbifanli8</t>
  </si>
  <si>
    <t>90%金牛返利卡</t>
  </si>
  <si>
    <t>jinbifanli8_des</t>
  </si>
  <si>
    <t>ic_jbfl_09</t>
  </si>
  <si>
    <t>jinbifanli9</t>
  </si>
  <si>
    <t>100%金牛返利卡</t>
  </si>
  <si>
    <t>jinbifanli9_des</t>
  </si>
  <si>
    <t>ic_jbfl_10</t>
  </si>
  <si>
    <t>jinbifanli10</t>
  </si>
  <si>
    <t>200%金牛返利卡</t>
  </si>
  <si>
    <t>jinbifanli10_des</t>
  </si>
  <si>
    <t>ic_jbfl_11</t>
  </si>
  <si>
    <t>jinbifanli11</t>
  </si>
  <si>
    <t>300%金牛返利卡</t>
  </si>
  <si>
    <t>jinbifanli11_des</t>
  </si>
  <si>
    <t>ic_lingshi_01</t>
  </si>
  <si>
    <t>lingshi</t>
  </si>
  <si>
    <t>灵石</t>
  </si>
  <si>
    <t>ic_zhuqueshi_01</t>
  </si>
  <si>
    <t>zhuqueshi</t>
  </si>
  <si>
    <t>朱雀石</t>
  </si>
  <si>
    <t>ic_xuanwushi_01</t>
  </si>
  <si>
    <t>xuanwushi</t>
  </si>
  <si>
    <t>玄武石</t>
  </si>
  <si>
    <t>ic_qinglongshi_01</t>
  </si>
  <si>
    <t>qinglongshi</t>
  </si>
  <si>
    <t>青龙石</t>
  </si>
  <si>
    <t>ic_baihushi_01</t>
  </si>
  <si>
    <t>baihushi</t>
  </si>
  <si>
    <t>白虎石</t>
  </si>
  <si>
    <t>道具id
1xxx开头</t>
  </si>
  <si>
    <r>
      <rPr>
        <sz val="8"/>
        <color theme="1"/>
        <rFont val="微软雅黑"/>
        <family val="2"/>
        <charset val="134"/>
      </rPr>
      <t xml:space="preserve">道具图片
资源名称
</t>
    </r>
    <r>
      <rPr>
        <sz val="11"/>
        <color rgb="FFFF0000"/>
        <rFont val="微软雅黑"/>
        <family val="2"/>
        <charset val="134"/>
      </rPr>
      <t>此表客户端用来处理屏蔽后资源替换的现实效果</t>
    </r>
  </si>
  <si>
    <t>道具效果
1.锁定;2.冰冻;3.狂暴;4.召唤
5.自动开火+限时;6.礼包；7贵族卡，8话费卡，9实物
10轰炸机</t>
  </si>
  <si>
    <t>参数类型，
针对道具效果7，1周卡，2月卡，3三年卡;
针对8,话费卡人民币面额/元;
针对10,爆炸半径R,像素</t>
  </si>
  <si>
    <t>显示的功能按钮
1赠送;2购买
3使用;4续费
5转换成话费券;6跳转（用使用）
7出售</t>
  </si>
  <si>
    <t>赠送解锁需要的个数限制
-1表示不需要限制</t>
  </si>
  <si>
    <t>icon_duihuan_01</t>
  </si>
  <si>
    <t>huafeiquan-f</t>
  </si>
  <si>
    <t>huafeiquan_des-f</t>
  </si>
  <si>
    <t>dropStoneN</t>
    <phoneticPr fontId="55" type="noConversion"/>
  </si>
  <si>
    <t>该炮倍掉落四象石数量范围</t>
    <phoneticPr fontId="55" type="noConversion"/>
  </si>
  <si>
    <t>FLwaitTime</t>
    <phoneticPr fontId="55" type="noConversion"/>
  </si>
  <si>
    <t>40</t>
    <phoneticPr fontId="55" type="noConversion"/>
  </si>
  <si>
    <t>40</t>
    <phoneticPr fontId="55" type="noConversion"/>
  </si>
  <si>
    <t>风龙等待时间，从入场结束后到第一个技能/帧</t>
    <phoneticPr fontId="55" type="noConversion"/>
  </si>
  <si>
    <t>技能间隔时间/帧</t>
    <phoneticPr fontId="55" type="noConversion"/>
  </si>
  <si>
    <t>2,6</t>
  </si>
  <si>
    <t>4,6</t>
  </si>
  <si>
    <t>4,8</t>
  </si>
  <si>
    <t>8,10</t>
  </si>
  <si>
    <t>8,12</t>
  </si>
  <si>
    <t>FLSkillTime</t>
    <phoneticPr fontId="55" type="noConversion"/>
  </si>
  <si>
    <t>FLComeDelyShow</t>
    <phoneticPr fontId="55" type="noConversion"/>
  </si>
  <si>
    <t>120</t>
    <phoneticPr fontId="55" type="noConversion"/>
  </si>
  <si>
    <t>巨大boss入场倒计时在剩余120秒展示，参考：阶段配置|StageConfig中阶段刷新配置</t>
    <phoneticPr fontId="55" type="noConversion"/>
  </si>
  <si>
    <t>巨大boss</t>
    <phoneticPr fontId="5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</si>
</sst>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000_);[Red]\(0.0000\)"/>
    <numFmt numFmtId="177" formatCode="0_);[Red]\(0\)"/>
    <numFmt numFmtId="178" formatCode="0.0%"/>
    <numFmt numFmtId="179" formatCode="0.000000"/>
    <numFmt numFmtId="180" formatCode="0.0_);[Red]\(0.0\)"/>
    <numFmt numFmtId="181" formatCode="0.00_);[Red]\(0.00\)"/>
    <numFmt numFmtId="182" formatCode="0.000"/>
    <numFmt numFmtId="183" formatCode="0.0_ "/>
    <numFmt numFmtId="184" formatCode="0.0"/>
    <numFmt numFmtId="185" formatCode="0.00_ "/>
  </numFmts>
  <fonts count="56" x14ac:knownFonts="1">
    <font>
      <sz val="11"/>
      <color theme="1"/>
      <name val="宋体"/>
      <charset val="134"/>
      <scheme val="minor"/>
    </font>
    <font>
      <sz val="8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7030A0"/>
      <name val="微软雅黑"/>
      <family val="2"/>
      <charset val="134"/>
    </font>
    <font>
      <sz val="10"/>
      <color rgb="FF7030A0"/>
      <name val="微软雅黑"/>
      <family val="2"/>
      <charset val="134"/>
    </font>
    <font>
      <sz val="8"/>
      <color rgb="FF7030A0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b/>
      <sz val="8"/>
      <color rgb="FF7030A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9"/>
      <color rgb="FF7030A0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.5"/>
      <color theme="1"/>
      <name val="微软雅黑"/>
      <family val="2"/>
      <charset val="134"/>
    </font>
    <font>
      <sz val="10.5"/>
      <color rgb="FF333333"/>
      <name val="微软雅黑"/>
      <family val="2"/>
      <charset val="134"/>
    </font>
    <font>
      <sz val="10.5"/>
      <color theme="1"/>
      <name val="Calibri"/>
      <family val="2"/>
    </font>
    <font>
      <sz val="10.5"/>
      <color theme="1"/>
      <name val="微软雅黑"/>
      <family val="2"/>
      <charset val="134"/>
    </font>
    <font>
      <sz val="6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i/>
      <sz val="10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7030A0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8"/>
      <color theme="0"/>
      <name val="微软雅黑"/>
      <family val="2"/>
      <charset val="134"/>
    </font>
    <font>
      <b/>
      <sz val="11"/>
      <color rgb="FF00B0F0"/>
      <name val="微软雅黑"/>
      <family val="2"/>
      <charset val="134"/>
    </font>
    <font>
      <b/>
      <sz val="10"/>
      <color rgb="FF00B0F0"/>
      <name val="微软雅黑"/>
      <family val="2"/>
      <charset val="134"/>
    </font>
    <font>
      <b/>
      <sz val="10"/>
      <color rgb="FF00B0F0"/>
      <name val="宋体"/>
      <family val="3"/>
      <charset val="134"/>
    </font>
    <font>
      <b/>
      <vertAlign val="superscript"/>
      <sz val="11"/>
      <color theme="1"/>
      <name val="微软雅黑"/>
      <family val="2"/>
      <charset val="134"/>
    </font>
    <font>
      <b/>
      <sz val="10.5"/>
      <color theme="1"/>
      <name val="Calibri"/>
      <family val="2"/>
    </font>
    <font>
      <b/>
      <i/>
      <sz val="10"/>
      <color rgb="FFFF0000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b/>
      <u/>
      <sz val="10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6"/>
      <name val="宋体"/>
      <family val="3"/>
      <charset val="134"/>
    </font>
    <font>
      <sz val="9"/>
      <name val="宋体"/>
      <family val="3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3" tint="0.79934080019531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396649067659535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0" tint="-0.146671956541642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396649067659535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9" fontId="41" fillId="0" borderId="0" applyFont="0" applyFill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</cellStyleXfs>
  <cellXfs count="40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top" wrapText="1"/>
    </xf>
    <xf numFmtId="49" fontId="2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Alignment="1">
      <alignment horizontal="left"/>
    </xf>
    <xf numFmtId="0" fontId="9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top" wrapText="1"/>
    </xf>
    <xf numFmtId="0" fontId="9" fillId="6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left" vertical="top" wrapText="1"/>
    </xf>
    <xf numFmtId="0" fontId="2" fillId="0" borderId="0" xfId="0" applyNumberFormat="1" applyFont="1" applyAlignment="1">
      <alignment horizontal="left"/>
    </xf>
    <xf numFmtId="0" fontId="2" fillId="0" borderId="0" xfId="0" applyFont="1"/>
    <xf numFmtId="0" fontId="1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Fill="1"/>
    <xf numFmtId="0" fontId="5" fillId="0" borderId="0" xfId="0" applyFont="1" applyFill="1"/>
    <xf numFmtId="0" fontId="14" fillId="2" borderId="1" xfId="0" applyFont="1" applyFill="1" applyBorder="1" applyAlignment="1">
      <alignment horizontal="left"/>
    </xf>
    <xf numFmtId="0" fontId="15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horizontal="left" vertical="top"/>
    </xf>
    <xf numFmtId="0" fontId="4" fillId="7" borderId="1" xfId="0" applyFont="1" applyFill="1" applyBorder="1" applyAlignment="1">
      <alignment horizontal="left" vertical="top"/>
    </xf>
    <xf numFmtId="0" fontId="13" fillId="9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 vertical="top"/>
    </xf>
    <xf numFmtId="0" fontId="1" fillId="6" borderId="1" xfId="0" applyFont="1" applyFill="1" applyBorder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11" borderId="0" xfId="0" applyFont="1" applyFill="1"/>
    <xf numFmtId="0" fontId="5" fillId="0" borderId="0" xfId="0" applyFont="1"/>
    <xf numFmtId="0" fontId="2" fillId="0" borderId="2" xfId="0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3" fillId="12" borderId="1" xfId="0" applyFont="1" applyFill="1" applyBorder="1" applyAlignment="1">
      <alignment horizontal="left"/>
    </xf>
    <xf numFmtId="0" fontId="11" fillId="12" borderId="1" xfId="0" applyFont="1" applyFill="1" applyBorder="1" applyAlignment="1">
      <alignment horizontal="left"/>
    </xf>
    <xf numFmtId="0" fontId="1" fillId="1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13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left"/>
    </xf>
    <xf numFmtId="0" fontId="13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 vertical="center"/>
    </xf>
    <xf numFmtId="0" fontId="2" fillId="6" borderId="0" xfId="0" applyFont="1" applyFill="1" applyAlignment="1">
      <alignment horizontal="left"/>
    </xf>
    <xf numFmtId="0" fontId="2" fillId="14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16" fillId="14" borderId="0" xfId="0" applyFont="1" applyFill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49" fontId="2" fillId="6" borderId="0" xfId="0" applyNumberFormat="1" applyFont="1" applyFill="1" applyAlignment="1">
      <alignment horizontal="left" vertical="center"/>
    </xf>
    <xf numFmtId="49" fontId="2" fillId="14" borderId="0" xfId="0" applyNumberFormat="1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3" fillId="8" borderId="1" xfId="0" applyFont="1" applyFill="1" applyBorder="1" applyAlignment="1">
      <alignment horizontal="left"/>
    </xf>
    <xf numFmtId="0" fontId="3" fillId="11" borderId="1" xfId="0" applyFont="1" applyFill="1" applyBorder="1" applyAlignment="1">
      <alignment horizontal="left"/>
    </xf>
    <xf numFmtId="0" fontId="11" fillId="11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 vertical="top" wrapText="1"/>
    </xf>
    <xf numFmtId="0" fontId="1" fillId="11" borderId="1" xfId="0" applyFont="1" applyFill="1" applyBorder="1" applyAlignment="1">
      <alignment horizontal="left" vertical="top" wrapText="1"/>
    </xf>
    <xf numFmtId="0" fontId="9" fillId="14" borderId="0" xfId="0" applyFont="1" applyFill="1" applyAlignment="1">
      <alignment horizontal="left" vertical="center"/>
    </xf>
    <xf numFmtId="0" fontId="16" fillId="11" borderId="0" xfId="0" applyFont="1" applyFill="1" applyAlignment="1">
      <alignment horizontal="left" vertical="center"/>
    </xf>
    <xf numFmtId="0" fontId="3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vertical="top" wrapText="1"/>
    </xf>
    <xf numFmtId="0" fontId="16" fillId="15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6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top" wrapText="1"/>
    </xf>
    <xf numFmtId="0" fontId="13" fillId="9" borderId="1" xfId="0" applyFont="1" applyFill="1" applyBorder="1" applyAlignment="1">
      <alignment horizontal="left" vertical="center" wrapText="1"/>
    </xf>
    <xf numFmtId="0" fontId="3" fillId="16" borderId="1" xfId="0" applyFont="1" applyFill="1" applyBorder="1" applyAlignment="1">
      <alignment horizontal="left"/>
    </xf>
    <xf numFmtId="0" fontId="17" fillId="9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7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2" fillId="17" borderId="0" xfId="0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left"/>
    </xf>
    <xf numFmtId="177" fontId="2" fillId="0" borderId="0" xfId="0" applyNumberFormat="1" applyFont="1" applyAlignment="1">
      <alignment horizontal="left" vertical="center"/>
    </xf>
    <xf numFmtId="0" fontId="2" fillId="18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9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0" fillId="0" borderId="0" xfId="0" applyFont="1"/>
    <xf numFmtId="0" fontId="2" fillId="5" borderId="0" xfId="0" applyFont="1" applyFill="1" applyAlignment="1">
      <alignment horizontal="center"/>
    </xf>
    <xf numFmtId="0" fontId="19" fillId="19" borderId="0" xfId="0" applyFont="1" applyFill="1" applyAlignment="1">
      <alignment horizontal="center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9" xfId="0" applyFont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0" fillId="15" borderId="1" xfId="0" applyNumberFormat="1" applyFont="1" applyFill="1" applyBorder="1" applyAlignment="1">
      <alignment horizontal="left" vertical="center"/>
    </xf>
    <xf numFmtId="0" fontId="20" fillId="15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center"/>
    </xf>
    <xf numFmtId="178" fontId="21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horizontal="left" vertical="center" wrapText="1"/>
    </xf>
    <xf numFmtId="0" fontId="2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177" fontId="21" fillId="0" borderId="0" xfId="0" applyNumberFormat="1" applyFont="1" applyAlignment="1">
      <alignment horizontal="left" vertical="center"/>
    </xf>
    <xf numFmtId="0" fontId="21" fillId="0" borderId="0" xfId="0" applyNumberFormat="1" applyFont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80" fontId="2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horizontal="left"/>
    </xf>
    <xf numFmtId="0" fontId="21" fillId="0" borderId="0" xfId="0" applyNumberFormat="1" applyFont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81" fontId="2" fillId="0" borderId="0" xfId="0" applyNumberFormat="1" applyFont="1" applyAlignment="1">
      <alignment horizontal="left" vertical="center"/>
    </xf>
    <xf numFmtId="0" fontId="2" fillId="20" borderId="6" xfId="0" applyFont="1" applyFill="1" applyBorder="1" applyAlignment="1">
      <alignment horizontal="left" vertical="center"/>
    </xf>
    <xf numFmtId="177" fontId="2" fillId="20" borderId="8" xfId="0" applyNumberFormat="1" applyFont="1" applyFill="1" applyBorder="1" applyAlignment="1">
      <alignment horizontal="left" vertical="center"/>
    </xf>
    <xf numFmtId="0" fontId="2" fillId="20" borderId="9" xfId="0" applyFont="1" applyFill="1" applyBorder="1" applyAlignment="1">
      <alignment horizontal="left" vertical="center"/>
    </xf>
    <xf numFmtId="49" fontId="21" fillId="20" borderId="10" xfId="0" applyNumberFormat="1" applyFont="1" applyFill="1" applyBorder="1" applyAlignment="1">
      <alignment horizontal="left" vertical="center"/>
    </xf>
    <xf numFmtId="0" fontId="2" fillId="20" borderId="10" xfId="0" applyNumberFormat="1" applyFont="1" applyFill="1" applyBorder="1" applyAlignment="1">
      <alignment horizontal="left" vertical="center"/>
    </xf>
    <xf numFmtId="0" fontId="2" fillId="20" borderId="11" xfId="0" applyFont="1" applyFill="1" applyBorder="1" applyAlignment="1">
      <alignment horizontal="left" vertical="center"/>
    </xf>
    <xf numFmtId="0" fontId="2" fillId="20" borderId="13" xfId="0" applyNumberFormat="1" applyFont="1" applyFill="1" applyBorder="1" applyAlignment="1">
      <alignment horizontal="left" vertical="center"/>
    </xf>
    <xf numFmtId="0" fontId="2" fillId="18" borderId="9" xfId="0" applyFont="1" applyFill="1" applyBorder="1" applyAlignment="1">
      <alignment horizontal="left" vertical="center"/>
    </xf>
    <xf numFmtId="177" fontId="2" fillId="18" borderId="10" xfId="0" applyNumberFormat="1" applyFont="1" applyFill="1" applyBorder="1" applyAlignment="1">
      <alignment horizontal="left" vertical="center"/>
    </xf>
    <xf numFmtId="0" fontId="2" fillId="18" borderId="11" xfId="0" applyFont="1" applyFill="1" applyBorder="1" applyAlignment="1">
      <alignment horizontal="left" vertical="center"/>
    </xf>
    <xf numFmtId="177" fontId="21" fillId="18" borderId="13" xfId="0" applyNumberFormat="1" applyFont="1" applyFill="1" applyBorder="1" applyAlignment="1">
      <alignment horizontal="left" vertical="center"/>
    </xf>
    <xf numFmtId="49" fontId="2" fillId="20" borderId="8" xfId="0" applyNumberFormat="1" applyFont="1" applyFill="1" applyBorder="1" applyAlignment="1">
      <alignment horizontal="left" vertical="center"/>
    </xf>
    <xf numFmtId="0" fontId="21" fillId="20" borderId="10" xfId="0" applyNumberFormat="1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18" borderId="6" xfId="0" applyFont="1" applyFill="1" applyBorder="1" applyAlignment="1">
      <alignment horizontal="left" vertical="center"/>
    </xf>
    <xf numFmtId="49" fontId="21" fillId="18" borderId="8" xfId="0" applyNumberFormat="1" applyFont="1" applyFill="1" applyBorder="1" applyAlignment="1">
      <alignment horizontal="left" vertical="center"/>
    </xf>
    <xf numFmtId="49" fontId="2" fillId="18" borderId="13" xfId="0" applyNumberFormat="1" applyFont="1" applyFill="1" applyBorder="1" applyAlignment="1">
      <alignment horizontal="left" vertical="center"/>
    </xf>
    <xf numFmtId="49" fontId="21" fillId="20" borderId="8" xfId="0" applyNumberFormat="1" applyFont="1" applyFill="1" applyBorder="1" applyAlignment="1">
      <alignment horizontal="left" vertical="center"/>
    </xf>
    <xf numFmtId="0" fontId="2" fillId="18" borderId="8" xfId="0" applyFont="1" applyFill="1" applyBorder="1" applyAlignment="1">
      <alignment horizontal="left" vertical="center"/>
    </xf>
    <xf numFmtId="0" fontId="2" fillId="18" borderId="10" xfId="0" applyFont="1" applyFill="1" applyBorder="1" applyAlignment="1">
      <alignment horizontal="left" vertical="center"/>
    </xf>
    <xf numFmtId="0" fontId="21" fillId="18" borderId="10" xfId="0" applyFont="1" applyFill="1" applyBorder="1" applyAlignment="1">
      <alignment horizontal="left" vertical="center"/>
    </xf>
    <xf numFmtId="0" fontId="21" fillId="18" borderId="13" xfId="0" applyFont="1" applyFill="1" applyBorder="1" applyAlignment="1">
      <alignment horizontal="left" vertical="center"/>
    </xf>
    <xf numFmtId="0" fontId="24" fillId="0" borderId="0" xfId="0" applyFont="1" applyAlignment="1">
      <alignment horizontal="justify" vertical="center"/>
    </xf>
    <xf numFmtId="0" fontId="2" fillId="18" borderId="13" xfId="0" applyFont="1" applyFill="1" applyBorder="1" applyAlignment="1">
      <alignment horizontal="left" vertical="center"/>
    </xf>
    <xf numFmtId="0" fontId="5" fillId="20" borderId="6" xfId="0" applyFont="1" applyFill="1" applyBorder="1" applyAlignment="1">
      <alignment horizontal="left" vertical="center"/>
    </xf>
    <xf numFmtId="0" fontId="2" fillId="20" borderId="8" xfId="0" applyFont="1" applyFill="1" applyBorder="1" applyAlignment="1">
      <alignment horizontal="left" vertical="center"/>
    </xf>
    <xf numFmtId="0" fontId="5" fillId="20" borderId="11" xfId="0" applyFont="1" applyFill="1" applyBorder="1" applyAlignment="1">
      <alignment horizontal="left" vertical="center"/>
    </xf>
    <xf numFmtId="0" fontId="2" fillId="20" borderId="13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10" borderId="0" xfId="0" applyFont="1" applyFill="1" applyAlignment="1">
      <alignment horizontal="left" vertical="center"/>
    </xf>
    <xf numFmtId="0" fontId="25" fillId="0" borderId="0" xfId="0" applyFont="1"/>
    <xf numFmtId="0" fontId="17" fillId="10" borderId="0" xfId="0" applyFont="1" applyFill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21" fillId="6" borderId="0" xfId="0" applyNumberFormat="1" applyFont="1" applyFill="1" applyAlignment="1">
      <alignment horizontal="left" vertical="center"/>
    </xf>
    <xf numFmtId="49" fontId="2" fillId="21" borderId="0" xfId="0" applyNumberFormat="1" applyFont="1" applyFill="1" applyAlignment="1">
      <alignment horizontal="left" vertical="center"/>
    </xf>
    <xf numFmtId="49" fontId="21" fillId="21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17" fillId="0" borderId="0" xfId="0" applyNumberFormat="1" applyFont="1" applyAlignment="1">
      <alignment horizontal="left" vertical="center"/>
    </xf>
    <xf numFmtId="178" fontId="2" fillId="0" borderId="0" xfId="0" applyNumberFormat="1" applyFont="1" applyAlignment="1">
      <alignment horizontal="left" vertical="center"/>
    </xf>
    <xf numFmtId="0" fontId="1" fillId="21" borderId="0" xfId="0" applyFont="1" applyFill="1" applyAlignment="1">
      <alignment horizontal="left" vertical="center"/>
    </xf>
    <xf numFmtId="0" fontId="2" fillId="21" borderId="0" xfId="0" applyFont="1" applyFill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3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2" fillId="22" borderId="0" xfId="0" applyFont="1" applyFill="1" applyBorder="1" applyAlignment="1">
      <alignment horizontal="left" vertical="center"/>
    </xf>
    <xf numFmtId="0" fontId="2" fillId="8" borderId="0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2" fillId="15" borderId="0" xfId="0" applyFont="1" applyFill="1" applyAlignment="1">
      <alignment horizontal="left" vertical="center"/>
    </xf>
    <xf numFmtId="0" fontId="2" fillId="0" borderId="7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10" fontId="2" fillId="0" borderId="10" xfId="1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10" fontId="2" fillId="0" borderId="13" xfId="1" applyNumberFormat="1" applyFont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  <xf numFmtId="10" fontId="2" fillId="0" borderId="0" xfId="1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0" fontId="2" fillId="0" borderId="12" xfId="1" applyNumberFormat="1" applyFont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1" fontId="3" fillId="0" borderId="8" xfId="0" applyNumberFormat="1" applyFont="1" applyBorder="1" applyAlignment="1">
      <alignment horizontal="left" vertical="center"/>
    </xf>
    <xf numFmtId="1" fontId="3" fillId="0" borderId="10" xfId="0" applyNumberFormat="1" applyFont="1" applyBorder="1" applyAlignment="1">
      <alignment horizontal="left" vertical="center"/>
    </xf>
    <xf numFmtId="1" fontId="3" fillId="0" borderId="13" xfId="0" applyNumberFormat="1" applyFont="1" applyBorder="1" applyAlignment="1">
      <alignment horizontal="left" vertical="center"/>
    </xf>
    <xf numFmtId="182" fontId="2" fillId="0" borderId="0" xfId="0" applyNumberFormat="1" applyFont="1" applyAlignment="1">
      <alignment horizontal="left" vertical="center"/>
    </xf>
    <xf numFmtId="179" fontId="2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2" fillId="23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left" vertical="top" wrapText="1"/>
    </xf>
    <xf numFmtId="0" fontId="2" fillId="0" borderId="0" xfId="6" applyFont="1" applyAlignment="1">
      <alignment horizontal="left"/>
    </xf>
    <xf numFmtId="0" fontId="17" fillId="0" borderId="0" xfId="0" applyFont="1" applyFill="1" applyAlignment="1">
      <alignment horizontal="left"/>
    </xf>
    <xf numFmtId="0" fontId="9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 wrapText="1"/>
    </xf>
    <xf numFmtId="0" fontId="2" fillId="20" borderId="0" xfId="0" applyFont="1" applyFill="1" applyAlignment="1">
      <alignment horizontal="left"/>
    </xf>
    <xf numFmtId="0" fontId="13" fillId="20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14" borderId="0" xfId="0" applyFont="1" applyFill="1" applyAlignment="1">
      <alignment horizontal="center" vertical="center" wrapText="1"/>
    </xf>
    <xf numFmtId="0" fontId="13" fillId="14" borderId="0" xfId="0" applyFont="1" applyFill="1" applyAlignment="1">
      <alignment horizontal="center" vertical="center"/>
    </xf>
    <xf numFmtId="0" fontId="13" fillId="14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178" fontId="0" fillId="6" borderId="0" xfId="1" applyNumberFormat="1" applyFont="1" applyFill="1" applyAlignment="1"/>
    <xf numFmtId="0" fontId="2" fillId="9" borderId="8" xfId="0" applyFont="1" applyFill="1" applyBorder="1" applyAlignment="1">
      <alignment horizontal="left" vertical="center"/>
    </xf>
    <xf numFmtId="178" fontId="0" fillId="0" borderId="0" xfId="1" applyNumberFormat="1" applyFont="1" applyAlignment="1"/>
    <xf numFmtId="0" fontId="2" fillId="9" borderId="10" xfId="0" applyFont="1" applyFill="1" applyBorder="1" applyAlignment="1">
      <alignment horizontal="left" vertical="center"/>
    </xf>
    <xf numFmtId="2" fontId="2" fillId="9" borderId="10" xfId="0" applyNumberFormat="1" applyFont="1" applyFill="1" applyBorder="1" applyAlignment="1">
      <alignment horizontal="left" vertical="center"/>
    </xf>
    <xf numFmtId="0" fontId="2" fillId="9" borderId="13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/>
    </xf>
    <xf numFmtId="0" fontId="2" fillId="9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5" fillId="24" borderId="0" xfId="0" applyFont="1" applyFill="1" applyAlignment="1">
      <alignment horizontal="left" vertical="center"/>
    </xf>
    <xf numFmtId="0" fontId="32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13" fillId="6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13" borderId="0" xfId="0" applyFont="1" applyFill="1" applyAlignment="1">
      <alignment horizontal="left" vertical="center"/>
    </xf>
    <xf numFmtId="183" fontId="2" fillId="0" borderId="0" xfId="0" applyNumberFormat="1" applyFont="1" applyAlignment="1">
      <alignment horizontal="left" vertical="center"/>
    </xf>
    <xf numFmtId="0" fontId="15" fillId="25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3" fillId="9" borderId="0" xfId="0" applyNumberFormat="1" applyFont="1" applyFill="1" applyAlignment="1">
      <alignment horizontal="left" vertical="center"/>
    </xf>
    <xf numFmtId="0" fontId="3" fillId="24" borderId="0" xfId="0" applyNumberFormat="1" applyFont="1" applyFill="1" applyAlignment="1">
      <alignment horizontal="left" vertical="center"/>
    </xf>
    <xf numFmtId="0" fontId="3" fillId="17" borderId="0" xfId="0" applyNumberFormat="1" applyFont="1" applyFill="1" applyAlignment="1">
      <alignment horizontal="left" vertical="center"/>
    </xf>
    <xf numFmtId="0" fontId="32" fillId="0" borderId="0" xfId="0" applyFont="1" applyAlignment="1">
      <alignment vertical="center"/>
    </xf>
    <xf numFmtId="9" fontId="2" fillId="6" borderId="0" xfId="0" applyNumberFormat="1" applyFont="1" applyFill="1" applyAlignment="1">
      <alignment horizontal="left"/>
    </xf>
    <xf numFmtId="9" fontId="2" fillId="0" borderId="0" xfId="0" applyNumberFormat="1" applyFont="1" applyAlignment="1">
      <alignment horizontal="left"/>
    </xf>
    <xf numFmtId="0" fontId="2" fillId="20" borderId="0" xfId="0" applyFont="1" applyFill="1" applyAlignment="1">
      <alignment horizontal="left" wrapText="1"/>
    </xf>
    <xf numFmtId="0" fontId="6" fillId="20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21" borderId="0" xfId="0" applyFont="1" applyFill="1" applyAlignment="1">
      <alignment horizontal="left" wrapText="1"/>
    </xf>
    <xf numFmtId="0" fontId="16" fillId="21" borderId="0" xfId="0" applyFont="1" applyFill="1" applyAlignment="1">
      <alignment horizontal="left" wrapText="1"/>
    </xf>
    <xf numFmtId="10" fontId="2" fillId="0" borderId="0" xfId="1" applyNumberFormat="1" applyFont="1" applyAlignment="1">
      <alignment horizontal="left"/>
    </xf>
    <xf numFmtId="0" fontId="33" fillId="26" borderId="0" xfId="0" applyFont="1" applyFill="1" applyAlignment="1">
      <alignment horizontal="left" wrapText="1"/>
    </xf>
    <xf numFmtId="9" fontId="3" fillId="0" borderId="0" xfId="0" applyNumberFormat="1" applyFont="1" applyAlignment="1">
      <alignment horizontal="left"/>
    </xf>
    <xf numFmtId="184" fontId="13" fillId="0" borderId="0" xfId="0" applyNumberFormat="1" applyFont="1" applyAlignment="1">
      <alignment horizontal="left"/>
    </xf>
    <xf numFmtId="0" fontId="13" fillId="6" borderId="0" xfId="0" applyFont="1" applyFill="1" applyAlignment="1">
      <alignment horizontal="left"/>
    </xf>
    <xf numFmtId="184" fontId="0" fillId="0" borderId="0" xfId="0" applyNumberFormat="1" applyAlignment="1">
      <alignment horizontal="left"/>
    </xf>
    <xf numFmtId="0" fontId="34" fillId="0" borderId="0" xfId="0" applyFont="1" applyAlignment="1">
      <alignment horizontal="left"/>
    </xf>
    <xf numFmtId="0" fontId="1" fillId="2" borderId="17" xfId="0" applyFont="1" applyFill="1" applyBorder="1" applyAlignment="1">
      <alignment horizontal="left" vertical="top" wrapText="1"/>
    </xf>
    <xf numFmtId="9" fontId="13" fillId="0" borderId="0" xfId="1" applyFont="1" applyAlignment="1">
      <alignment horizontal="left"/>
    </xf>
    <xf numFmtId="9" fontId="0" fillId="6" borderId="0" xfId="1" applyFont="1" applyFill="1" applyAlignment="1">
      <alignment horizontal="left"/>
    </xf>
    <xf numFmtId="0" fontId="35" fillId="0" borderId="0" xfId="0" applyFont="1" applyAlignment="1">
      <alignment horizontal="left"/>
    </xf>
    <xf numFmtId="9" fontId="0" fillId="0" borderId="0" xfId="1" applyFont="1" applyAlignment="1">
      <alignment horizontal="left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7" fillId="0" borderId="0" xfId="0" applyFont="1"/>
    <xf numFmtId="0" fontId="0" fillId="6" borderId="0" xfId="0" applyFill="1" applyAlignment="1">
      <alignment horizontal="left"/>
    </xf>
    <xf numFmtId="1" fontId="0" fillId="0" borderId="0" xfId="0" applyNumberFormat="1" applyAlignment="1">
      <alignment horizontal="left"/>
    </xf>
    <xf numFmtId="185" fontId="0" fillId="0" borderId="0" xfId="0" applyNumberFormat="1" applyAlignment="1">
      <alignment horizontal="left"/>
    </xf>
    <xf numFmtId="0" fontId="3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NumberFormat="1" applyFill="1" applyBorder="1" applyAlignment="1">
      <alignment horizontal="left"/>
    </xf>
    <xf numFmtId="10" fontId="0" fillId="6" borderId="1" xfId="1" applyNumberFormat="1" applyFont="1" applyFill="1" applyBorder="1" applyAlignment="1">
      <alignment horizontal="left"/>
    </xf>
    <xf numFmtId="0" fontId="0" fillId="6" borderId="1" xfId="1" applyNumberFormat="1" applyFont="1" applyFill="1" applyBorder="1" applyAlignment="1">
      <alignment horizontal="left"/>
    </xf>
    <xf numFmtId="10" fontId="0" fillId="0" borderId="0" xfId="0" applyNumberFormat="1" applyAlignment="1">
      <alignment horizontal="left"/>
    </xf>
    <xf numFmtId="9" fontId="0" fillId="6" borderId="1" xfId="0" applyNumberFormat="1" applyFill="1" applyBorder="1" applyAlignment="1">
      <alignment horizontal="left"/>
    </xf>
    <xf numFmtId="2" fontId="0" fillId="0" borderId="1" xfId="0" applyNumberFormat="1" applyFill="1" applyBorder="1" applyAlignment="1">
      <alignment horizontal="left"/>
    </xf>
    <xf numFmtId="9" fontId="0" fillId="0" borderId="1" xfId="0" applyNumberFormat="1" applyFill="1" applyBorder="1" applyAlignment="1">
      <alignment horizontal="left"/>
    </xf>
    <xf numFmtId="2" fontId="0" fillId="0" borderId="0" xfId="0" applyNumberFormat="1" applyAlignment="1">
      <alignment horizontal="left"/>
    </xf>
    <xf numFmtId="178" fontId="13" fillId="0" borderId="0" xfId="1" applyNumberFormat="1" applyFont="1" applyAlignment="1">
      <alignment horizontal="left"/>
    </xf>
    <xf numFmtId="9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0" fontId="36" fillId="0" borderId="0" xfId="0" applyFont="1"/>
    <xf numFmtId="0" fontId="39" fillId="0" borderId="0" xfId="0" applyFont="1"/>
    <xf numFmtId="9" fontId="0" fillId="6" borderId="0" xfId="0" applyNumberFormat="1" applyFill="1" applyAlignment="1">
      <alignment horizontal="left"/>
    </xf>
    <xf numFmtId="1" fontId="0" fillId="6" borderId="0" xfId="0" applyNumberFormat="1" applyFill="1" applyAlignment="1">
      <alignment horizontal="left"/>
    </xf>
    <xf numFmtId="0" fontId="0" fillId="0" borderId="0" xfId="0" applyNumberFormat="1" applyAlignment="1">
      <alignment horizontal="left"/>
    </xf>
    <xf numFmtId="1" fontId="0" fillId="0" borderId="0" xfId="0" applyNumberFormat="1" applyFill="1" applyAlignment="1">
      <alignment horizontal="left"/>
    </xf>
    <xf numFmtId="0" fontId="36" fillId="0" borderId="6" xfId="0" applyFont="1" applyBorder="1"/>
    <xf numFmtId="0" fontId="0" fillId="0" borderId="8" xfId="0" applyBorder="1"/>
    <xf numFmtId="0" fontId="36" fillId="0" borderId="9" xfId="0" applyFont="1" applyBorder="1"/>
    <xf numFmtId="0" fontId="0" fillId="0" borderId="10" xfId="0" applyBorder="1"/>
    <xf numFmtId="9" fontId="0" fillId="0" borderId="10" xfId="0" applyNumberFormat="1" applyBorder="1"/>
    <xf numFmtId="0" fontId="37" fillId="0" borderId="11" xfId="0" applyFont="1" applyBorder="1"/>
    <xf numFmtId="0" fontId="40" fillId="27" borderId="13" xfId="2" applyBorder="1" applyAlignment="1"/>
    <xf numFmtId="0" fontId="37" fillId="0" borderId="6" xfId="0" applyFont="1" applyBorder="1"/>
    <xf numFmtId="9" fontId="36" fillId="0" borderId="7" xfId="0" applyNumberFormat="1" applyFont="1" applyBorder="1" applyAlignment="1">
      <alignment horizontal="left"/>
    </xf>
    <xf numFmtId="0" fontId="37" fillId="0" borderId="9" xfId="0" applyFont="1" applyBorder="1"/>
    <xf numFmtId="0" fontId="36" fillId="0" borderId="0" xfId="0" applyFont="1" applyBorder="1" applyAlignment="1">
      <alignment horizontal="left"/>
    </xf>
    <xf numFmtId="0" fontId="37" fillId="0" borderId="0" xfId="0" applyFont="1" applyBorder="1"/>
    <xf numFmtId="0" fontId="37" fillId="0" borderId="10" xfId="0" applyFont="1" applyBorder="1"/>
    <xf numFmtId="0" fontId="35" fillId="0" borderId="0" xfId="0" applyFont="1" applyBorder="1" applyAlignment="1">
      <alignment horizontal="left"/>
    </xf>
    <xf numFmtId="0" fontId="35" fillId="6" borderId="10" xfId="0" applyFont="1" applyFill="1" applyBorder="1" applyAlignment="1">
      <alignment horizontal="left"/>
    </xf>
    <xf numFmtId="0" fontId="36" fillId="0" borderId="18" xfId="0" applyFont="1" applyBorder="1" applyAlignment="1">
      <alignment horizontal="left"/>
    </xf>
    <xf numFmtId="0" fontId="36" fillId="0" borderId="4" xfId="0" applyFont="1" applyBorder="1" applyAlignment="1">
      <alignment horizontal="left"/>
    </xf>
    <xf numFmtId="0" fontId="36" fillId="0" borderId="19" xfId="0" applyFont="1" applyBorder="1" applyAlignment="1">
      <alignment horizontal="left"/>
    </xf>
    <xf numFmtId="1" fontId="0" fillId="0" borderId="10" xfId="0" applyNumberFormat="1" applyBorder="1" applyAlignment="1">
      <alignment horizontal="left"/>
    </xf>
    <xf numFmtId="0" fontId="36" fillId="0" borderId="20" xfId="0" applyFont="1" applyBorder="1" applyAlignment="1">
      <alignment horizontal="left"/>
    </xf>
    <xf numFmtId="184" fontId="0" fillId="0" borderId="0" xfId="0" applyNumberFormat="1" applyFont="1" applyBorder="1" applyAlignment="1">
      <alignment horizontal="left"/>
    </xf>
    <xf numFmtId="184" fontId="0" fillId="0" borderId="21" xfId="0" applyNumberFormat="1" applyFont="1" applyBorder="1" applyAlignment="1">
      <alignment horizontal="left"/>
    </xf>
    <xf numFmtId="0" fontId="36" fillId="0" borderId="22" xfId="0" applyFont="1" applyBorder="1" applyAlignment="1">
      <alignment horizontal="left"/>
    </xf>
    <xf numFmtId="184" fontId="0" fillId="0" borderId="5" xfId="0" applyNumberFormat="1" applyFont="1" applyBorder="1" applyAlignment="1">
      <alignment horizontal="left"/>
    </xf>
    <xf numFmtId="184" fontId="0" fillId="0" borderId="23" xfId="0" applyNumberFormat="1" applyFont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39" fillId="0" borderId="0" xfId="0" applyFont="1" applyAlignment="1">
      <alignment horizontal="left"/>
    </xf>
    <xf numFmtId="0" fontId="36" fillId="0" borderId="0" xfId="0" applyFont="1" applyAlignment="1">
      <alignment horizontal="center" wrapText="1"/>
    </xf>
    <xf numFmtId="0" fontId="3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2" borderId="0" xfId="0" applyFont="1" applyFill="1" applyAlignment="1">
      <alignment horizontal="center" vertical="center" wrapText="1"/>
    </xf>
    <xf numFmtId="0" fontId="2" fillId="22" borderId="0" xfId="0" applyFont="1" applyFill="1" applyAlignment="1">
      <alignment horizontal="center" vertical="center"/>
    </xf>
    <xf numFmtId="0" fontId="2" fillId="20" borderId="0" xfId="0" applyFont="1" applyFill="1" applyAlignment="1">
      <alignment horizontal="center" vertical="center" wrapText="1"/>
    </xf>
    <xf numFmtId="0" fontId="2" fillId="20" borderId="0" xfId="0" applyFont="1" applyFill="1" applyAlignment="1">
      <alignment horizontal="center" vertical="center"/>
    </xf>
    <xf numFmtId="0" fontId="2" fillId="20" borderId="0" xfId="0" applyFont="1" applyFill="1" applyAlignment="1">
      <alignment horizontal="center"/>
    </xf>
    <xf numFmtId="0" fontId="2" fillId="18" borderId="0" xfId="0" applyFont="1" applyFill="1" applyAlignment="1">
      <alignment horizontal="center"/>
    </xf>
    <xf numFmtId="0" fontId="2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0" fontId="19" fillId="19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wrapText="1"/>
    </xf>
  </cellXfs>
  <cellStyles count="7">
    <cellStyle name="百分比" xfId="1" builtinId="5"/>
    <cellStyle name="常规" xfId="0" builtinId="0"/>
    <cellStyle name="常规 2" xfId="3"/>
    <cellStyle name="常规 3" xfId="4"/>
    <cellStyle name="常规 4" xfId="5"/>
    <cellStyle name="常规 5" xfId="6"/>
    <cellStyle name="好" xfId="2" builtinId="26"/>
  </cellStyles>
  <dxfs count="1177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FFEE71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10" Type="http://schemas.openxmlformats.org/officeDocument/2006/relationships/image" Target="../media/image16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434340</xdr:colOff>
      <xdr:row>10</xdr:row>
      <xdr:rowOff>138390</xdr:rowOff>
    </xdr:from>
    <xdr:to>
      <xdr:col>29</xdr:col>
      <xdr:colOff>1593446</xdr:colOff>
      <xdr:row>21</xdr:row>
      <xdr:rowOff>1370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0" y="3277235"/>
          <a:ext cx="3970655" cy="2042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388620</xdr:colOff>
      <xdr:row>250</xdr:row>
      <xdr:rowOff>60960</xdr:rowOff>
    </xdr:from>
    <xdr:to>
      <xdr:col>6</xdr:col>
      <xdr:colOff>470365</xdr:colOff>
      <xdr:row>252</xdr:row>
      <xdr:rowOff>7577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28960" y="50471070"/>
          <a:ext cx="1361440" cy="342265"/>
        </a:xfrm>
        <a:prstGeom prst="rect">
          <a:avLst/>
        </a:prstGeom>
      </xdr:spPr>
    </xdr:pic>
    <xdr:clientData/>
  </xdr:twoCellAnchor>
  <xdr:twoCellAnchor editAs="oneCell">
    <xdr:from>
      <xdr:col>3</xdr:col>
      <xdr:colOff>3535680</xdr:colOff>
      <xdr:row>280</xdr:row>
      <xdr:rowOff>167640</xdr:rowOff>
    </xdr:from>
    <xdr:to>
      <xdr:col>7</xdr:col>
      <xdr:colOff>266700</xdr:colOff>
      <xdr:row>282</xdr:row>
      <xdr:rowOff>131103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5100" y="56589930"/>
          <a:ext cx="2743200" cy="367030"/>
        </a:xfrm>
        <a:prstGeom prst="rect">
          <a:avLst/>
        </a:prstGeom>
      </xdr:spPr>
    </xdr:pic>
    <xdr:clientData/>
  </xdr:twoCellAnchor>
  <xdr:twoCellAnchor editAs="oneCell">
    <xdr:from>
      <xdr:col>11</xdr:col>
      <xdr:colOff>441960</xdr:colOff>
      <xdr:row>274</xdr:row>
      <xdr:rowOff>149950</xdr:rowOff>
    </xdr:from>
    <xdr:to>
      <xdr:col>25</xdr:col>
      <xdr:colOff>684267</xdr:colOff>
      <xdr:row>281</xdr:row>
      <xdr:rowOff>79797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18180" y="55368190"/>
          <a:ext cx="9629775" cy="1331595"/>
        </a:xfrm>
        <a:prstGeom prst="rect">
          <a:avLst/>
        </a:prstGeom>
      </xdr:spPr>
    </xdr:pic>
    <xdr:clientData/>
  </xdr:twoCellAnchor>
  <xdr:twoCellAnchor editAs="oneCell">
    <xdr:from>
      <xdr:col>11</xdr:col>
      <xdr:colOff>525780</xdr:colOff>
      <xdr:row>290</xdr:row>
      <xdr:rowOff>53341</xdr:rowOff>
    </xdr:from>
    <xdr:to>
      <xdr:col>18</xdr:col>
      <xdr:colOff>619792</xdr:colOff>
      <xdr:row>300</xdr:row>
      <xdr:rowOff>76201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002000" y="58472070"/>
          <a:ext cx="4726940" cy="2004060"/>
        </a:xfrm>
        <a:prstGeom prst="rect">
          <a:avLst/>
        </a:prstGeom>
      </xdr:spPr>
    </xdr:pic>
    <xdr:clientData/>
  </xdr:twoCellAnchor>
  <xdr:twoCellAnchor editAs="oneCell">
    <xdr:from>
      <xdr:col>3</xdr:col>
      <xdr:colOff>1516380</xdr:colOff>
      <xdr:row>385</xdr:row>
      <xdr:rowOff>91440</xdr:rowOff>
    </xdr:from>
    <xdr:to>
      <xdr:col>13</xdr:col>
      <xdr:colOff>685800</xdr:colOff>
      <xdr:row>394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5800" y="77354430"/>
          <a:ext cx="9075420" cy="1737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146050</xdr:colOff>
      <xdr:row>3</xdr:row>
      <xdr:rowOff>99060</xdr:rowOff>
    </xdr:from>
    <xdr:to>
      <xdr:col>5</xdr:col>
      <xdr:colOff>1334770</xdr:colOff>
      <xdr:row>3</xdr:row>
      <xdr:rowOff>960120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6710" y="685800"/>
          <a:ext cx="1188720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1790700</xdr:colOff>
      <xdr:row>3</xdr:row>
      <xdr:rowOff>693420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7040" y="586740"/>
          <a:ext cx="179070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10</xdr:col>
      <xdr:colOff>855980</xdr:colOff>
      <xdr:row>3</xdr:row>
      <xdr:rowOff>716280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71760" y="586740"/>
          <a:ext cx="1907540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883920</xdr:colOff>
      <xdr:row>3</xdr:row>
      <xdr:rowOff>769620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05360" y="586740"/>
          <a:ext cx="170688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760730</xdr:colOff>
      <xdr:row>3</xdr:row>
      <xdr:rowOff>9525</xdr:rowOff>
    </xdr:from>
    <xdr:to>
      <xdr:col>17</xdr:col>
      <xdr:colOff>1186815</xdr:colOff>
      <xdr:row>3</xdr:row>
      <xdr:rowOff>590550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235170" y="596265"/>
          <a:ext cx="1188085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2132965</xdr:colOff>
      <xdr:row>2</xdr:row>
      <xdr:rowOff>197485</xdr:rowOff>
    </xdr:from>
    <xdr:to>
      <xdr:col>18</xdr:col>
      <xdr:colOff>1153160</xdr:colOff>
      <xdr:row>3</xdr:row>
      <xdr:rowOff>654050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539460" y="586105"/>
          <a:ext cx="1153160" cy="65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1236345</xdr:colOff>
      <xdr:row>2</xdr:row>
      <xdr:rowOff>197485</xdr:rowOff>
    </xdr:from>
    <xdr:to>
      <xdr:col>19</xdr:col>
      <xdr:colOff>892175</xdr:colOff>
      <xdr:row>3</xdr:row>
      <xdr:rowOff>337185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773900" y="586105"/>
          <a:ext cx="892175" cy="337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3</xdr:row>
      <xdr:rowOff>0</xdr:rowOff>
    </xdr:from>
    <xdr:to>
      <xdr:col>21</xdr:col>
      <xdr:colOff>1744980</xdr:colOff>
      <xdr:row>3</xdr:row>
      <xdr:rowOff>571500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625560" y="586740"/>
          <a:ext cx="174498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</xdr:row>
      <xdr:rowOff>197485</xdr:rowOff>
    </xdr:from>
    <xdr:to>
      <xdr:col>22</xdr:col>
      <xdr:colOff>753745</xdr:colOff>
      <xdr:row>3</xdr:row>
      <xdr:rowOff>335915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408640" y="586105"/>
          <a:ext cx="75374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3</xdr:row>
      <xdr:rowOff>0</xdr:rowOff>
    </xdr:from>
    <xdr:to>
      <xdr:col>25</xdr:col>
      <xdr:colOff>121920</xdr:colOff>
      <xdr:row>3</xdr:row>
      <xdr:rowOff>937260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269700" y="586740"/>
          <a:ext cx="1645920" cy="937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45720</xdr:colOff>
      <xdr:row>15</xdr:row>
      <xdr:rowOff>53340</xdr:rowOff>
    </xdr:from>
    <xdr:to>
      <xdr:col>17</xdr:col>
      <xdr:colOff>473987</xdr:colOff>
      <xdr:row>17</xdr:row>
      <xdr:rowOff>47576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30300" y="3314700"/>
          <a:ext cx="2866390" cy="389890"/>
        </a:xfrm>
        <a:prstGeom prst="rect">
          <a:avLst/>
        </a:prstGeom>
      </xdr:spPr>
    </xdr:pic>
    <xdr:clientData/>
  </xdr:twoCellAnchor>
  <xdr:twoCellAnchor editAs="oneCell">
    <xdr:from>
      <xdr:col>6</xdr:col>
      <xdr:colOff>1028700</xdr:colOff>
      <xdr:row>10</xdr:row>
      <xdr:rowOff>68580</xdr:rowOff>
    </xdr:from>
    <xdr:to>
      <xdr:col>12</xdr:col>
      <xdr:colOff>414682</xdr:colOff>
      <xdr:row>29</xdr:row>
      <xdr:rowOff>165060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5800" y="2339340"/>
          <a:ext cx="5283835" cy="3860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sh\tech\json_fish_8980\&#40060;&#28846;VIP&#36947;&#20855;&#20840;&#23616;&#34920;%20-%20&#21103;&#264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炮解锁|CannonUnlock"/>
      <sheetName val="全局参数|GlobalPar"/>
      <sheetName val="VIP升级|VIPUp"/>
      <sheetName val="弹头价值|Dantou"/>
      <sheetName val="道具|Item"/>
      <sheetName val="道具|Item-f"/>
      <sheetName val="鱼属性|FishAttribute"/>
      <sheetName val="track属性|TrackAttribute"/>
    </sheetNames>
    <sheetDataSet>
      <sheetData sheetId="0"/>
      <sheetData sheetId="1"/>
      <sheetData sheetId="2"/>
      <sheetData sheetId="3"/>
      <sheetData sheetId="4"/>
      <sheetData sheetId="5"/>
      <sheetData sheetId="6">
        <row r="61">
          <cell r="E61">
            <v>400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Z73"/>
  <sheetViews>
    <sheetView workbookViewId="0">
      <pane xSplit="1" ySplit="4" topLeftCell="D11" activePane="bottomRight" state="frozen"/>
      <selection pane="topRight"/>
      <selection pane="bottomLeft"/>
      <selection pane="bottomRight" activeCell="N20" sqref="N20:N32"/>
    </sheetView>
  </sheetViews>
  <sheetFormatPr defaultColWidth="9" defaultRowHeight="15.6" outlineLevelCol="1" x14ac:dyDescent="0.35"/>
  <cols>
    <col min="1" max="1" width="12.33203125" style="24" customWidth="1"/>
    <col min="2" max="2" width="14.44140625" style="24" hidden="1" customWidth="1"/>
    <col min="3" max="3" width="13.77734375" style="24" customWidth="1"/>
    <col min="4" max="5" width="14.109375" style="24" customWidth="1"/>
    <col min="6" max="6" width="21.109375" style="24" customWidth="1"/>
    <col min="7" max="7" width="20.33203125" style="24" customWidth="1"/>
    <col min="8" max="8" width="11.33203125" style="24" customWidth="1"/>
    <col min="9" max="9" width="14.109375" style="24" customWidth="1"/>
    <col min="10" max="10" width="17.21875" style="24" customWidth="1"/>
    <col min="11" max="11" width="41.21875" style="24" customWidth="1"/>
    <col min="12" max="14" width="17.21875" style="24" customWidth="1"/>
    <col min="15" max="23" width="12.44140625" style="24" customWidth="1"/>
    <col min="24" max="24" width="46.109375" style="24" customWidth="1"/>
    <col min="25" max="25" width="9.88671875" style="24" customWidth="1"/>
    <col min="26" max="26" width="17.109375" style="24" customWidth="1"/>
    <col min="27" max="29" width="13.6640625" style="24" customWidth="1"/>
    <col min="30" max="30" width="32.33203125" style="24" customWidth="1"/>
    <col min="31" max="31" width="34.33203125" style="24" customWidth="1"/>
    <col min="32" max="32" width="12.109375" style="24" customWidth="1"/>
    <col min="33" max="33" width="18.88671875" style="24" customWidth="1"/>
    <col min="34" max="34" width="9.77734375" style="24" customWidth="1"/>
    <col min="35" max="35" width="23.6640625" style="24" customWidth="1"/>
    <col min="36" max="39" width="14.21875" style="24" customWidth="1"/>
    <col min="40" max="40" width="23.33203125" style="24" customWidth="1"/>
    <col min="41" max="42" width="14.21875" style="24" customWidth="1"/>
    <col min="43" max="43" width="15.44140625" style="24" customWidth="1"/>
    <col min="44" max="44" width="17.77734375" style="24" customWidth="1"/>
    <col min="45" max="45" width="31.44140625" style="24" customWidth="1"/>
    <col min="46" max="46" width="16.77734375" style="24" customWidth="1"/>
    <col min="47" max="47" width="14.21875" style="24" customWidth="1" outlineLevel="1"/>
    <col min="48" max="48" width="9.6640625" style="24" customWidth="1" outlineLevel="1"/>
    <col min="49" max="49" width="13.21875" style="24" customWidth="1" outlineLevel="1"/>
    <col min="50" max="50" width="11.44140625" style="24" customWidth="1" outlineLevel="1"/>
    <col min="51" max="51" width="9.109375" style="24" customWidth="1" outlineLevel="1"/>
    <col min="52" max="52" width="9" style="183" customWidth="1" outlineLevel="1"/>
    <col min="53" max="53" width="13.109375" style="183" customWidth="1" outlineLevel="1"/>
    <col min="54" max="54" width="10.6640625" style="255" customWidth="1" outlineLevel="1"/>
    <col min="55" max="55" width="9.33203125" style="255" customWidth="1" outlineLevel="1"/>
    <col min="56" max="56" width="12.44140625" style="255" customWidth="1" outlineLevel="1"/>
    <col min="57" max="57" width="10.88671875" style="255" customWidth="1" outlineLevel="1"/>
    <col min="58" max="58" width="10.21875" style="255" customWidth="1" outlineLevel="1"/>
    <col min="59" max="59" width="10.88671875" style="255" customWidth="1" outlineLevel="1"/>
    <col min="60" max="61" width="10.21875" style="255" customWidth="1" outlineLevel="1"/>
    <col min="62" max="62" width="8.44140625" style="255" customWidth="1" outlineLevel="1"/>
    <col min="63" max="63" width="10.77734375" style="255" customWidth="1" outlineLevel="1"/>
    <col min="64" max="64" width="10.21875" style="255" customWidth="1" outlineLevel="1"/>
    <col min="65" max="65" width="7.6640625" style="255" customWidth="1" outlineLevel="1"/>
    <col min="66" max="67" width="10.21875" style="255" customWidth="1" outlineLevel="1"/>
    <col min="68" max="68" width="8.44140625" style="255" customWidth="1" outlineLevel="1"/>
    <col min="69" max="69" width="10.21875" style="255" customWidth="1" outlineLevel="1"/>
    <col min="70" max="73" width="9.44140625" style="183" customWidth="1" outlineLevel="1"/>
    <col min="74" max="74" width="8.21875" style="183" customWidth="1" outlineLevel="1"/>
    <col min="75" max="85" width="9.44140625" style="183" customWidth="1" outlineLevel="1"/>
    <col min="86" max="86" width="13.77734375" style="183" customWidth="1" outlineLevel="1"/>
    <col min="87" max="99" width="8.88671875" style="183" customWidth="1"/>
    <col min="100" max="100" width="8.88671875" style="183" customWidth="1" collapsed="1"/>
    <col min="101" max="103" width="8.88671875" style="183" customWidth="1"/>
    <col min="104" max="104" width="16.109375" style="31" hidden="1" customWidth="1" outlineLevel="1"/>
    <col min="105" max="105" width="11" style="31" hidden="1" customWidth="1" outlineLevel="1"/>
    <col min="106" max="106" width="9" style="31" hidden="1" customWidth="1" outlineLevel="1"/>
    <col min="107" max="107" width="12.44140625" style="31" hidden="1" customWidth="1" outlineLevel="1"/>
    <col min="108" max="109" width="9.109375" style="31" hidden="1" customWidth="1" outlineLevel="1"/>
    <col min="110" max="110" width="10.21875" style="31" hidden="1" customWidth="1" outlineLevel="1"/>
    <col min="111" max="111" width="9.109375" style="31" hidden="1" customWidth="1" outlineLevel="1"/>
    <col min="112" max="112" width="12" style="31" hidden="1" customWidth="1" outlineLevel="1"/>
    <col min="113" max="113" width="9.21875" style="31" hidden="1" customWidth="1" outlineLevel="1"/>
    <col min="114" max="115" width="9.109375" style="31" hidden="1" customWidth="1" outlineLevel="1"/>
    <col min="116" max="116" width="11.88671875" style="31" hidden="1" customWidth="1" outlineLevel="1"/>
    <col min="117" max="119" width="9.21875" style="31" hidden="1" customWidth="1" outlineLevel="1"/>
    <col min="120" max="120" width="10.44140625" style="31" hidden="1" customWidth="1" outlineLevel="1"/>
    <col min="121" max="123" width="9.21875" style="31" hidden="1" customWidth="1" outlineLevel="1"/>
    <col min="124" max="124" width="9" customWidth="1" collapsed="1"/>
    <col min="125" max="126" width="9" customWidth="1"/>
    <col min="127" max="127" width="10" customWidth="1"/>
    <col min="128" max="128" width="10.77734375" customWidth="1"/>
    <col min="129" max="129" width="7.109375" customWidth="1"/>
    <col min="130" max="130" width="6" customWidth="1"/>
    <col min="131" max="131" width="11.5546875" customWidth="1"/>
    <col min="132" max="132" width="13.21875" customWidth="1"/>
    <col min="133" max="133" width="10" customWidth="1"/>
    <col min="134" max="134" width="12.109375" customWidth="1"/>
    <col min="135" max="135" width="10" customWidth="1"/>
    <col min="136" max="138" width="7.109375" customWidth="1"/>
    <col min="140" max="140" width="10.88671875" customWidth="1"/>
    <col min="141" max="141" width="12.77734375" customWidth="1"/>
    <col min="142" max="142" width="13.33203125" customWidth="1"/>
    <col min="143" max="143" width="15.33203125" customWidth="1"/>
    <col min="144" max="144" width="10.33203125" customWidth="1"/>
    <col min="145" max="145" width="10" customWidth="1"/>
    <col min="147" max="147" width="11" customWidth="1"/>
    <col min="148" max="148" width="10.6640625" customWidth="1"/>
    <col min="150" max="150" width="15.88671875" customWidth="1"/>
    <col min="151" max="152" width="10.88671875" customWidth="1"/>
    <col min="153" max="153" width="10.5546875" customWidth="1"/>
  </cols>
  <sheetData>
    <row r="1" spans="1:156" s="2" customFormat="1" ht="16.2" customHeight="1" x14ac:dyDescent="0.4">
      <c r="A1" s="3" t="s">
        <v>0</v>
      </c>
      <c r="B1" s="3" t="s">
        <v>0</v>
      </c>
      <c r="C1" s="3" t="s">
        <v>1</v>
      </c>
      <c r="D1" s="73" t="s">
        <v>1</v>
      </c>
      <c r="E1" s="73" t="s">
        <v>1</v>
      </c>
      <c r="F1" s="73" t="s">
        <v>1</v>
      </c>
      <c r="G1" s="73" t="s">
        <v>0</v>
      </c>
      <c r="H1" s="75" t="s">
        <v>1</v>
      </c>
      <c r="I1" s="3" t="s">
        <v>1</v>
      </c>
      <c r="J1" s="263" t="s">
        <v>0</v>
      </c>
      <c r="K1" s="263" t="s">
        <v>0</v>
      </c>
      <c r="L1" s="263" t="s">
        <v>1</v>
      </c>
      <c r="M1" s="263" t="s">
        <v>1</v>
      </c>
      <c r="N1" s="263" t="s">
        <v>1</v>
      </c>
      <c r="O1" s="3" t="s">
        <v>0</v>
      </c>
      <c r="P1" s="3" t="s">
        <v>0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263" t="s">
        <v>1</v>
      </c>
      <c r="X1" s="263" t="s">
        <v>0</v>
      </c>
      <c r="Y1" s="263" t="s">
        <v>1</v>
      </c>
      <c r="Z1" s="263" t="s">
        <v>0</v>
      </c>
      <c r="AA1" s="263" t="s">
        <v>0</v>
      </c>
      <c r="AB1" s="263" t="s">
        <v>0</v>
      </c>
      <c r="AC1" s="263" t="s">
        <v>0</v>
      </c>
      <c r="AD1" s="263" t="s">
        <v>0</v>
      </c>
      <c r="AE1" s="73" t="s">
        <v>0</v>
      </c>
      <c r="AF1" s="73" t="s">
        <v>0</v>
      </c>
      <c r="AG1" s="3" t="s">
        <v>0</v>
      </c>
      <c r="AH1" s="3" t="s">
        <v>1</v>
      </c>
      <c r="AI1" s="3" t="s">
        <v>0</v>
      </c>
      <c r="AJ1" s="3" t="s">
        <v>0</v>
      </c>
      <c r="AK1" s="73" t="s">
        <v>0</v>
      </c>
      <c r="AL1" s="73" t="s">
        <v>0</v>
      </c>
      <c r="AM1" s="73" t="s">
        <v>0</v>
      </c>
      <c r="AN1" s="3" t="s">
        <v>1</v>
      </c>
      <c r="AO1" s="3" t="s">
        <v>1</v>
      </c>
      <c r="AP1" s="3" t="s">
        <v>1</v>
      </c>
      <c r="AQ1" s="3" t="s">
        <v>1</v>
      </c>
      <c r="AR1" s="3" t="s">
        <v>1</v>
      </c>
      <c r="AS1" s="3" t="s">
        <v>1</v>
      </c>
      <c r="AT1" s="3" t="s">
        <v>1</v>
      </c>
      <c r="AU1" s="378" t="s">
        <v>2</v>
      </c>
      <c r="AV1" s="378"/>
      <c r="AW1" s="378"/>
      <c r="AX1" s="378"/>
      <c r="AY1" s="378"/>
      <c r="AZ1" s="378"/>
      <c r="BA1" s="378"/>
      <c r="BB1" s="378"/>
      <c r="BC1" s="378"/>
      <c r="BD1" s="284"/>
      <c r="BE1" s="284"/>
      <c r="BF1" s="284"/>
      <c r="BG1" s="284"/>
      <c r="BH1" s="284"/>
      <c r="BI1" s="284"/>
      <c r="BJ1" s="284"/>
      <c r="BK1" s="284"/>
      <c r="BL1" s="284"/>
      <c r="BM1" s="284"/>
      <c r="BN1" s="284"/>
      <c r="BO1" s="284"/>
      <c r="BP1" s="284"/>
      <c r="BQ1" s="284"/>
      <c r="BS1" s="2" t="s">
        <v>3</v>
      </c>
      <c r="BT1" s="379" t="s">
        <v>4</v>
      </c>
      <c r="BU1" s="380"/>
      <c r="BV1" s="2">
        <f>$A5*BV5</f>
        <v>1000</v>
      </c>
      <c r="BW1" s="385" t="s">
        <v>5</v>
      </c>
      <c r="BX1" s="386"/>
      <c r="BY1" s="2">
        <v>1200</v>
      </c>
      <c r="BZ1" s="381" t="s">
        <v>6</v>
      </c>
      <c r="CA1" s="382"/>
      <c r="CB1" s="2">
        <f>$A5*CB5</f>
        <v>1000</v>
      </c>
      <c r="CC1" s="381" t="s">
        <v>7</v>
      </c>
      <c r="CD1" s="382"/>
      <c r="CE1" s="2">
        <v>1200</v>
      </c>
      <c r="CF1" s="383" t="s">
        <v>8</v>
      </c>
      <c r="CG1" s="384"/>
      <c r="CH1" s="217">
        <f>A9*20+100000</f>
        <v>102000</v>
      </c>
      <c r="CI1" s="183"/>
      <c r="CJ1" s="183"/>
      <c r="CK1" s="183"/>
      <c r="CL1" s="183"/>
      <c r="CM1" s="183"/>
      <c r="CN1" s="183"/>
      <c r="CO1" s="183"/>
      <c r="CP1" s="183"/>
      <c r="CQ1" s="183"/>
      <c r="CR1" s="183"/>
      <c r="CS1" s="183"/>
      <c r="CT1" s="183"/>
      <c r="CU1" s="183"/>
      <c r="CV1" s="183"/>
      <c r="CW1" s="183"/>
      <c r="CX1" s="183"/>
      <c r="CY1" s="183"/>
      <c r="CZ1" s="24" t="s">
        <v>9</v>
      </c>
      <c r="DA1" s="24">
        <v>20</v>
      </c>
      <c r="DB1" s="24"/>
      <c r="DC1" s="24" t="s">
        <v>10</v>
      </c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</row>
    <row r="2" spans="1:156" s="2" customFormat="1" ht="16.2" x14ac:dyDescent="0.4">
      <c r="A2" s="3" t="s">
        <v>11</v>
      </c>
      <c r="B2" s="3" t="s">
        <v>11</v>
      </c>
      <c r="C2" s="3" t="s">
        <v>12</v>
      </c>
      <c r="D2" s="3" t="s">
        <v>13</v>
      </c>
      <c r="E2" s="3" t="s">
        <v>13</v>
      </c>
      <c r="F2" s="3" t="s">
        <v>11</v>
      </c>
      <c r="G2" s="73" t="s">
        <v>11</v>
      </c>
      <c r="H2" s="75" t="s">
        <v>11</v>
      </c>
      <c r="I2" s="3" t="s">
        <v>11</v>
      </c>
      <c r="J2" s="263" t="s">
        <v>11</v>
      </c>
      <c r="K2" s="3" t="s">
        <v>12</v>
      </c>
      <c r="L2" s="263" t="s">
        <v>11</v>
      </c>
      <c r="M2" s="263" t="s">
        <v>11</v>
      </c>
      <c r="N2" s="3" t="s">
        <v>12</v>
      </c>
      <c r="O2" s="3" t="s">
        <v>11</v>
      </c>
      <c r="P2" s="3" t="s">
        <v>11</v>
      </c>
      <c r="Q2" s="3" t="s">
        <v>11</v>
      </c>
      <c r="R2" s="3" t="s">
        <v>11</v>
      </c>
      <c r="S2" s="3" t="s">
        <v>11</v>
      </c>
      <c r="T2" s="3" t="s">
        <v>11</v>
      </c>
      <c r="U2" s="3" t="s">
        <v>11</v>
      </c>
      <c r="V2" s="3" t="s">
        <v>11</v>
      </c>
      <c r="W2" s="3" t="s">
        <v>11</v>
      </c>
      <c r="X2" s="263" t="s">
        <v>12</v>
      </c>
      <c r="Y2" s="263" t="s">
        <v>11</v>
      </c>
      <c r="Z2" s="263" t="s">
        <v>12</v>
      </c>
      <c r="AA2" s="263" t="s">
        <v>12</v>
      </c>
      <c r="AB2" s="263" t="s">
        <v>11</v>
      </c>
      <c r="AC2" s="263" t="s">
        <v>11</v>
      </c>
      <c r="AD2" s="263" t="s">
        <v>12</v>
      </c>
      <c r="AE2" s="73" t="s">
        <v>12</v>
      </c>
      <c r="AF2" s="73" t="s">
        <v>12</v>
      </c>
      <c r="AG2" s="3" t="s">
        <v>11</v>
      </c>
      <c r="AH2" s="3" t="s">
        <v>11</v>
      </c>
      <c r="AI2" s="3" t="s">
        <v>12</v>
      </c>
      <c r="AJ2" s="3" t="s">
        <v>12</v>
      </c>
      <c r="AK2" s="73" t="s">
        <v>12</v>
      </c>
      <c r="AL2" s="73" t="s">
        <v>12</v>
      </c>
      <c r="AM2" s="73" t="s">
        <v>11</v>
      </c>
      <c r="AN2" s="3" t="s">
        <v>14</v>
      </c>
      <c r="AO2" s="3" t="s">
        <v>14</v>
      </c>
      <c r="AP2" s="3" t="s">
        <v>14</v>
      </c>
      <c r="AQ2" s="3" t="s">
        <v>14</v>
      </c>
      <c r="AR2" s="3" t="s">
        <v>14</v>
      </c>
      <c r="AS2" s="3" t="s">
        <v>14</v>
      </c>
      <c r="AT2" s="3" t="s">
        <v>13</v>
      </c>
      <c r="AU2" s="378"/>
      <c r="AV2" s="378"/>
      <c r="AW2" s="378"/>
      <c r="AX2" s="378"/>
      <c r="AY2" s="378"/>
      <c r="AZ2" s="378"/>
      <c r="BA2" s="378"/>
      <c r="BB2" s="378"/>
      <c r="BC2" s="378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S2" s="2" t="s">
        <v>15</v>
      </c>
      <c r="BT2" s="380"/>
      <c r="BU2" s="380"/>
      <c r="BV2" s="2">
        <f>$A10*BV10</f>
        <v>10000</v>
      </c>
      <c r="BW2" s="386"/>
      <c r="BX2" s="386"/>
      <c r="BY2" s="2">
        <v>12000</v>
      </c>
      <c r="BZ2" s="382"/>
      <c r="CA2" s="382"/>
      <c r="CB2" s="2">
        <f>$A10*CB10</f>
        <v>10000</v>
      </c>
      <c r="CC2" s="382"/>
      <c r="CD2" s="382"/>
      <c r="CE2" s="2">
        <v>12000</v>
      </c>
      <c r="CF2" s="384"/>
      <c r="CG2" s="384"/>
      <c r="CH2" s="217">
        <f>A14*20+1000000</f>
        <v>1020000</v>
      </c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24" t="s">
        <v>16</v>
      </c>
      <c r="DA2" s="24">
        <v>30</v>
      </c>
      <c r="DB2" s="24"/>
      <c r="DC2" s="387" t="s">
        <v>17</v>
      </c>
      <c r="DD2" s="387"/>
      <c r="DE2" s="387"/>
      <c r="DF2" s="387"/>
      <c r="DG2" s="24"/>
      <c r="DH2" s="388" t="s">
        <v>18</v>
      </c>
      <c r="DI2" s="388"/>
      <c r="DJ2" s="388"/>
      <c r="DK2" s="388"/>
      <c r="DL2" s="388"/>
      <c r="DM2" s="388"/>
      <c r="DN2" s="388"/>
      <c r="DO2" s="388"/>
      <c r="DP2" s="388"/>
      <c r="DQ2" s="388"/>
      <c r="DR2" s="388"/>
      <c r="DS2" s="388"/>
    </row>
    <row r="3" spans="1:156" s="2" customFormat="1" ht="16.2" x14ac:dyDescent="0.4">
      <c r="A3" s="3" t="s">
        <v>19</v>
      </c>
      <c r="B3" s="3" t="s">
        <v>20</v>
      </c>
      <c r="C3" s="256" t="s">
        <v>21</v>
      </c>
      <c r="D3" s="256" t="s">
        <v>22</v>
      </c>
      <c r="E3" s="256" t="s">
        <v>23</v>
      </c>
      <c r="F3" s="256" t="s">
        <v>24</v>
      </c>
      <c r="G3" s="257" t="s">
        <v>25</v>
      </c>
      <c r="H3" s="258" t="s">
        <v>26</v>
      </c>
      <c r="I3" s="264" t="s">
        <v>27</v>
      </c>
      <c r="J3" s="265" t="s">
        <v>28</v>
      </c>
      <c r="K3" s="265" t="s">
        <v>29</v>
      </c>
      <c r="L3" s="265" t="s">
        <v>30</v>
      </c>
      <c r="M3" s="265" t="s">
        <v>31</v>
      </c>
      <c r="N3" s="265" t="s">
        <v>1969</v>
      </c>
      <c r="O3" s="264" t="s">
        <v>32</v>
      </c>
      <c r="P3" s="264" t="s">
        <v>33</v>
      </c>
      <c r="Q3" s="264" t="s">
        <v>34</v>
      </c>
      <c r="R3" s="264" t="s">
        <v>35</v>
      </c>
      <c r="S3" s="264" t="s">
        <v>36</v>
      </c>
      <c r="T3" s="264" t="s">
        <v>37</v>
      </c>
      <c r="U3" s="264" t="s">
        <v>38</v>
      </c>
      <c r="V3" s="264" t="s">
        <v>39</v>
      </c>
      <c r="W3" s="264" t="s">
        <v>40</v>
      </c>
      <c r="X3" s="263" t="s">
        <v>41</v>
      </c>
      <c r="Y3" s="263" t="s">
        <v>42</v>
      </c>
      <c r="Z3" s="271" t="s">
        <v>43</v>
      </c>
      <c r="AA3" s="263" t="s">
        <v>44</v>
      </c>
      <c r="AB3" s="263" t="s">
        <v>45</v>
      </c>
      <c r="AC3" s="263" t="s">
        <v>46</v>
      </c>
      <c r="AD3" s="263" t="s">
        <v>47</v>
      </c>
      <c r="AE3" s="73" t="s">
        <v>48</v>
      </c>
      <c r="AF3" s="73" t="s">
        <v>49</v>
      </c>
      <c r="AG3" s="3" t="s">
        <v>50</v>
      </c>
      <c r="AH3" s="75" t="s">
        <v>51</v>
      </c>
      <c r="AI3" s="75" t="s">
        <v>52</v>
      </c>
      <c r="AJ3" s="75" t="s">
        <v>53</v>
      </c>
      <c r="AK3" s="73" t="s">
        <v>54</v>
      </c>
      <c r="AL3" s="73" t="s">
        <v>55</v>
      </c>
      <c r="AM3" s="73" t="s">
        <v>56</v>
      </c>
      <c r="AN3" s="73" t="s">
        <v>57</v>
      </c>
      <c r="AO3" s="73" t="s">
        <v>58</v>
      </c>
      <c r="AP3" s="73" t="s">
        <v>59</v>
      </c>
      <c r="AQ3" s="3" t="s">
        <v>60</v>
      </c>
      <c r="AR3" s="3" t="s">
        <v>61</v>
      </c>
      <c r="AS3" s="3" t="s">
        <v>62</v>
      </c>
      <c r="AT3" s="3" t="s">
        <v>63</v>
      </c>
      <c r="AU3" s="389" t="s">
        <v>58</v>
      </c>
      <c r="AV3" s="389"/>
      <c r="AW3" s="389"/>
      <c r="AX3" s="24"/>
      <c r="AY3" s="24"/>
      <c r="AZ3" s="389" t="s">
        <v>57</v>
      </c>
      <c r="BA3" s="389"/>
      <c r="BB3" s="389"/>
      <c r="BC3" s="284"/>
      <c r="BD3" s="284"/>
      <c r="BE3" s="284"/>
      <c r="BF3" s="284"/>
      <c r="BG3" s="284"/>
      <c r="BH3" s="284"/>
      <c r="BI3" s="284"/>
      <c r="BJ3" s="284"/>
      <c r="BK3" s="284"/>
      <c r="BL3" s="284"/>
      <c r="BM3" s="284"/>
      <c r="BN3" s="284"/>
      <c r="BO3" s="284"/>
      <c r="BP3" s="284"/>
      <c r="BQ3" s="284"/>
      <c r="BR3" s="298"/>
      <c r="BS3" s="298" t="s">
        <v>64</v>
      </c>
      <c r="BT3" s="380"/>
      <c r="BU3" s="380"/>
      <c r="BV3" s="2">
        <f>$A15*BV15</f>
        <v>100000</v>
      </c>
      <c r="BW3" s="386"/>
      <c r="BX3" s="386"/>
      <c r="BY3" s="2">
        <v>120000</v>
      </c>
      <c r="BZ3" s="382"/>
      <c r="CA3" s="382"/>
      <c r="CB3" s="2">
        <f>$A15*CB15</f>
        <v>100000</v>
      </c>
      <c r="CC3" s="382"/>
      <c r="CD3" s="382"/>
      <c r="CE3" s="2">
        <v>120000</v>
      </c>
      <c r="CF3" s="384"/>
      <c r="CG3" s="384"/>
      <c r="CH3" s="217">
        <f>A19*20+10000000</f>
        <v>10200000</v>
      </c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24" t="s">
        <v>65</v>
      </c>
      <c r="DA3" s="24">
        <v>50</v>
      </c>
      <c r="DB3" s="24"/>
      <c r="DC3" s="390" t="s">
        <v>66</v>
      </c>
      <c r="DD3" s="390"/>
      <c r="DE3" s="390"/>
      <c r="DF3" s="390"/>
      <c r="DG3" s="24"/>
      <c r="DH3" s="24" t="s">
        <v>67</v>
      </c>
      <c r="DI3" s="24"/>
      <c r="DJ3" s="24"/>
      <c r="DK3" s="24"/>
      <c r="DL3" s="24" t="s">
        <v>68</v>
      </c>
      <c r="DM3" s="24"/>
      <c r="DN3" s="24"/>
      <c r="DO3" s="24"/>
      <c r="DP3" s="24" t="s">
        <v>69</v>
      </c>
      <c r="DQ3" s="24"/>
      <c r="DR3" s="24"/>
      <c r="DS3" s="24"/>
    </row>
    <row r="4" spans="1:156" s="2" customFormat="1" ht="105.6" x14ac:dyDescent="0.4">
      <c r="A4" s="5" t="s">
        <v>70</v>
      </c>
      <c r="B4" s="5" t="s">
        <v>71</v>
      </c>
      <c r="C4" s="5" t="s">
        <v>72</v>
      </c>
      <c r="D4" s="5" t="s">
        <v>73</v>
      </c>
      <c r="E4" s="5" t="s">
        <v>74</v>
      </c>
      <c r="F4" s="5" t="s">
        <v>75</v>
      </c>
      <c r="G4" s="259" t="s">
        <v>76</v>
      </c>
      <c r="H4" s="260" t="s">
        <v>77</v>
      </c>
      <c r="I4" s="260" t="s">
        <v>78</v>
      </c>
      <c r="J4" s="266" t="s">
        <v>79</v>
      </c>
      <c r="K4" s="266" t="s">
        <v>80</v>
      </c>
      <c r="L4" s="32" t="s">
        <v>81</v>
      </c>
      <c r="M4" s="32" t="s">
        <v>82</v>
      </c>
      <c r="N4" s="32" t="s">
        <v>1970</v>
      </c>
      <c r="O4" s="267" t="s">
        <v>83</v>
      </c>
      <c r="P4" s="267" t="s">
        <v>84</v>
      </c>
      <c r="Q4" s="267" t="s">
        <v>85</v>
      </c>
      <c r="R4" s="267" t="s">
        <v>86</v>
      </c>
      <c r="S4" s="267" t="s">
        <v>87</v>
      </c>
      <c r="T4" s="267" t="s">
        <v>88</v>
      </c>
      <c r="U4" s="267" t="s">
        <v>89</v>
      </c>
      <c r="V4" s="267" t="s">
        <v>90</v>
      </c>
      <c r="W4" s="267" t="s">
        <v>91</v>
      </c>
      <c r="X4" s="18" t="s">
        <v>92</v>
      </c>
      <c r="Y4" s="18" t="s">
        <v>93</v>
      </c>
      <c r="Z4" s="272" t="s">
        <v>94</v>
      </c>
      <c r="AA4" s="18" t="s">
        <v>95</v>
      </c>
      <c r="AB4" s="18" t="s">
        <v>96</v>
      </c>
      <c r="AC4" s="18" t="s">
        <v>97</v>
      </c>
      <c r="AD4" s="18" t="s">
        <v>98</v>
      </c>
      <c r="AE4" s="76" t="s">
        <v>99</v>
      </c>
      <c r="AF4" s="76" t="s">
        <v>100</v>
      </c>
      <c r="AG4" s="5" t="s">
        <v>101</v>
      </c>
      <c r="AH4" s="5" t="s">
        <v>102</v>
      </c>
      <c r="AI4" s="5" t="s">
        <v>103</v>
      </c>
      <c r="AJ4" s="5" t="s">
        <v>104</v>
      </c>
      <c r="AK4" s="5" t="s">
        <v>105</v>
      </c>
      <c r="AL4" s="5" t="s">
        <v>106</v>
      </c>
      <c r="AM4" s="5" t="s">
        <v>107</v>
      </c>
      <c r="AN4" s="5" t="s">
        <v>108</v>
      </c>
      <c r="AO4" s="5" t="s">
        <v>109</v>
      </c>
      <c r="AP4" s="5" t="s">
        <v>110</v>
      </c>
      <c r="AQ4" s="5" t="s">
        <v>111</v>
      </c>
      <c r="AR4" s="5" t="s">
        <v>112</v>
      </c>
      <c r="AS4" s="5" t="s">
        <v>113</v>
      </c>
      <c r="AT4" s="5" t="s">
        <v>114</v>
      </c>
      <c r="AU4" s="274" t="s">
        <v>115</v>
      </c>
      <c r="AV4" s="275" t="s">
        <v>116</v>
      </c>
      <c r="AW4" s="276" t="s">
        <v>117</v>
      </c>
      <c r="AX4" s="24"/>
      <c r="AY4" s="285" t="s">
        <v>118</v>
      </c>
      <c r="AZ4" s="274" t="s">
        <v>115</v>
      </c>
      <c r="BA4" s="274" t="s">
        <v>116</v>
      </c>
      <c r="BB4" s="276" t="s">
        <v>117</v>
      </c>
      <c r="BC4" s="143" t="s">
        <v>119</v>
      </c>
      <c r="BD4" s="286" t="s">
        <v>120</v>
      </c>
      <c r="BE4" s="287" t="s">
        <v>121</v>
      </c>
      <c r="BF4" s="284"/>
      <c r="BG4" s="284"/>
      <c r="BH4" s="284"/>
      <c r="BI4" s="284" t="s">
        <v>122</v>
      </c>
      <c r="BJ4" s="284" t="s">
        <v>123</v>
      </c>
      <c r="BK4" s="284" t="s">
        <v>124</v>
      </c>
      <c r="BL4" s="284"/>
      <c r="BM4" s="284"/>
      <c r="BN4" s="284"/>
      <c r="BO4" s="284"/>
      <c r="BP4" s="284"/>
      <c r="BQ4" s="284"/>
      <c r="BS4" s="22" t="s">
        <v>125</v>
      </c>
      <c r="BT4" s="274" t="s">
        <v>126</v>
      </c>
      <c r="BU4" s="274" t="s">
        <v>116</v>
      </c>
      <c r="BV4" s="276" t="s">
        <v>127</v>
      </c>
      <c r="BW4" s="234" t="s">
        <v>128</v>
      </c>
      <c r="BX4" s="296" t="s">
        <v>129</v>
      </c>
      <c r="BY4" s="64" t="s">
        <v>130</v>
      </c>
      <c r="BZ4" s="234" t="s">
        <v>131</v>
      </c>
      <c r="CA4" s="296" t="s">
        <v>129</v>
      </c>
      <c r="CB4" s="296" t="s">
        <v>132</v>
      </c>
      <c r="CC4" s="234" t="s">
        <v>133</v>
      </c>
      <c r="CD4" s="296" t="s">
        <v>129</v>
      </c>
      <c r="CE4" s="296" t="s">
        <v>132</v>
      </c>
      <c r="CF4" s="234" t="s">
        <v>134</v>
      </c>
      <c r="CG4" s="296" t="s">
        <v>129</v>
      </c>
      <c r="CH4" s="64" t="s">
        <v>135</v>
      </c>
      <c r="CI4" s="280"/>
      <c r="CJ4" s="280"/>
      <c r="CK4" s="280"/>
      <c r="CL4" s="280"/>
      <c r="CM4" s="280"/>
      <c r="CN4" s="280"/>
      <c r="CO4" s="280"/>
      <c r="CP4" s="280"/>
      <c r="CQ4" s="280"/>
      <c r="CR4" s="280"/>
      <c r="CS4" s="280"/>
      <c r="CT4" s="280"/>
      <c r="CU4" s="278"/>
      <c r="CV4" s="304"/>
      <c r="CW4" s="304"/>
      <c r="CX4" s="304"/>
      <c r="CY4" s="304"/>
      <c r="DB4" s="24"/>
      <c r="DC4" s="307" t="s">
        <v>136</v>
      </c>
      <c r="DD4" s="308" t="s">
        <v>137</v>
      </c>
      <c r="DE4" s="308" t="s">
        <v>138</v>
      </c>
      <c r="DF4" s="308" t="s">
        <v>139</v>
      </c>
      <c r="DG4" s="309"/>
      <c r="DH4" s="310" t="s">
        <v>140</v>
      </c>
      <c r="DI4" s="311" t="s">
        <v>141</v>
      </c>
      <c r="DJ4" s="311" t="s">
        <v>142</v>
      </c>
      <c r="DK4" s="311" t="s">
        <v>143</v>
      </c>
      <c r="DL4" s="307" t="s">
        <v>140</v>
      </c>
      <c r="DM4" s="307" t="s">
        <v>141</v>
      </c>
      <c r="DN4" s="307" t="s">
        <v>142</v>
      </c>
      <c r="DO4" s="307" t="s">
        <v>143</v>
      </c>
      <c r="DP4" s="313" t="s">
        <v>140</v>
      </c>
      <c r="DQ4" s="313" t="s">
        <v>141</v>
      </c>
      <c r="DR4" s="313" t="s">
        <v>142</v>
      </c>
      <c r="DS4" s="313" t="s">
        <v>143</v>
      </c>
    </row>
    <row r="5" spans="1:156" ht="15.6" customHeight="1" x14ac:dyDescent="0.35">
      <c r="A5" s="50">
        <v>20</v>
      </c>
      <c r="B5" s="24">
        <v>0</v>
      </c>
      <c r="C5" s="24">
        <v>1</v>
      </c>
      <c r="D5" s="24">
        <v>0.3</v>
      </c>
      <c r="E5" s="24">
        <v>0.3</v>
      </c>
      <c r="F5" s="261">
        <v>0</v>
      </c>
      <c r="G5" s="24">
        <v>-1</v>
      </c>
      <c r="H5" s="24">
        <v>1005</v>
      </c>
      <c r="I5" s="24">
        <f t="shared" ref="I5:I32" si="0">A5*5000</f>
        <v>100000</v>
      </c>
      <c r="J5" s="268">
        <f>A5*250</f>
        <v>5000</v>
      </c>
      <c r="K5" s="269" t="str">
        <f t="shared" ref="K5:K32" si="1">"[[7001,"&amp;J5&amp;"],[7002,"&amp;J5&amp;"],[7003,"&amp;J5&amp;"]]"</f>
        <v>[[7001,5000],[7002,5000],[7003,5000]]</v>
      </c>
      <c r="L5" s="24">
        <f t="shared" ref="L5:L23" si="2">A5*$L$24/$A$24</f>
        <v>576</v>
      </c>
      <c r="M5" s="24">
        <f>L5</f>
        <v>576</v>
      </c>
      <c r="N5" s="24" t="str">
        <f t="shared" ref="N5:N18" si="3">N6</f>
        <v>1,3</v>
      </c>
      <c r="O5" s="24">
        <v>100</v>
      </c>
      <c r="P5" s="24">
        <v>100</v>
      </c>
      <c r="Q5" s="24">
        <v>0</v>
      </c>
      <c r="R5" s="24">
        <v>1605</v>
      </c>
      <c r="S5" s="24">
        <v>9600</v>
      </c>
      <c r="T5" s="107">
        <v>9600</v>
      </c>
      <c r="U5" s="24">
        <v>9600</v>
      </c>
      <c r="V5" s="24">
        <v>9600</v>
      </c>
      <c r="W5" s="45">
        <f t="shared" ref="W5:W19" si="4">W6</f>
        <v>720000</v>
      </c>
      <c r="AG5" s="24">
        <v>1</v>
      </c>
      <c r="AH5" s="24">
        <f t="shared" ref="AH5:AH32" si="5">ROW(A5)-4</f>
        <v>1</v>
      </c>
      <c r="AN5" s="24">
        <f t="shared" ref="AN5:AN14" si="6">AZ5</f>
        <v>3.7778</v>
      </c>
      <c r="AO5" s="24">
        <f>AU5</f>
        <v>0.94440000000000002</v>
      </c>
      <c r="AP5" s="277" t="str">
        <f>BT5&amp;","&amp;BW5&amp;","&amp;BZ5&amp;","&amp;CC5&amp;","&amp;CF5</f>
        <v>2,0.88,2,0.88,2.02</v>
      </c>
      <c r="AQ5" s="24" t="str">
        <f t="shared" ref="AQ5:AQ24" si="7">DD5&amp;","&amp;DE5&amp;","&amp;DF5</f>
        <v>1,1,0.0003</v>
      </c>
      <c r="AS5" s="24" t="str">
        <f t="shared" ref="AS5:AS24" si="8">"[["&amp;DI5&amp;","&amp;DJ5&amp;","&amp;DK5&amp;"],["&amp;DM5&amp;","&amp;DN5&amp;","&amp;DO5&amp;"],["&amp;DQ5&amp;","&amp;DR5&amp;","&amp;DS5&amp;"]]"</f>
        <v>[[0,0,0],[0,0,0],[0,0,0]]</v>
      </c>
      <c r="AT5" s="278">
        <v>1</v>
      </c>
      <c r="AU5" s="157">
        <f>ROUND((0-$AX$5)/($A5*AW5*60*6)+1,4)</f>
        <v>0.94440000000000002</v>
      </c>
      <c r="AV5" s="158">
        <f t="shared" ref="AV5:AV32" si="9">A5*(1-AU5)*6</f>
        <v>6.6719999999999979</v>
      </c>
      <c r="AW5" s="279">
        <v>25</v>
      </c>
      <c r="AX5" s="24">
        <v>10000</v>
      </c>
      <c r="AY5" s="24">
        <f>10*60*6</f>
        <v>3600</v>
      </c>
      <c r="AZ5" s="2">
        <f>ROUND(($BD$5)/(BB5*60*A5*6)+1,4)</f>
        <v>3.7778</v>
      </c>
      <c r="BA5" s="2">
        <f t="shared" ref="BA5:BA14" si="10">(AZ5-1)*A5*6</f>
        <v>333.33600000000001</v>
      </c>
      <c r="BB5" s="288">
        <v>5</v>
      </c>
      <c r="BC5" s="289" t="s">
        <v>144</v>
      </c>
      <c r="BD5" s="290">
        <v>100000</v>
      </c>
      <c r="BE5" s="291" t="s">
        <v>145</v>
      </c>
      <c r="BF5" s="234"/>
      <c r="BG5" s="234"/>
      <c r="BH5" s="296" t="s">
        <v>146</v>
      </c>
      <c r="BI5" s="234">
        <f>BB9+BB14+BB19+BE19+BH19</f>
        <v>17.899999999999999</v>
      </c>
      <c r="BJ5" s="234">
        <f>BB5+BB10+BB15+BE15+BH15</f>
        <v>54.1</v>
      </c>
      <c r="BL5" s="234"/>
      <c r="BM5" s="234"/>
      <c r="BN5" s="234"/>
      <c r="BO5" s="234"/>
      <c r="BP5" s="234"/>
      <c r="BQ5" s="234"/>
      <c r="BS5" s="2">
        <f t="shared" ref="BS5:BS19" si="11">BV5+BY5+CB5+CE5+CH5</f>
        <v>6100</v>
      </c>
      <c r="BT5" s="21">
        <f>ROUND((BV$1)/(BV5*$A5)+1,4)</f>
        <v>2</v>
      </c>
      <c r="BU5" s="21">
        <f>(BT5-1)*$A5*6</f>
        <v>120</v>
      </c>
      <c r="BV5" s="301">
        <v>50</v>
      </c>
      <c r="BW5" s="21">
        <f>ROUND((-BY$1)/(BY5*$A5)+1,4)</f>
        <v>0.88</v>
      </c>
      <c r="BX5" s="21">
        <f t="shared" ref="BX5:BX19" si="12">(BW5-1)*$A5*6</f>
        <v>-14.399999999999999</v>
      </c>
      <c r="BY5" s="301">
        <v>500</v>
      </c>
      <c r="BZ5" s="21">
        <f>ROUND((CB$1)/(CB5*$A5)+1,4)</f>
        <v>2</v>
      </c>
      <c r="CA5" s="21">
        <f>(BZ5-1)*$A5*6</f>
        <v>120</v>
      </c>
      <c r="CB5" s="301">
        <v>50</v>
      </c>
      <c r="CC5" s="21">
        <f>ROUND((-CE$1)/(CE5*$A5)+1,4)</f>
        <v>0.88</v>
      </c>
      <c r="CD5" s="21">
        <f t="shared" ref="CD5:CD19" si="13">(CC5-1)*$A5*6</f>
        <v>-14.399999999999999</v>
      </c>
      <c r="CE5" s="301">
        <v>500</v>
      </c>
      <c r="CF5" s="21">
        <f>ROUND((CH$1)/(CH5*$A5)+1,4)</f>
        <v>2.02</v>
      </c>
      <c r="CG5" s="21">
        <f>(CF5-1)*$A5*6</f>
        <v>122.39999999999999</v>
      </c>
      <c r="CH5" s="301">
        <v>5000</v>
      </c>
      <c r="CI5" s="290"/>
      <c r="CJ5" s="291"/>
      <c r="CK5" s="234"/>
      <c r="CL5" s="234"/>
      <c r="CM5" s="234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4" t="s">
        <v>147</v>
      </c>
      <c r="DA5" s="305">
        <v>0.01</v>
      </c>
      <c r="DB5" s="24"/>
      <c r="DC5" s="312">
        <f t="shared" ref="DC5:DC32" si="14">$DA$2*$DA$5/$DA$6*A5</f>
        <v>2.9999999999999997E-4</v>
      </c>
      <c r="DD5" s="24">
        <v>1</v>
      </c>
      <c r="DE5" s="24">
        <v>1</v>
      </c>
      <c r="DF5" s="312">
        <f t="shared" ref="DF5:DF24" si="15">ROUND(DC5/DD5,6)</f>
        <v>2.9999999999999997E-4</v>
      </c>
      <c r="DG5" s="24"/>
      <c r="DH5" s="45">
        <f t="shared" ref="DH5:DH32" si="16">A5*$DA$1</f>
        <v>400</v>
      </c>
      <c r="DI5" s="45">
        <v>0</v>
      </c>
      <c r="DJ5" s="45">
        <v>0</v>
      </c>
      <c r="DK5" s="45">
        <v>0</v>
      </c>
      <c r="DL5" s="45">
        <f t="shared" ref="DL5:DL32" si="17">A5*$DA$2</f>
        <v>600</v>
      </c>
      <c r="DM5" s="45">
        <v>0</v>
      </c>
      <c r="DN5" s="45">
        <v>0</v>
      </c>
      <c r="DO5" s="45">
        <v>0</v>
      </c>
      <c r="DP5" s="45">
        <f t="shared" ref="DP5:DP32" si="18">A5*$DA$3</f>
        <v>1000</v>
      </c>
      <c r="DQ5" s="45">
        <v>0</v>
      </c>
      <c r="DR5" s="45">
        <v>0</v>
      </c>
      <c r="DS5" s="45">
        <v>0</v>
      </c>
    </row>
    <row r="6" spans="1:156" x14ac:dyDescent="0.35">
      <c r="A6" s="50">
        <v>40</v>
      </c>
      <c r="B6" s="24">
        <v>0</v>
      </c>
      <c r="C6" s="24">
        <v>1</v>
      </c>
      <c r="D6" s="24">
        <v>0.3</v>
      </c>
      <c r="E6" s="24">
        <v>0.3</v>
      </c>
      <c r="F6" s="261">
        <v>0</v>
      </c>
      <c r="G6" s="24">
        <v>-1</v>
      </c>
      <c r="H6" s="24">
        <v>1005</v>
      </c>
      <c r="I6" s="24">
        <f t="shared" si="0"/>
        <v>200000</v>
      </c>
      <c r="J6" s="268">
        <f>A6*225</f>
        <v>9000</v>
      </c>
      <c r="K6" s="269" t="str">
        <f t="shared" si="1"/>
        <v>[[7001,9000],[7002,9000],[7003,9000]]</v>
      </c>
      <c r="L6" s="24">
        <f t="shared" si="2"/>
        <v>1152</v>
      </c>
      <c r="M6" s="24">
        <f t="shared" ref="M6:M24" si="19">L6</f>
        <v>1152</v>
      </c>
      <c r="N6" s="24" t="str">
        <f t="shared" si="3"/>
        <v>1,3</v>
      </c>
      <c r="O6" s="24">
        <v>100</v>
      </c>
      <c r="P6" s="24">
        <v>100</v>
      </c>
      <c r="Q6" s="24">
        <v>0</v>
      </c>
      <c r="R6" s="24">
        <v>1605</v>
      </c>
      <c r="S6" s="24">
        <v>9600</v>
      </c>
      <c r="T6" s="107">
        <v>9600</v>
      </c>
      <c r="U6" s="24">
        <v>9600</v>
      </c>
      <c r="V6" s="24">
        <v>9600</v>
      </c>
      <c r="W6" s="45">
        <f t="shared" si="4"/>
        <v>720000</v>
      </c>
      <c r="AG6" s="24">
        <v>1</v>
      </c>
      <c r="AH6" s="24">
        <f t="shared" si="5"/>
        <v>2</v>
      </c>
      <c r="AN6" s="24">
        <f t="shared" si="6"/>
        <v>2.5432000000000001</v>
      </c>
      <c r="AO6" s="24">
        <f t="shared" ref="AO6:AO24" si="20">AU6</f>
        <v>0.94440000000000002</v>
      </c>
      <c r="AP6" s="277" t="str">
        <f t="shared" ref="AP6:AP19" si="21">BT6&amp;","&amp;BW6&amp;","&amp;BZ6&amp;","&amp;CC6&amp;","&amp;CF6</f>
        <v>1.5882,0.9294,1.5882,0.9294,1.6</v>
      </c>
      <c r="AQ6" s="24" t="str">
        <f t="shared" si="7"/>
        <v>1,1,0.0006</v>
      </c>
      <c r="AS6" s="24" t="str">
        <f t="shared" si="8"/>
        <v>[[0,0,0],[0,0,0],[0,0,0]]</v>
      </c>
      <c r="AT6" s="280">
        <v>0.8</v>
      </c>
      <c r="AU6" s="160">
        <f>ROUND((0-$AX$5)/($A6*AW6*60*6)+1,4)</f>
        <v>0.94440000000000002</v>
      </c>
      <c r="AV6" s="59">
        <f t="shared" si="9"/>
        <v>13.343999999999996</v>
      </c>
      <c r="AW6" s="281">
        <f>AW$5*(A$5/A6)</f>
        <v>12.5</v>
      </c>
      <c r="AZ6" s="2">
        <f>ROUND(($BD$5)/(BB6*60*A6*6)+1,4)</f>
        <v>2.5432000000000001</v>
      </c>
      <c r="BA6" s="2">
        <f t="shared" si="10"/>
        <v>370.36800000000005</v>
      </c>
      <c r="BB6" s="288">
        <f>BB5-0.5</f>
        <v>4.5</v>
      </c>
      <c r="BC6" s="289" t="s">
        <v>148</v>
      </c>
      <c r="BD6" s="290">
        <v>1000000</v>
      </c>
      <c r="BE6" s="291" t="s">
        <v>149</v>
      </c>
      <c r="BF6" s="234"/>
      <c r="BG6" s="234"/>
      <c r="BH6" s="296" t="s">
        <v>150</v>
      </c>
      <c r="BI6" s="234">
        <f>BB9+BB14</f>
        <v>6</v>
      </c>
      <c r="BJ6" s="234">
        <f>BB5+BB10</f>
        <v>10</v>
      </c>
      <c r="BL6" s="234"/>
      <c r="BM6" s="234"/>
      <c r="BN6" s="234"/>
      <c r="BO6" s="234"/>
      <c r="BP6" s="234"/>
      <c r="BQ6" s="234"/>
      <c r="BS6" s="2">
        <f t="shared" si="11"/>
        <v>5185</v>
      </c>
      <c r="BT6" s="21">
        <f>ROUND((BV$1)/(BV6*$A6)+1,4)</f>
        <v>1.5882000000000001</v>
      </c>
      <c r="BU6" s="21">
        <f t="shared" ref="BU6:BU19" si="22">(BT6-1)*$A6*6</f>
        <v>141.16800000000001</v>
      </c>
      <c r="BV6" s="301">
        <f>BV5-7.5</f>
        <v>42.5</v>
      </c>
      <c r="BW6" s="21">
        <f>ROUND((-BY$1)/(BY6*$A6)+1,4)</f>
        <v>0.9294</v>
      </c>
      <c r="BX6" s="21">
        <f t="shared" si="12"/>
        <v>-16.943999999999999</v>
      </c>
      <c r="BY6" s="301">
        <f>BY5-75</f>
        <v>425</v>
      </c>
      <c r="BZ6" s="21">
        <f>ROUND((CB$1)/(CB6*$A6)+1,4)</f>
        <v>1.5882000000000001</v>
      </c>
      <c r="CA6" s="21">
        <f t="shared" ref="CA6:CA19" si="23">(BZ6-1)*$A6*6</f>
        <v>141.16800000000001</v>
      </c>
      <c r="CB6" s="301">
        <f>CB5-7.5</f>
        <v>42.5</v>
      </c>
      <c r="CC6" s="21">
        <f>ROUND((-CE$1)/(CE6*$A6)+1,4)</f>
        <v>0.9294</v>
      </c>
      <c r="CD6" s="21">
        <f t="shared" si="13"/>
        <v>-16.943999999999999</v>
      </c>
      <c r="CE6" s="301">
        <f>CE5-75</f>
        <v>425</v>
      </c>
      <c r="CF6" s="21">
        <f>ROUND((CH$1)/(CH6*$A6)+1,4)</f>
        <v>1.6</v>
      </c>
      <c r="CG6" s="21">
        <f t="shared" ref="CG6:CG19" si="24">(CF6-1)*$A6*6</f>
        <v>144.00000000000003</v>
      </c>
      <c r="CH6" s="301">
        <f>CH5-750</f>
        <v>4250</v>
      </c>
      <c r="CI6" s="290"/>
      <c r="CJ6" s="291"/>
      <c r="CK6" s="234"/>
      <c r="CL6" s="234"/>
      <c r="CM6" s="234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4" t="s">
        <v>151</v>
      </c>
      <c r="DA6" s="68">
        <v>20000</v>
      </c>
      <c r="DB6" s="24"/>
      <c r="DC6" s="312">
        <f t="shared" si="14"/>
        <v>5.9999999999999995E-4</v>
      </c>
      <c r="DD6" s="24">
        <v>1</v>
      </c>
      <c r="DE6" s="24">
        <v>1</v>
      </c>
      <c r="DF6" s="312">
        <f t="shared" si="15"/>
        <v>5.9999999999999995E-4</v>
      </c>
      <c r="DG6" s="24"/>
      <c r="DH6" s="45">
        <f t="shared" si="16"/>
        <v>800</v>
      </c>
      <c r="DI6" s="45">
        <v>0</v>
      </c>
      <c r="DJ6" s="45">
        <v>0</v>
      </c>
      <c r="DK6" s="45">
        <v>0</v>
      </c>
      <c r="DL6" s="45">
        <f t="shared" si="17"/>
        <v>1200</v>
      </c>
      <c r="DM6" s="45">
        <v>0</v>
      </c>
      <c r="DN6" s="45">
        <v>0</v>
      </c>
      <c r="DO6" s="45">
        <v>0</v>
      </c>
      <c r="DP6" s="45">
        <f t="shared" si="18"/>
        <v>2000</v>
      </c>
      <c r="DQ6" s="45">
        <v>0</v>
      </c>
      <c r="DR6" s="45">
        <v>0</v>
      </c>
      <c r="DS6" s="45">
        <v>0</v>
      </c>
    </row>
    <row r="7" spans="1:156" x14ac:dyDescent="0.35">
      <c r="A7" s="50">
        <v>60</v>
      </c>
      <c r="B7" s="24">
        <v>0</v>
      </c>
      <c r="C7" s="24">
        <v>1</v>
      </c>
      <c r="D7" s="24">
        <v>0.3</v>
      </c>
      <c r="E7" s="24">
        <v>0.3</v>
      </c>
      <c r="F7" s="261">
        <v>0</v>
      </c>
      <c r="G7" s="24">
        <v>-1</v>
      </c>
      <c r="H7" s="24">
        <v>1005</v>
      </c>
      <c r="I7" s="24">
        <f t="shared" si="0"/>
        <v>300000</v>
      </c>
      <c r="J7" s="268">
        <f>A7*200</f>
        <v>12000</v>
      </c>
      <c r="K7" s="269" t="str">
        <f t="shared" si="1"/>
        <v>[[7001,12000],[7002,12000],[7003,12000]]</v>
      </c>
      <c r="L7" s="24">
        <f t="shared" si="2"/>
        <v>1728</v>
      </c>
      <c r="M7" s="24">
        <f t="shared" si="19"/>
        <v>1728</v>
      </c>
      <c r="N7" s="24" t="str">
        <f t="shared" si="3"/>
        <v>1,3</v>
      </c>
      <c r="O7" s="24">
        <v>100</v>
      </c>
      <c r="P7" s="24">
        <v>100</v>
      </c>
      <c r="Q7" s="24">
        <v>0</v>
      </c>
      <c r="R7" s="24">
        <v>1605</v>
      </c>
      <c r="S7" s="24">
        <v>9600</v>
      </c>
      <c r="T7" s="107">
        <v>9600</v>
      </c>
      <c r="U7" s="24">
        <v>9600</v>
      </c>
      <c r="V7" s="24">
        <v>9600</v>
      </c>
      <c r="W7" s="45">
        <f t="shared" si="4"/>
        <v>720000</v>
      </c>
      <c r="AG7" s="24">
        <v>1</v>
      </c>
      <c r="AH7" s="24">
        <f t="shared" si="5"/>
        <v>3</v>
      </c>
      <c r="AN7" s="24">
        <f t="shared" si="6"/>
        <v>2.1574</v>
      </c>
      <c r="AO7" s="24">
        <f t="shared" si="20"/>
        <v>0.94440000000000002</v>
      </c>
      <c r="AP7" s="277" t="str">
        <f t="shared" si="21"/>
        <v>1.4762,0.9429,1.4762,0.9429,1.4857</v>
      </c>
      <c r="AQ7" s="24" t="str">
        <f t="shared" si="7"/>
        <v>1,1,0.0009</v>
      </c>
      <c r="AS7" s="24" t="str">
        <f t="shared" si="8"/>
        <v>[[0,0,0],[0,0,0],[0,0,0]]</v>
      </c>
      <c r="AT7" s="280">
        <v>0.6</v>
      </c>
      <c r="AU7" s="160">
        <f>ROUND((0-$AX$5)/($A7*AW7*60*6)+1,4)</f>
        <v>0.94440000000000002</v>
      </c>
      <c r="AV7" s="59">
        <f t="shared" si="9"/>
        <v>20.015999999999995</v>
      </c>
      <c r="AW7" s="282">
        <f>AW$5*(A$5/A7)</f>
        <v>8.3333333333333321</v>
      </c>
      <c r="AZ7" s="2">
        <f>ROUND(($BD$5)/(BB7*60*A7*6)+1,4)</f>
        <v>2.1574</v>
      </c>
      <c r="BA7" s="2">
        <f t="shared" si="10"/>
        <v>416.66399999999999</v>
      </c>
      <c r="BB7" s="288">
        <f>BB6-0.5</f>
        <v>4</v>
      </c>
      <c r="BC7" s="289" t="s">
        <v>152</v>
      </c>
      <c r="BD7" s="290">
        <v>1500000</v>
      </c>
      <c r="BE7" s="291" t="str">
        <f t="shared" ref="BE7:BE12" si="25">"中级房：演出金币首次达到金币"&amp;BD7</f>
        <v>中级房：演出金币首次达到金币1500000</v>
      </c>
      <c r="BF7" s="234"/>
      <c r="BG7" s="234"/>
      <c r="BH7" s="234"/>
      <c r="BI7" s="234"/>
      <c r="BJ7" s="234"/>
      <c r="BK7" s="234"/>
      <c r="BL7" s="234"/>
      <c r="BM7" s="234"/>
      <c r="BN7" s="234"/>
      <c r="BO7" s="234"/>
      <c r="BP7" s="234"/>
      <c r="BQ7" s="234"/>
      <c r="BS7" s="2">
        <f t="shared" si="11"/>
        <v>4270</v>
      </c>
      <c r="BT7" s="21">
        <f>ROUND((BV$1)/(BV7*$A7)+1,4)</f>
        <v>1.4762</v>
      </c>
      <c r="BU7" s="21">
        <f t="shared" si="22"/>
        <v>171.43199999999996</v>
      </c>
      <c r="BV7" s="301">
        <f>BV6-7.5</f>
        <v>35</v>
      </c>
      <c r="BW7" s="21">
        <f>ROUND((-BY$1)/(BY7*$A7)+1,4)</f>
        <v>0.94289999999999996</v>
      </c>
      <c r="BX7" s="21">
        <f t="shared" si="12"/>
        <v>-20.556000000000015</v>
      </c>
      <c r="BY7" s="301">
        <f>BY6-75</f>
        <v>350</v>
      </c>
      <c r="BZ7" s="21">
        <f>ROUND((CB$1)/(CB7*$A7)+1,4)</f>
        <v>1.4762</v>
      </c>
      <c r="CA7" s="21">
        <f t="shared" si="23"/>
        <v>171.43199999999996</v>
      </c>
      <c r="CB7" s="301">
        <f>CB6-7.5</f>
        <v>35</v>
      </c>
      <c r="CC7" s="21">
        <f>ROUND((-CE$1)/(CE7*$A7)+1,4)</f>
        <v>0.94289999999999996</v>
      </c>
      <c r="CD7" s="21">
        <f t="shared" si="13"/>
        <v>-20.556000000000015</v>
      </c>
      <c r="CE7" s="301">
        <f>CE6-75</f>
        <v>350</v>
      </c>
      <c r="CF7" s="21">
        <f>ROUND((CH$1)/(CH7*$A7)+1,4)</f>
        <v>1.4857</v>
      </c>
      <c r="CG7" s="21">
        <f t="shared" si="24"/>
        <v>174.85200000000003</v>
      </c>
      <c r="CH7" s="301">
        <f>CH6-750</f>
        <v>3500</v>
      </c>
      <c r="CI7" s="290"/>
      <c r="CJ7" s="291"/>
      <c r="CK7" s="234"/>
      <c r="CL7" s="234"/>
      <c r="CM7" s="234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4" t="s">
        <v>153</v>
      </c>
      <c r="DA7" s="305">
        <v>0</v>
      </c>
      <c r="DB7" s="24"/>
      <c r="DC7" s="312">
        <f t="shared" si="14"/>
        <v>8.9999999999999998E-4</v>
      </c>
      <c r="DD7" s="24">
        <v>1</v>
      </c>
      <c r="DE7" s="24">
        <v>1</v>
      </c>
      <c r="DF7" s="312">
        <f t="shared" si="15"/>
        <v>8.9999999999999998E-4</v>
      </c>
      <c r="DG7" s="24"/>
      <c r="DH7" s="45">
        <f t="shared" si="16"/>
        <v>1200</v>
      </c>
      <c r="DI7" s="45">
        <v>0</v>
      </c>
      <c r="DJ7" s="45">
        <v>0</v>
      </c>
      <c r="DK7" s="45">
        <v>0</v>
      </c>
      <c r="DL7" s="45">
        <f t="shared" si="17"/>
        <v>1800</v>
      </c>
      <c r="DM7" s="45">
        <v>0</v>
      </c>
      <c r="DN7" s="45">
        <v>0</v>
      </c>
      <c r="DO7" s="45">
        <v>0</v>
      </c>
      <c r="DP7" s="45">
        <f t="shared" si="18"/>
        <v>3000</v>
      </c>
      <c r="DQ7" s="45">
        <v>0</v>
      </c>
      <c r="DR7" s="45">
        <v>0</v>
      </c>
      <c r="DS7" s="45">
        <v>0</v>
      </c>
      <c r="EV7" s="344" t="s">
        <v>154</v>
      </c>
    </row>
    <row r="8" spans="1:156" x14ac:dyDescent="0.35">
      <c r="A8" s="50">
        <v>80</v>
      </c>
      <c r="B8" s="24">
        <v>0</v>
      </c>
      <c r="C8" s="24">
        <v>1</v>
      </c>
      <c r="D8" s="24">
        <v>0.3</v>
      </c>
      <c r="E8" s="24">
        <v>0.3</v>
      </c>
      <c r="F8" s="261">
        <v>0</v>
      </c>
      <c r="G8" s="24">
        <v>-1</v>
      </c>
      <c r="H8" s="24">
        <v>1005</v>
      </c>
      <c r="I8" s="24">
        <f t="shared" si="0"/>
        <v>400000</v>
      </c>
      <c r="J8" s="268">
        <f>A8*175</f>
        <v>14000</v>
      </c>
      <c r="K8" s="269" t="str">
        <f t="shared" si="1"/>
        <v>[[7001,14000],[7002,14000],[7003,14000]]</v>
      </c>
      <c r="L8" s="24">
        <f t="shared" si="2"/>
        <v>2304</v>
      </c>
      <c r="M8" s="24">
        <f t="shared" si="19"/>
        <v>2304</v>
      </c>
      <c r="N8" s="24" t="str">
        <f t="shared" si="3"/>
        <v>1,3</v>
      </c>
      <c r="O8" s="24">
        <v>100</v>
      </c>
      <c r="P8" s="24">
        <v>100</v>
      </c>
      <c r="Q8" s="24">
        <v>10000</v>
      </c>
      <c r="R8" s="24">
        <v>1605</v>
      </c>
      <c r="S8" s="24">
        <v>9600</v>
      </c>
      <c r="T8" s="107">
        <v>9600</v>
      </c>
      <c r="U8" s="24">
        <v>9600</v>
      </c>
      <c r="V8" s="24">
        <v>9600</v>
      </c>
      <c r="W8" s="45">
        <f t="shared" si="4"/>
        <v>720000</v>
      </c>
      <c r="AG8" s="24">
        <v>1</v>
      </c>
      <c r="AH8" s="24">
        <f t="shared" si="5"/>
        <v>4</v>
      </c>
      <c r="AN8" s="24">
        <f t="shared" si="6"/>
        <v>1.9921</v>
      </c>
      <c r="AO8" s="24">
        <f t="shared" si="20"/>
        <v>0.94440000000000002</v>
      </c>
      <c r="AP8" s="277" t="str">
        <f t="shared" si="21"/>
        <v>1.4545,0.9455,1.4545,0.9455,1.4636</v>
      </c>
      <c r="AQ8" s="24" t="str">
        <f t="shared" si="7"/>
        <v>1,1,0.0012</v>
      </c>
      <c r="AS8" s="24" t="str">
        <f t="shared" si="8"/>
        <v>[[0,0,0],[0,0,0],[0,0,0]]</v>
      </c>
      <c r="AT8" s="280">
        <v>0.5</v>
      </c>
      <c r="AU8" s="160">
        <f>ROUND((0-$AX$5)/($A8*AW8*60*6)+1,4)</f>
        <v>0.94440000000000002</v>
      </c>
      <c r="AV8" s="59">
        <f t="shared" si="9"/>
        <v>26.687999999999992</v>
      </c>
      <c r="AW8" s="281">
        <f>AW$5*(A$5/A8)</f>
        <v>6.25</v>
      </c>
      <c r="AZ8" s="2">
        <f>ROUND(($BD$5)/(BB8*60*A8*6)+1,4)</f>
        <v>1.9921</v>
      </c>
      <c r="BA8" s="2">
        <f t="shared" si="10"/>
        <v>476.20799999999997</v>
      </c>
      <c r="BB8" s="288">
        <f>BB7-0.5</f>
        <v>3.5</v>
      </c>
      <c r="BC8" s="289" t="s">
        <v>155</v>
      </c>
      <c r="BD8" s="290">
        <v>1000000</v>
      </c>
      <c r="BE8" s="291" t="str">
        <f t="shared" si="25"/>
        <v>中级房：演出金币首次达到金币1000000</v>
      </c>
      <c r="BF8" s="234"/>
      <c r="BG8" s="234"/>
      <c r="BH8" s="234"/>
      <c r="BI8" s="234"/>
      <c r="BJ8" s="234"/>
      <c r="BK8" s="234"/>
      <c r="BL8" s="234"/>
      <c r="BM8" s="234"/>
      <c r="BN8" s="234"/>
      <c r="BO8" s="234"/>
      <c r="BP8" s="234"/>
      <c r="BQ8" s="234"/>
      <c r="BS8" s="2">
        <f t="shared" si="11"/>
        <v>3355</v>
      </c>
      <c r="BT8" s="21">
        <f>ROUND((BV$1)/(BV8*$A8)+1,4)</f>
        <v>1.4544999999999999</v>
      </c>
      <c r="BU8" s="21">
        <f t="shared" si="22"/>
        <v>218.15999999999997</v>
      </c>
      <c r="BV8" s="301">
        <f>BV7-7.5</f>
        <v>27.5</v>
      </c>
      <c r="BW8" s="21">
        <f>ROUND((-BY$1)/(BY8*$A8)+1,4)</f>
        <v>0.94550000000000001</v>
      </c>
      <c r="BX8" s="21">
        <f t="shared" si="12"/>
        <v>-26.159999999999997</v>
      </c>
      <c r="BY8" s="301">
        <f>BY7-75</f>
        <v>275</v>
      </c>
      <c r="BZ8" s="21">
        <f>ROUND((CB$1)/(CB8*$A8)+1,4)</f>
        <v>1.4544999999999999</v>
      </c>
      <c r="CA8" s="21">
        <f t="shared" si="23"/>
        <v>218.15999999999997</v>
      </c>
      <c r="CB8" s="301">
        <f>CB7-7.5</f>
        <v>27.5</v>
      </c>
      <c r="CC8" s="21">
        <f>ROUND((-CE$1)/(CE8*$A8)+1,4)</f>
        <v>0.94550000000000001</v>
      </c>
      <c r="CD8" s="21">
        <f t="shared" si="13"/>
        <v>-26.159999999999997</v>
      </c>
      <c r="CE8" s="301">
        <f>CE7-75</f>
        <v>275</v>
      </c>
      <c r="CF8" s="21">
        <f>ROUND((CH$1)/(CH8*$A8)+1,4)</f>
        <v>1.4636</v>
      </c>
      <c r="CG8" s="21">
        <f t="shared" si="24"/>
        <v>222.52800000000002</v>
      </c>
      <c r="CH8" s="301">
        <f>CH7-750</f>
        <v>2750</v>
      </c>
      <c r="CV8" s="21"/>
      <c r="CW8" s="21"/>
      <c r="CX8" s="21"/>
      <c r="CY8" s="21"/>
      <c r="CZ8" s="24" t="s">
        <v>156</v>
      </c>
      <c r="DA8" s="68">
        <v>150</v>
      </c>
      <c r="DB8" s="24"/>
      <c r="DC8" s="312">
        <f t="shared" si="14"/>
        <v>1.1999999999999999E-3</v>
      </c>
      <c r="DD8" s="24">
        <v>1</v>
      </c>
      <c r="DE8" s="24">
        <v>1</v>
      </c>
      <c r="DF8" s="312">
        <f t="shared" si="15"/>
        <v>1.1999999999999999E-3</v>
      </c>
      <c r="DG8" s="24"/>
      <c r="DH8" s="45">
        <f t="shared" si="16"/>
        <v>1600</v>
      </c>
      <c r="DI8" s="45">
        <v>0</v>
      </c>
      <c r="DJ8" s="45">
        <v>0</v>
      </c>
      <c r="DK8" s="45">
        <v>0</v>
      </c>
      <c r="DL8" s="45">
        <f t="shared" si="17"/>
        <v>2400</v>
      </c>
      <c r="DM8" s="45">
        <v>0</v>
      </c>
      <c r="DN8" s="45">
        <v>0</v>
      </c>
      <c r="DO8" s="45">
        <v>0</v>
      </c>
      <c r="DP8" s="45">
        <f t="shared" si="18"/>
        <v>4000</v>
      </c>
      <c r="DQ8" s="45">
        <v>0</v>
      </c>
      <c r="DR8" s="45">
        <v>0</v>
      </c>
      <c r="DS8" s="45">
        <v>0</v>
      </c>
      <c r="EN8" s="377" t="s">
        <v>157</v>
      </c>
      <c r="ET8" s="344"/>
      <c r="EU8" s="326" t="s">
        <v>158</v>
      </c>
      <c r="EV8" s="327">
        <v>2</v>
      </c>
    </row>
    <row r="9" spans="1:156" x14ac:dyDescent="0.35">
      <c r="A9" s="50">
        <v>100</v>
      </c>
      <c r="B9" s="24">
        <v>0</v>
      </c>
      <c r="C9" s="24">
        <v>1</v>
      </c>
      <c r="D9" s="24">
        <v>0.3</v>
      </c>
      <c r="E9" s="24">
        <v>0.3</v>
      </c>
      <c r="F9" s="261">
        <v>1</v>
      </c>
      <c r="G9" s="24">
        <v>-1</v>
      </c>
      <c r="H9" s="24">
        <v>1005</v>
      </c>
      <c r="I9" s="24">
        <f t="shared" si="0"/>
        <v>500000</v>
      </c>
      <c r="J9" s="268">
        <f>A9*150</f>
        <v>15000</v>
      </c>
      <c r="K9" s="269" t="str">
        <f t="shared" si="1"/>
        <v>[[7001,15000],[7002,15000],[7003,15000]]</v>
      </c>
      <c r="L9" s="24">
        <f t="shared" si="2"/>
        <v>2880</v>
      </c>
      <c r="M9" s="24">
        <f t="shared" si="19"/>
        <v>2880</v>
      </c>
      <c r="N9" s="24" t="str">
        <f t="shared" si="3"/>
        <v>1,3</v>
      </c>
      <c r="O9" s="24">
        <v>100</v>
      </c>
      <c r="P9" s="24">
        <v>100</v>
      </c>
      <c r="Q9" s="24">
        <v>10000</v>
      </c>
      <c r="R9" s="24">
        <v>1605</v>
      </c>
      <c r="S9" s="24">
        <v>9600</v>
      </c>
      <c r="T9" s="107">
        <v>9600</v>
      </c>
      <c r="U9" s="24">
        <v>9600</v>
      </c>
      <c r="V9" s="24">
        <v>9600</v>
      </c>
      <c r="W9" s="45">
        <f t="shared" si="4"/>
        <v>720000</v>
      </c>
      <c r="AG9" s="24">
        <v>1</v>
      </c>
      <c r="AH9" s="24">
        <f t="shared" si="5"/>
        <v>5</v>
      </c>
      <c r="AN9" s="24">
        <f t="shared" si="6"/>
        <v>1.9258999999999999</v>
      </c>
      <c r="AO9" s="24">
        <f t="shared" si="20"/>
        <v>0.94440000000000002</v>
      </c>
      <c r="AP9" s="277" t="str">
        <f t="shared" si="21"/>
        <v>1.5,0.94,1.5,0.94,1.51</v>
      </c>
      <c r="AQ9" s="24" t="str">
        <f t="shared" si="7"/>
        <v>1,1,0.0015</v>
      </c>
      <c r="AS9" s="24" t="str">
        <f t="shared" si="8"/>
        <v>[[0,0,0],[0,0,0],[0,0,0]]</v>
      </c>
      <c r="AT9" s="280">
        <v>0.46300000000000002</v>
      </c>
      <c r="AU9" s="162">
        <f>ROUND((0-$AX$5)/($A9*AW9*60*6)+1,4)</f>
        <v>0.94440000000000002</v>
      </c>
      <c r="AV9" s="163">
        <f t="shared" si="9"/>
        <v>33.359999999999992</v>
      </c>
      <c r="AW9" s="283">
        <f>AW$5*(A$5/A9)</f>
        <v>5</v>
      </c>
      <c r="AZ9" s="2">
        <f>ROUND(($BD$5)/(BB9*60*A9*6)+1,4)</f>
        <v>1.9258999999999999</v>
      </c>
      <c r="BA9" s="2">
        <f t="shared" si="10"/>
        <v>555.54</v>
      </c>
      <c r="BB9" s="288">
        <f>BB8-0.5</f>
        <v>3</v>
      </c>
      <c r="BC9" s="289" t="s">
        <v>159</v>
      </c>
      <c r="BD9" s="290">
        <v>0</v>
      </c>
      <c r="BE9" s="291" t="str">
        <f t="shared" si="25"/>
        <v>中级房：演出金币首次达到金币0</v>
      </c>
      <c r="BF9" s="234"/>
      <c r="BG9" s="234"/>
      <c r="BH9" s="234"/>
      <c r="BI9" s="234"/>
      <c r="BJ9" s="234"/>
      <c r="BK9" s="234"/>
      <c r="BL9" s="234"/>
      <c r="BM9" s="234"/>
      <c r="BN9" s="234"/>
      <c r="BO9" s="234"/>
      <c r="BP9" s="234"/>
      <c r="BQ9" s="234"/>
      <c r="BS9" s="2">
        <f t="shared" si="11"/>
        <v>2440</v>
      </c>
      <c r="BT9" s="21">
        <f>ROUND((BV$1)/(BV9*$A9)+1,4)</f>
        <v>1.5</v>
      </c>
      <c r="BU9" s="21">
        <f t="shared" si="22"/>
        <v>300</v>
      </c>
      <c r="BV9" s="301">
        <f>BV8-7.5</f>
        <v>20</v>
      </c>
      <c r="BW9" s="21">
        <f>ROUND((-BY$1)/(BY9*$A9)+1,4)</f>
        <v>0.94</v>
      </c>
      <c r="BX9" s="21">
        <f t="shared" si="12"/>
        <v>-36.000000000000028</v>
      </c>
      <c r="BY9" s="301">
        <f>BY8-75</f>
        <v>200</v>
      </c>
      <c r="BZ9" s="21">
        <f>ROUND((CB$1)/(CB9*$A9)+1,4)</f>
        <v>1.5</v>
      </c>
      <c r="CA9" s="21">
        <f t="shared" si="23"/>
        <v>300</v>
      </c>
      <c r="CB9" s="301">
        <f>CB8-7.5</f>
        <v>20</v>
      </c>
      <c r="CC9" s="21">
        <f>ROUND((-CE$1)/(CE9*$A9)+1,4)</f>
        <v>0.94</v>
      </c>
      <c r="CD9" s="21">
        <f t="shared" si="13"/>
        <v>-36.000000000000028</v>
      </c>
      <c r="CE9" s="301">
        <f>CE8-75</f>
        <v>200</v>
      </c>
      <c r="CF9" s="21">
        <f>ROUND((CH$1)/(CH9*$A9)+1,4)</f>
        <v>1.51</v>
      </c>
      <c r="CG9" s="21">
        <f t="shared" si="24"/>
        <v>306</v>
      </c>
      <c r="CH9" s="301">
        <f>CH8-750</f>
        <v>2000</v>
      </c>
      <c r="CI9" s="290"/>
      <c r="CJ9" s="291"/>
      <c r="CK9" s="234"/>
      <c r="CL9" s="234"/>
      <c r="CM9" s="234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4"/>
      <c r="DA9" s="306"/>
      <c r="DB9" s="24"/>
      <c r="DC9" s="312">
        <f t="shared" si="14"/>
        <v>1.4999999999999998E-3</v>
      </c>
      <c r="DD9" s="24">
        <v>1</v>
      </c>
      <c r="DE9" s="24">
        <v>1</v>
      </c>
      <c r="DF9" s="312">
        <f t="shared" si="15"/>
        <v>1.5E-3</v>
      </c>
      <c r="DG9" s="24"/>
      <c r="DH9" s="45">
        <f t="shared" si="16"/>
        <v>2000</v>
      </c>
      <c r="DI9" s="45">
        <v>0</v>
      </c>
      <c r="DJ9" s="45">
        <v>0</v>
      </c>
      <c r="DK9" s="45">
        <v>0</v>
      </c>
      <c r="DL9" s="45">
        <f t="shared" si="17"/>
        <v>3000</v>
      </c>
      <c r="DM9" s="45">
        <v>0</v>
      </c>
      <c r="DN9" s="45">
        <v>0</v>
      </c>
      <c r="DO9" s="45">
        <v>0</v>
      </c>
      <c r="DP9" s="45">
        <f t="shared" si="18"/>
        <v>5000</v>
      </c>
      <c r="DQ9" s="45">
        <v>0</v>
      </c>
      <c r="DR9" s="45">
        <v>0</v>
      </c>
      <c r="DS9" s="45">
        <v>0</v>
      </c>
      <c r="EI9" s="324" t="s">
        <v>160</v>
      </c>
      <c r="EJ9" s="324" t="s">
        <v>161</v>
      </c>
      <c r="EK9" s="325" t="s">
        <v>162</v>
      </c>
      <c r="EL9" s="324" t="s">
        <v>163</v>
      </c>
      <c r="EM9" s="325" t="s">
        <v>164</v>
      </c>
      <c r="EN9" s="377"/>
      <c r="EO9" s="326" t="s">
        <v>165</v>
      </c>
      <c r="EP9" s="344" t="s">
        <v>166</v>
      </c>
      <c r="EQ9" s="326" t="s">
        <v>167</v>
      </c>
      <c r="ER9" s="326" t="s">
        <v>168</v>
      </c>
      <c r="ES9" s="326" t="s">
        <v>169</v>
      </c>
      <c r="ET9" s="325" t="s">
        <v>170</v>
      </c>
      <c r="EV9" s="345" t="s">
        <v>168</v>
      </c>
      <c r="EW9" s="345" t="s">
        <v>171</v>
      </c>
      <c r="EX9" s="376" t="s">
        <v>170</v>
      </c>
      <c r="EY9" s="376" t="s">
        <v>172</v>
      </c>
    </row>
    <row r="10" spans="1:156" x14ac:dyDescent="0.35">
      <c r="A10" s="50">
        <v>200</v>
      </c>
      <c r="B10" s="24">
        <v>0</v>
      </c>
      <c r="C10" s="24">
        <v>2</v>
      </c>
      <c r="D10" s="24">
        <v>0.3</v>
      </c>
      <c r="E10" s="24">
        <v>0.3</v>
      </c>
      <c r="F10" s="261">
        <v>0</v>
      </c>
      <c r="G10" s="24">
        <v>-1</v>
      </c>
      <c r="H10" s="24">
        <v>1005</v>
      </c>
      <c r="I10" s="24">
        <f t="shared" si="0"/>
        <v>1000000</v>
      </c>
      <c r="J10" s="24">
        <f>A10*250</f>
        <v>50000</v>
      </c>
      <c r="K10" s="270" t="str">
        <f t="shared" si="1"/>
        <v>[[7001,50000],[7002,50000],[7003,50000]]</v>
      </c>
      <c r="L10" s="24">
        <f t="shared" si="2"/>
        <v>5760</v>
      </c>
      <c r="M10" s="24">
        <f t="shared" si="19"/>
        <v>5760</v>
      </c>
      <c r="N10" s="24" t="str">
        <f t="shared" si="3"/>
        <v>1,3</v>
      </c>
      <c r="O10" s="24">
        <v>100</v>
      </c>
      <c r="P10" s="24">
        <v>100</v>
      </c>
      <c r="Q10" s="24">
        <v>10000</v>
      </c>
      <c r="R10" s="24">
        <v>1605</v>
      </c>
      <c r="S10" s="24">
        <v>9600</v>
      </c>
      <c r="T10" s="24">
        <v>9600</v>
      </c>
      <c r="U10" s="24">
        <v>9600</v>
      </c>
      <c r="V10" s="24">
        <v>9600</v>
      </c>
      <c r="W10" s="45">
        <f t="shared" si="4"/>
        <v>720000</v>
      </c>
      <c r="AG10" s="24">
        <v>1</v>
      </c>
      <c r="AH10" s="24">
        <f t="shared" si="5"/>
        <v>6</v>
      </c>
      <c r="AN10" s="24">
        <f t="shared" si="6"/>
        <v>3.5</v>
      </c>
      <c r="AO10" s="24">
        <f t="shared" si="20"/>
        <v>0.94440000000000002</v>
      </c>
      <c r="AP10" s="277" t="str">
        <f t="shared" si="21"/>
        <v>2,0.88,2,0.88,2.02</v>
      </c>
      <c r="AQ10" s="24" t="str">
        <f t="shared" si="7"/>
        <v>1,1,0.003</v>
      </c>
      <c r="AS10" s="24" t="str">
        <f t="shared" si="8"/>
        <v>[[0,0,0],[0,0,0],[0,0,0]]</v>
      </c>
      <c r="AT10" s="278">
        <v>1</v>
      </c>
      <c r="AU10" s="157">
        <f>ROUND((0-$AX$10)/($A10*AW10*60*6)+1,4)</f>
        <v>0.94440000000000002</v>
      </c>
      <c r="AV10" s="158">
        <f t="shared" si="9"/>
        <v>66.719999999999985</v>
      </c>
      <c r="AW10" s="279">
        <v>25</v>
      </c>
      <c r="AX10" s="24">
        <v>100000</v>
      </c>
      <c r="AY10" s="24">
        <f>15*60*6</f>
        <v>5400</v>
      </c>
      <c r="AZ10" s="2">
        <f>ROUND(($BD$6-$BD$5)/(BB10*60*A10*6)+1,4)</f>
        <v>3.5</v>
      </c>
      <c r="BA10" s="2">
        <f t="shared" si="10"/>
        <v>3000</v>
      </c>
      <c r="BB10" s="292">
        <v>5</v>
      </c>
      <c r="BC10" s="293" t="s">
        <v>173</v>
      </c>
      <c r="BD10" s="294">
        <v>0</v>
      </c>
      <c r="BE10" s="295" t="str">
        <f t="shared" si="25"/>
        <v>中级房：演出金币首次达到金币0</v>
      </c>
      <c r="BF10" s="13"/>
      <c r="BG10" s="13"/>
      <c r="BH10" s="234"/>
      <c r="BI10" s="234"/>
      <c r="BJ10" s="234"/>
      <c r="BK10" s="234"/>
      <c r="BL10" s="234"/>
      <c r="BM10" s="234"/>
      <c r="BN10" s="234"/>
      <c r="BO10" s="234"/>
      <c r="BP10" s="234"/>
      <c r="BQ10" s="234"/>
      <c r="BS10" s="2">
        <f t="shared" si="11"/>
        <v>6100</v>
      </c>
      <c r="BT10" s="299">
        <f>ROUND((BV$2)/(BV10*$A10)+1,4)</f>
        <v>2</v>
      </c>
      <c r="BU10" s="21">
        <f t="shared" si="22"/>
        <v>1200</v>
      </c>
      <c r="BV10" s="302">
        <f>BV5</f>
        <v>50</v>
      </c>
      <c r="BW10" s="21">
        <f>ROUND((-BY$2)/(BY10*$A10)+1,4)</f>
        <v>0.88</v>
      </c>
      <c r="BX10" s="21">
        <f t="shared" si="12"/>
        <v>-144</v>
      </c>
      <c r="BY10" s="302">
        <f>BY5</f>
        <v>500</v>
      </c>
      <c r="BZ10" s="21">
        <f>ROUND((CB$2)/(CB10*$A10)+1,4)</f>
        <v>2</v>
      </c>
      <c r="CA10" s="21">
        <f t="shared" si="23"/>
        <v>1200</v>
      </c>
      <c r="CB10" s="302">
        <f>CB5</f>
        <v>50</v>
      </c>
      <c r="CC10" s="21">
        <f>ROUND((-CE$2)/(CE10*$A10)+1,4)</f>
        <v>0.88</v>
      </c>
      <c r="CD10" s="21">
        <f t="shared" si="13"/>
        <v>-144</v>
      </c>
      <c r="CE10" s="302">
        <f>CE5</f>
        <v>500</v>
      </c>
      <c r="CF10" s="21">
        <f>ROUND((CH$2)/(CH10*$A10)+1,4)</f>
        <v>2.02</v>
      </c>
      <c r="CG10" s="21">
        <f t="shared" si="24"/>
        <v>1224</v>
      </c>
      <c r="CH10" s="302">
        <f>CH5</f>
        <v>5000</v>
      </c>
      <c r="CI10" s="290"/>
      <c r="CJ10" s="291"/>
      <c r="CK10" s="234"/>
      <c r="CL10" s="234"/>
      <c r="CM10" s="234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4" t="s">
        <v>174</v>
      </c>
      <c r="DA10" s="24" t="s">
        <v>140</v>
      </c>
      <c r="DB10" s="24"/>
      <c r="DC10" s="312">
        <f t="shared" si="14"/>
        <v>2.9999999999999996E-3</v>
      </c>
      <c r="DD10" s="24">
        <v>1</v>
      </c>
      <c r="DE10" s="24">
        <v>1</v>
      </c>
      <c r="DF10" s="312">
        <f t="shared" si="15"/>
        <v>3.0000000000000001E-3</v>
      </c>
      <c r="DG10" s="24"/>
      <c r="DH10" s="45">
        <f t="shared" si="16"/>
        <v>4000</v>
      </c>
      <c r="DI10" s="45">
        <v>0</v>
      </c>
      <c r="DJ10" s="45">
        <v>0</v>
      </c>
      <c r="DK10" s="45">
        <v>0</v>
      </c>
      <c r="DL10" s="45">
        <f t="shared" si="17"/>
        <v>6000</v>
      </c>
      <c r="DM10" s="45">
        <v>0</v>
      </c>
      <c r="DN10" s="45">
        <v>0</v>
      </c>
      <c r="DO10" s="45">
        <v>0</v>
      </c>
      <c r="DP10" s="45">
        <f t="shared" si="18"/>
        <v>10000</v>
      </c>
      <c r="DQ10" s="45">
        <v>0</v>
      </c>
      <c r="DR10" s="45">
        <v>0</v>
      </c>
      <c r="DS10" s="45">
        <v>0</v>
      </c>
      <c r="EH10" s="33">
        <v>150000</v>
      </c>
      <c r="EI10" s="327">
        <v>100</v>
      </c>
      <c r="EJ10" s="327">
        <v>20</v>
      </c>
      <c r="EK10" s="33">
        <f>EJ10/4</f>
        <v>5</v>
      </c>
      <c r="EL10" s="321">
        <v>1</v>
      </c>
      <c r="EM10" s="328">
        <f>EJ10/EL10</f>
        <v>20</v>
      </c>
      <c r="EN10" s="317">
        <f>EM10/$EJ$22</f>
        <v>0.5</v>
      </c>
      <c r="EO10" s="317">
        <f>EN10</f>
        <v>0.5</v>
      </c>
      <c r="EP10" s="317">
        <f t="shared" ref="EP10:EP17" si="26">1/EL10-1</f>
        <v>0</v>
      </c>
      <c r="EQ10" s="346">
        <v>0.5</v>
      </c>
      <c r="ER10" s="33">
        <f t="shared" ref="ER10:ER17" si="27">EJ10*EQ10</f>
        <v>10</v>
      </c>
      <c r="ES10" s="328">
        <f>ER10*EP10</f>
        <v>0</v>
      </c>
      <c r="ET10" s="347">
        <v>5</v>
      </c>
      <c r="EV10" s="348">
        <f t="shared" ref="EV10:EV17" si="28">ROUND(ER10/$EV$8,0)</f>
        <v>5</v>
      </c>
      <c r="EW10" s="346">
        <v>0.2</v>
      </c>
      <c r="EX10" s="33">
        <f t="shared" ref="EX10:EX14" si="29">ROUNDUP(ET10/$EV$8/5,0)*5</f>
        <v>5</v>
      </c>
      <c r="EY10" s="327">
        <v>200</v>
      </c>
      <c r="EZ10" s="327">
        <v>1000</v>
      </c>
    </row>
    <row r="11" spans="1:156" x14ac:dyDescent="0.35">
      <c r="A11" s="50">
        <v>400</v>
      </c>
      <c r="B11" s="24">
        <v>0</v>
      </c>
      <c r="C11" s="24">
        <v>4</v>
      </c>
      <c r="D11" s="24">
        <v>0.3</v>
      </c>
      <c r="E11" s="24">
        <v>0.3</v>
      </c>
      <c r="F11" s="261">
        <v>0</v>
      </c>
      <c r="G11" s="24">
        <v>-1</v>
      </c>
      <c r="H11" s="24">
        <v>1005</v>
      </c>
      <c r="I11" s="24">
        <f t="shared" si="0"/>
        <v>2000000</v>
      </c>
      <c r="J11" s="24">
        <f>A11*225</f>
        <v>90000</v>
      </c>
      <c r="K11" s="270" t="str">
        <f t="shared" si="1"/>
        <v>[[7001,90000],[7002,90000],[7003,90000]]</v>
      </c>
      <c r="L11" s="24">
        <f t="shared" si="2"/>
        <v>11520</v>
      </c>
      <c r="M11" s="24">
        <f t="shared" si="19"/>
        <v>11520</v>
      </c>
      <c r="N11" s="24" t="str">
        <f t="shared" si="3"/>
        <v>1,3</v>
      </c>
      <c r="O11" s="24">
        <v>120</v>
      </c>
      <c r="P11" s="24">
        <v>100</v>
      </c>
      <c r="Q11" s="24">
        <v>10000</v>
      </c>
      <c r="R11" s="24">
        <v>1605</v>
      </c>
      <c r="S11" s="24">
        <v>9600</v>
      </c>
      <c r="T11" s="24">
        <v>9600</v>
      </c>
      <c r="U11" s="24">
        <v>9600</v>
      </c>
      <c r="V11" s="24">
        <v>9600</v>
      </c>
      <c r="W11" s="45">
        <f t="shared" si="4"/>
        <v>720000</v>
      </c>
      <c r="AG11" s="24">
        <v>1</v>
      </c>
      <c r="AH11" s="24">
        <f t="shared" si="5"/>
        <v>7</v>
      </c>
      <c r="AN11" s="24">
        <f t="shared" si="6"/>
        <v>2.3889</v>
      </c>
      <c r="AO11" s="24">
        <f t="shared" si="20"/>
        <v>0.94440000000000002</v>
      </c>
      <c r="AP11" s="277" t="str">
        <f t="shared" si="21"/>
        <v>1.5882,0.9294,1.5882,0.9294,1.6</v>
      </c>
      <c r="AQ11" s="24" t="str">
        <f t="shared" si="7"/>
        <v>1,1,0.006</v>
      </c>
      <c r="AS11" s="24" t="str">
        <f t="shared" si="8"/>
        <v>[[0,0,0],[0,0,0],[0,0,0]]</v>
      </c>
      <c r="AT11" s="280">
        <v>0.8</v>
      </c>
      <c r="AU11" s="160">
        <f>ROUND((0-$AX$10)/($A11*AW11*60*6)+1,4)</f>
        <v>0.94440000000000002</v>
      </c>
      <c r="AV11" s="59">
        <f t="shared" si="9"/>
        <v>133.43999999999997</v>
      </c>
      <c r="AW11" s="281">
        <f>AW$10*(A$10/A11)</f>
        <v>12.5</v>
      </c>
      <c r="AZ11" s="2">
        <f>ROUND(($BD$6-$BD$5)/(BB11*60*A11*6)+1,4)</f>
        <v>2.3889</v>
      </c>
      <c r="BA11" s="2">
        <f t="shared" si="10"/>
        <v>3333.3600000000006</v>
      </c>
      <c r="BB11" s="292">
        <f>BB10-0.5</f>
        <v>4.5</v>
      </c>
      <c r="BC11" s="293" t="s">
        <v>175</v>
      </c>
      <c r="BD11" s="294">
        <v>0</v>
      </c>
      <c r="BE11" s="295" t="str">
        <f t="shared" si="25"/>
        <v>中级房：演出金币首次达到金币0</v>
      </c>
      <c r="BF11" s="13"/>
      <c r="BG11" s="13"/>
      <c r="BH11" s="234"/>
      <c r="BI11" s="234"/>
      <c r="BJ11" s="234"/>
      <c r="BK11" s="234"/>
      <c r="BL11" s="234"/>
      <c r="BM11" s="234"/>
      <c r="BN11" s="234"/>
      <c r="BO11" s="234"/>
      <c r="BP11" s="234"/>
      <c r="BQ11" s="234"/>
      <c r="BS11" s="2">
        <f t="shared" si="11"/>
        <v>5185</v>
      </c>
      <c r="BT11" s="299">
        <f>ROUND((BV$2)/(BV11*$A11)+1,4)</f>
        <v>1.5882000000000001</v>
      </c>
      <c r="BU11" s="21">
        <f t="shared" si="22"/>
        <v>1411.6800000000003</v>
      </c>
      <c r="BV11" s="301">
        <f>BV10-7.5</f>
        <v>42.5</v>
      </c>
      <c r="BW11" s="21">
        <f>ROUND((-BY$2)/(BY11*$A11)+1,4)</f>
        <v>0.9294</v>
      </c>
      <c r="BX11" s="21">
        <f t="shared" si="12"/>
        <v>-169.44</v>
      </c>
      <c r="BY11" s="301">
        <f>BY10-75</f>
        <v>425</v>
      </c>
      <c r="BZ11" s="21">
        <f>ROUND((CB$2)/(CB11*$A11)+1,4)</f>
        <v>1.5882000000000001</v>
      </c>
      <c r="CA11" s="21">
        <f t="shared" si="23"/>
        <v>1411.6800000000003</v>
      </c>
      <c r="CB11" s="301">
        <f>CB10-7.5</f>
        <v>42.5</v>
      </c>
      <c r="CC11" s="21">
        <f>ROUND((-CE$2)/(CE11*$A11)+1,4)</f>
        <v>0.9294</v>
      </c>
      <c r="CD11" s="21">
        <f t="shared" si="13"/>
        <v>-169.44</v>
      </c>
      <c r="CE11" s="301">
        <f>CE10-75</f>
        <v>425</v>
      </c>
      <c r="CF11" s="21">
        <f>ROUND((CH$2)/(CH11*$A11)+1,4)</f>
        <v>1.6</v>
      </c>
      <c r="CG11" s="21">
        <f t="shared" si="24"/>
        <v>1440.0000000000002</v>
      </c>
      <c r="CH11" s="301">
        <f>CH10-750</f>
        <v>4250</v>
      </c>
      <c r="CI11" s="290"/>
      <c r="CJ11" s="291"/>
      <c r="CK11" s="234"/>
      <c r="CL11" s="234"/>
      <c r="CM11" s="234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4">
        <v>1005</v>
      </c>
      <c r="DA11" s="24" t="str">
        <f>'弹头价值|Dantou'!B5</f>
        <v>1000000</v>
      </c>
      <c r="DB11" s="24"/>
      <c r="DC11" s="312">
        <f t="shared" si="14"/>
        <v>5.9999999999999993E-3</v>
      </c>
      <c r="DD11" s="24">
        <v>1</v>
      </c>
      <c r="DE11" s="24">
        <v>1</v>
      </c>
      <c r="DF11" s="312">
        <f t="shared" si="15"/>
        <v>6.0000000000000001E-3</v>
      </c>
      <c r="DG11" s="24"/>
      <c r="DH11" s="45">
        <f t="shared" si="16"/>
        <v>8000</v>
      </c>
      <c r="DI11" s="45">
        <v>0</v>
      </c>
      <c r="DJ11" s="45">
        <v>0</v>
      </c>
      <c r="DK11" s="45">
        <v>0</v>
      </c>
      <c r="DL11" s="45">
        <f t="shared" si="17"/>
        <v>12000</v>
      </c>
      <c r="DM11" s="45">
        <v>0</v>
      </c>
      <c r="DN11" s="45">
        <v>0</v>
      </c>
      <c r="DO11" s="45">
        <v>0</v>
      </c>
      <c r="DP11" s="45">
        <f t="shared" si="18"/>
        <v>20000</v>
      </c>
      <c r="DQ11" s="45">
        <v>0</v>
      </c>
      <c r="DR11" s="45">
        <v>0</v>
      </c>
      <c r="DS11" s="45">
        <v>0</v>
      </c>
      <c r="EH11" s="33">
        <v>200000</v>
      </c>
      <c r="EI11" s="327">
        <v>200</v>
      </c>
      <c r="EJ11" s="327">
        <v>40</v>
      </c>
      <c r="EK11" s="33">
        <f t="shared" ref="EK11:EK17" si="30">EJ11/4</f>
        <v>10</v>
      </c>
      <c r="EL11" s="321">
        <v>0.5</v>
      </c>
      <c r="EM11" s="328">
        <f t="shared" ref="EM11:EM17" si="31">EJ11/EL11</f>
        <v>80</v>
      </c>
      <c r="EN11" s="317">
        <f t="shared" ref="EN11:EN17" si="32">EM11/$EJ$22</f>
        <v>2</v>
      </c>
      <c r="EO11" s="329">
        <f>EO10+EN11</f>
        <v>2.5</v>
      </c>
      <c r="EP11" s="317">
        <f t="shared" si="26"/>
        <v>1</v>
      </c>
      <c r="EQ11" s="342">
        <f>EQ10</f>
        <v>0.5</v>
      </c>
      <c r="ER11" s="33">
        <f t="shared" si="27"/>
        <v>20</v>
      </c>
      <c r="ES11" s="328">
        <f>ER11*EP11+ES10</f>
        <v>20</v>
      </c>
      <c r="ET11" s="349">
        <f t="shared" ref="ET11:ET17" si="33">(EM11-EJ11)</f>
        <v>40</v>
      </c>
      <c r="EV11" s="348">
        <f t="shared" si="28"/>
        <v>10</v>
      </c>
      <c r="EW11" s="342">
        <f>EW10</f>
        <v>0.2</v>
      </c>
      <c r="EX11" s="33">
        <f t="shared" si="29"/>
        <v>20</v>
      </c>
      <c r="EY11" s="327">
        <v>500</v>
      </c>
      <c r="EZ11" s="327">
        <v>1000</v>
      </c>
    </row>
    <row r="12" spans="1:156" x14ac:dyDescent="0.35">
      <c r="A12" s="50">
        <v>600</v>
      </c>
      <c r="B12" s="24">
        <v>0</v>
      </c>
      <c r="C12" s="24">
        <v>6</v>
      </c>
      <c r="D12" s="24">
        <v>0.3</v>
      </c>
      <c r="E12" s="24">
        <v>0.3</v>
      </c>
      <c r="F12" s="261">
        <v>0</v>
      </c>
      <c r="G12" s="24">
        <v>-1</v>
      </c>
      <c r="H12" s="24">
        <v>1005</v>
      </c>
      <c r="I12" s="24">
        <f t="shared" si="0"/>
        <v>3000000</v>
      </c>
      <c r="J12" s="24">
        <f>A12*200</f>
        <v>120000</v>
      </c>
      <c r="K12" s="270" t="str">
        <f t="shared" si="1"/>
        <v>[[7001,120000],[7002,120000],[7003,120000]]</v>
      </c>
      <c r="L12" s="24">
        <f t="shared" si="2"/>
        <v>17280</v>
      </c>
      <c r="M12" s="24">
        <f t="shared" si="19"/>
        <v>17280</v>
      </c>
      <c r="N12" s="24" t="str">
        <f t="shared" si="3"/>
        <v>1,3</v>
      </c>
      <c r="O12" s="24">
        <v>150</v>
      </c>
      <c r="P12" s="24">
        <v>100</v>
      </c>
      <c r="Q12" s="24">
        <v>10000</v>
      </c>
      <c r="R12" s="24">
        <v>1605</v>
      </c>
      <c r="S12" s="24">
        <v>9600</v>
      </c>
      <c r="T12" s="24">
        <v>9600</v>
      </c>
      <c r="U12" s="24">
        <v>9600</v>
      </c>
      <c r="V12" s="24">
        <v>9600</v>
      </c>
      <c r="W12" s="45">
        <f t="shared" si="4"/>
        <v>720000</v>
      </c>
      <c r="AG12" s="24">
        <v>1</v>
      </c>
      <c r="AH12" s="24">
        <f t="shared" si="5"/>
        <v>8</v>
      </c>
      <c r="AN12" s="24">
        <f t="shared" si="6"/>
        <v>2.0417000000000001</v>
      </c>
      <c r="AO12" s="24">
        <f t="shared" si="20"/>
        <v>0.94440000000000002</v>
      </c>
      <c r="AP12" s="277" t="str">
        <f t="shared" si="21"/>
        <v>1.4762,0.9429,1.4762,0.9429,1.4857</v>
      </c>
      <c r="AQ12" s="24" t="str">
        <f t="shared" si="7"/>
        <v>1,1,0.009</v>
      </c>
      <c r="AS12" s="24" t="str">
        <f t="shared" si="8"/>
        <v>[[0,0,0],[0,0,0],[0,0,0]]</v>
      </c>
      <c r="AT12" s="280">
        <v>0.6</v>
      </c>
      <c r="AU12" s="160">
        <f>ROUND((0-$AX$10)/($A12*AW12*60*6)+1,4)</f>
        <v>0.94440000000000002</v>
      </c>
      <c r="AV12" s="59">
        <f t="shared" si="9"/>
        <v>200.15999999999997</v>
      </c>
      <c r="AW12" s="282">
        <f>AW$10*(A$10/A12)</f>
        <v>8.3333333333333321</v>
      </c>
      <c r="AZ12" s="2">
        <f>ROUND(($BD$6-$BD$5)/(BB12*60*A12*6)+1,4)</f>
        <v>2.0417000000000001</v>
      </c>
      <c r="BA12" s="2">
        <f t="shared" si="10"/>
        <v>3750.1200000000008</v>
      </c>
      <c r="BB12" s="292">
        <f>BB11-0.5</f>
        <v>4</v>
      </c>
      <c r="BC12" s="293" t="s">
        <v>176</v>
      </c>
      <c r="BD12" s="294">
        <v>0</v>
      </c>
      <c r="BE12" s="295" t="str">
        <f t="shared" si="25"/>
        <v>中级房：演出金币首次达到金币0</v>
      </c>
      <c r="BF12" s="13"/>
      <c r="BG12" s="13"/>
      <c r="BH12" s="234"/>
      <c r="BI12" s="234"/>
      <c r="BJ12" s="234"/>
      <c r="BK12" s="234"/>
      <c r="BL12" s="234"/>
      <c r="BM12" s="234"/>
      <c r="BN12" s="234"/>
      <c r="BO12" s="234"/>
      <c r="BP12" s="234"/>
      <c r="BQ12" s="234"/>
      <c r="BS12" s="2">
        <f t="shared" si="11"/>
        <v>4270</v>
      </c>
      <c r="BT12" s="299">
        <f>ROUND((BV$2)/(BV12*$A12)+1,4)</f>
        <v>1.4762</v>
      </c>
      <c r="BU12" s="21">
        <f t="shared" si="22"/>
        <v>1714.3199999999997</v>
      </c>
      <c r="BV12" s="301">
        <f>BV11-7.5</f>
        <v>35</v>
      </c>
      <c r="BW12" s="21">
        <f>ROUND((-BY$2)/(BY12*$A12)+1,4)</f>
        <v>0.94289999999999996</v>
      </c>
      <c r="BX12" s="21">
        <f t="shared" si="12"/>
        <v>-205.56000000000017</v>
      </c>
      <c r="BY12" s="301">
        <f>BY11-75</f>
        <v>350</v>
      </c>
      <c r="BZ12" s="21">
        <f>ROUND((CB$2)/(CB12*$A12)+1,4)</f>
        <v>1.4762</v>
      </c>
      <c r="CA12" s="21">
        <f t="shared" si="23"/>
        <v>1714.3199999999997</v>
      </c>
      <c r="CB12" s="301">
        <f>CB11-7.5</f>
        <v>35</v>
      </c>
      <c r="CC12" s="21">
        <f>ROUND((-CE$2)/(CE12*$A12)+1,4)</f>
        <v>0.94289999999999996</v>
      </c>
      <c r="CD12" s="21">
        <f t="shared" si="13"/>
        <v>-205.56000000000017</v>
      </c>
      <c r="CE12" s="301">
        <f>CE11-75</f>
        <v>350</v>
      </c>
      <c r="CF12" s="21">
        <f>ROUND((CH$2)/(CH12*$A12)+1,4)</f>
        <v>1.4857</v>
      </c>
      <c r="CG12" s="21">
        <f t="shared" si="24"/>
        <v>1748.52</v>
      </c>
      <c r="CH12" s="301">
        <f>CH11-750</f>
        <v>3500</v>
      </c>
      <c r="CI12" s="290"/>
      <c r="CJ12" s="291"/>
      <c r="CK12" s="234"/>
      <c r="CL12" s="234"/>
      <c r="CM12" s="234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4">
        <v>1006</v>
      </c>
      <c r="DA12" s="24" t="str">
        <f>'弹头价值|Dantou'!B6</f>
        <v>2000000</v>
      </c>
      <c r="DB12" s="24"/>
      <c r="DC12" s="312">
        <f t="shared" si="14"/>
        <v>8.9999999999999993E-3</v>
      </c>
      <c r="DD12" s="24">
        <v>1</v>
      </c>
      <c r="DE12" s="24">
        <v>1</v>
      </c>
      <c r="DF12" s="312">
        <f t="shared" si="15"/>
        <v>8.9999999999999993E-3</v>
      </c>
      <c r="DG12" s="24"/>
      <c r="DH12" s="45">
        <f t="shared" si="16"/>
        <v>12000</v>
      </c>
      <c r="DI12" s="45">
        <v>0</v>
      </c>
      <c r="DJ12" s="45">
        <v>0</v>
      </c>
      <c r="DK12" s="45">
        <v>0</v>
      </c>
      <c r="DL12" s="45">
        <f t="shared" si="17"/>
        <v>18000</v>
      </c>
      <c r="DM12" s="45">
        <v>0</v>
      </c>
      <c r="DN12" s="45">
        <v>0</v>
      </c>
      <c r="DO12" s="45">
        <v>0</v>
      </c>
      <c r="DP12" s="45">
        <f t="shared" si="18"/>
        <v>30000</v>
      </c>
      <c r="DQ12" s="45">
        <v>0</v>
      </c>
      <c r="DR12" s="45">
        <v>0</v>
      </c>
      <c r="DS12" s="45">
        <v>0</v>
      </c>
      <c r="EH12" s="33">
        <v>250000</v>
      </c>
      <c r="EI12" s="327">
        <v>300</v>
      </c>
      <c r="EJ12" s="327">
        <v>60</v>
      </c>
      <c r="EK12" s="33">
        <f t="shared" si="30"/>
        <v>15</v>
      </c>
      <c r="EL12" s="321">
        <v>0.3</v>
      </c>
      <c r="EM12" s="328">
        <f t="shared" si="31"/>
        <v>200</v>
      </c>
      <c r="EN12" s="317">
        <f t="shared" si="32"/>
        <v>5</v>
      </c>
      <c r="EO12" s="329">
        <f t="shared" ref="EO12:EO17" si="34">EO11+EN12</f>
        <v>7.5</v>
      </c>
      <c r="EP12" s="317">
        <f t="shared" si="26"/>
        <v>2.3333333333333335</v>
      </c>
      <c r="EQ12" s="342">
        <f t="shared" ref="EQ12:EQ17" si="35">EQ11</f>
        <v>0.5</v>
      </c>
      <c r="ER12" s="33">
        <f t="shared" si="27"/>
        <v>30</v>
      </c>
      <c r="ES12" s="328">
        <f t="shared" ref="ES12:ES17" si="36">ER12*EP12+ES11</f>
        <v>90</v>
      </c>
      <c r="ET12" s="349">
        <f t="shared" si="33"/>
        <v>140</v>
      </c>
      <c r="EV12" s="348">
        <f t="shared" si="28"/>
        <v>15</v>
      </c>
      <c r="EW12" s="342">
        <f t="shared" ref="EW12:EW17" si="37">EW11</f>
        <v>0.2</v>
      </c>
      <c r="EX12" s="33">
        <f t="shared" si="29"/>
        <v>70</v>
      </c>
      <c r="EY12" s="327">
        <v>800</v>
      </c>
      <c r="EZ12" s="327">
        <v>1000</v>
      </c>
    </row>
    <row r="13" spans="1:156" x14ac:dyDescent="0.35">
      <c r="A13" s="50">
        <v>800</v>
      </c>
      <c r="B13" s="24">
        <v>0</v>
      </c>
      <c r="C13" s="24">
        <v>8</v>
      </c>
      <c r="D13" s="24">
        <v>0.3</v>
      </c>
      <c r="E13" s="24">
        <v>0.3</v>
      </c>
      <c r="F13" s="261">
        <v>0</v>
      </c>
      <c r="G13" s="24">
        <v>-1</v>
      </c>
      <c r="H13" s="24">
        <v>1005</v>
      </c>
      <c r="I13" s="24">
        <f t="shared" si="0"/>
        <v>4000000</v>
      </c>
      <c r="J13" s="24">
        <f>A13*175</f>
        <v>140000</v>
      </c>
      <c r="K13" s="270" t="str">
        <f t="shared" si="1"/>
        <v>[[7001,140000],[7002,140000],[7003,140000]]</v>
      </c>
      <c r="L13" s="24">
        <f t="shared" si="2"/>
        <v>23040</v>
      </c>
      <c r="M13" s="24">
        <f t="shared" si="19"/>
        <v>23040</v>
      </c>
      <c r="N13" s="24" t="str">
        <f t="shared" si="3"/>
        <v>1,3</v>
      </c>
      <c r="O13" s="24">
        <v>170</v>
      </c>
      <c r="P13" s="24">
        <v>100</v>
      </c>
      <c r="Q13" s="24">
        <v>10000</v>
      </c>
      <c r="R13" s="24">
        <v>1605</v>
      </c>
      <c r="S13" s="24">
        <v>9600</v>
      </c>
      <c r="T13" s="24">
        <v>9600</v>
      </c>
      <c r="U13" s="24">
        <v>9600</v>
      </c>
      <c r="V13" s="24">
        <v>9600</v>
      </c>
      <c r="W13" s="45">
        <f t="shared" si="4"/>
        <v>720000</v>
      </c>
      <c r="AG13" s="24">
        <v>1</v>
      </c>
      <c r="AH13" s="24">
        <f t="shared" si="5"/>
        <v>9</v>
      </c>
      <c r="AN13" s="24">
        <f t="shared" si="6"/>
        <v>1.8929</v>
      </c>
      <c r="AO13" s="24">
        <f t="shared" si="20"/>
        <v>0.94440000000000002</v>
      </c>
      <c r="AP13" s="277" t="str">
        <f t="shared" si="21"/>
        <v>1.4545,0.9455,1.4545,0.9455,1.4636</v>
      </c>
      <c r="AQ13" s="24" t="str">
        <f t="shared" si="7"/>
        <v>1,1,0.012</v>
      </c>
      <c r="AS13" s="24" t="str">
        <f t="shared" si="8"/>
        <v>[[0,0,0],[0,0,0],[0,0,0]]</v>
      </c>
      <c r="AT13" s="280">
        <v>0.5</v>
      </c>
      <c r="AU13" s="160">
        <f>ROUND((0-$AX$10)/($A13*AW13*60*6)+1,4)</f>
        <v>0.94440000000000002</v>
      </c>
      <c r="AV13" s="59">
        <f t="shared" si="9"/>
        <v>266.87999999999994</v>
      </c>
      <c r="AW13" s="281">
        <f>AW$10*(A$10/A13)</f>
        <v>6.25</v>
      </c>
      <c r="AZ13" s="2">
        <f>ROUND(($BD$6-$BD$5)/(BB13*60*A13*6)+1,4)</f>
        <v>1.8929</v>
      </c>
      <c r="BA13" s="2">
        <f t="shared" si="10"/>
        <v>4285.92</v>
      </c>
      <c r="BB13" s="292">
        <f>BB12-0.5</f>
        <v>3.5</v>
      </c>
      <c r="BH13" s="234"/>
      <c r="BI13" s="234"/>
      <c r="BJ13" s="234"/>
      <c r="BK13" s="234"/>
      <c r="BL13" s="234"/>
      <c r="BM13" s="234"/>
      <c r="BN13" s="234"/>
      <c r="BO13" s="234"/>
      <c r="BP13" s="234"/>
      <c r="BQ13" s="234"/>
      <c r="BS13" s="2">
        <f t="shared" si="11"/>
        <v>3355</v>
      </c>
      <c r="BT13" s="299">
        <f>ROUND((BV$2)/(BV13*$A13)+1,4)</f>
        <v>1.4544999999999999</v>
      </c>
      <c r="BU13" s="21">
        <f t="shared" si="22"/>
        <v>2181.5999999999995</v>
      </c>
      <c r="BV13" s="301">
        <f>BV12-7.5</f>
        <v>27.5</v>
      </c>
      <c r="BW13" s="21">
        <f>ROUND((-BY$2)/(BY13*$A13)+1,4)</f>
        <v>0.94550000000000001</v>
      </c>
      <c r="BX13" s="21">
        <f t="shared" si="12"/>
        <v>-261.59999999999997</v>
      </c>
      <c r="BY13" s="301">
        <f>BY12-75</f>
        <v>275</v>
      </c>
      <c r="BZ13" s="21">
        <f>ROUND((CB$2)/(CB13*$A13)+1,4)</f>
        <v>1.4544999999999999</v>
      </c>
      <c r="CA13" s="21">
        <f t="shared" si="23"/>
        <v>2181.5999999999995</v>
      </c>
      <c r="CB13" s="301">
        <f>CB12-7.5</f>
        <v>27.5</v>
      </c>
      <c r="CC13" s="21">
        <f>ROUND((-CE$2)/(CE13*$A13)+1,4)</f>
        <v>0.94550000000000001</v>
      </c>
      <c r="CD13" s="21">
        <f t="shared" si="13"/>
        <v>-261.59999999999997</v>
      </c>
      <c r="CE13" s="301">
        <f>CE12-75</f>
        <v>275</v>
      </c>
      <c r="CF13" s="21">
        <f>ROUND((CH$2)/(CH13*$A13)+1,4)</f>
        <v>1.4636</v>
      </c>
      <c r="CG13" s="21">
        <f t="shared" si="24"/>
        <v>2225.2799999999997</v>
      </c>
      <c r="CH13" s="301">
        <f>CH12-750</f>
        <v>2750</v>
      </c>
      <c r="CI13" s="290"/>
      <c r="CJ13" s="291"/>
      <c r="CK13" s="234"/>
      <c r="CL13" s="234"/>
      <c r="CM13" s="234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4">
        <v>1007</v>
      </c>
      <c r="DA13" s="24" t="str">
        <f>'弹头价值|Dantou'!B7</f>
        <v>5000000</v>
      </c>
      <c r="DB13" s="24"/>
      <c r="DC13" s="312">
        <f t="shared" si="14"/>
        <v>1.1999999999999999E-2</v>
      </c>
      <c r="DD13" s="24">
        <v>1</v>
      </c>
      <c r="DE13" s="24">
        <v>1</v>
      </c>
      <c r="DF13" s="312">
        <f t="shared" si="15"/>
        <v>1.2E-2</v>
      </c>
      <c r="DG13" s="24"/>
      <c r="DH13" s="45">
        <f t="shared" si="16"/>
        <v>16000</v>
      </c>
      <c r="DI13" s="45">
        <v>0</v>
      </c>
      <c r="DJ13" s="45">
        <v>0</v>
      </c>
      <c r="DK13" s="45">
        <v>0</v>
      </c>
      <c r="DL13" s="45">
        <f t="shared" si="17"/>
        <v>24000</v>
      </c>
      <c r="DM13" s="45">
        <v>0</v>
      </c>
      <c r="DN13" s="45">
        <v>0</v>
      </c>
      <c r="DO13" s="45">
        <v>0</v>
      </c>
      <c r="DP13" s="45">
        <f t="shared" si="18"/>
        <v>40000</v>
      </c>
      <c r="DQ13" s="45">
        <v>0</v>
      </c>
      <c r="DR13" s="45">
        <v>0</v>
      </c>
      <c r="DS13" s="45">
        <v>0</v>
      </c>
      <c r="EH13" s="33">
        <v>300000</v>
      </c>
      <c r="EI13" s="327">
        <v>400</v>
      </c>
      <c r="EJ13" s="327">
        <v>80</v>
      </c>
      <c r="EK13" s="33">
        <f t="shared" si="30"/>
        <v>20</v>
      </c>
      <c r="EL13" s="321">
        <v>0.15</v>
      </c>
      <c r="EM13" s="328">
        <f t="shared" si="31"/>
        <v>533.33333333333337</v>
      </c>
      <c r="EN13" s="317">
        <f t="shared" si="32"/>
        <v>13.333333333333334</v>
      </c>
      <c r="EO13" s="329">
        <f t="shared" si="34"/>
        <v>20.833333333333336</v>
      </c>
      <c r="EP13" s="317">
        <f t="shared" si="26"/>
        <v>5.666666666666667</v>
      </c>
      <c r="EQ13" s="342">
        <f t="shared" si="35"/>
        <v>0.5</v>
      </c>
      <c r="ER13" s="33">
        <f t="shared" si="27"/>
        <v>40</v>
      </c>
      <c r="ES13" s="328">
        <f t="shared" si="36"/>
        <v>316.66666666666669</v>
      </c>
      <c r="ET13" s="349">
        <f t="shared" si="33"/>
        <v>453.33333333333337</v>
      </c>
      <c r="EV13" s="348">
        <f t="shared" si="28"/>
        <v>20</v>
      </c>
      <c r="EW13" s="342">
        <f t="shared" si="37"/>
        <v>0.2</v>
      </c>
      <c r="EX13" s="33">
        <f t="shared" si="29"/>
        <v>230</v>
      </c>
      <c r="EY13" s="327">
        <v>1000</v>
      </c>
      <c r="EZ13" s="327">
        <v>1000</v>
      </c>
    </row>
    <row r="14" spans="1:156" x14ac:dyDescent="0.35">
      <c r="A14" s="50">
        <v>1000</v>
      </c>
      <c r="B14" s="24">
        <v>1</v>
      </c>
      <c r="C14" s="24">
        <f t="shared" ref="C14:C32" si="38">C9*10</f>
        <v>10</v>
      </c>
      <c r="D14" s="24">
        <v>0.3</v>
      </c>
      <c r="E14" s="24">
        <v>0.3</v>
      </c>
      <c r="F14" s="261">
        <v>1</v>
      </c>
      <c r="G14" s="24">
        <v>-1</v>
      </c>
      <c r="H14" s="24">
        <v>1005</v>
      </c>
      <c r="I14" s="24">
        <f t="shared" si="0"/>
        <v>5000000</v>
      </c>
      <c r="J14" s="24">
        <f>A14*150</f>
        <v>150000</v>
      </c>
      <c r="K14" s="270" t="str">
        <f t="shared" si="1"/>
        <v>[[7001,150000],[7002,150000],[7003,150000]]</v>
      </c>
      <c r="L14" s="24">
        <f t="shared" si="2"/>
        <v>28800</v>
      </c>
      <c r="M14" s="24">
        <f t="shared" si="19"/>
        <v>28800</v>
      </c>
      <c r="N14" s="24" t="str">
        <f t="shared" si="3"/>
        <v>1,3</v>
      </c>
      <c r="O14" s="24">
        <v>200</v>
      </c>
      <c r="P14" s="24">
        <v>100</v>
      </c>
      <c r="Q14" s="24">
        <v>10000</v>
      </c>
      <c r="R14" s="24">
        <v>1605</v>
      </c>
      <c r="S14" s="24">
        <v>9600</v>
      </c>
      <c r="T14" s="24">
        <v>9600</v>
      </c>
      <c r="U14" s="24">
        <v>9600</v>
      </c>
      <c r="V14" s="24">
        <v>9600</v>
      </c>
      <c r="W14" s="45">
        <f t="shared" si="4"/>
        <v>720000</v>
      </c>
      <c r="AG14" s="24">
        <v>1</v>
      </c>
      <c r="AH14" s="24">
        <f t="shared" si="5"/>
        <v>10</v>
      </c>
      <c r="AN14" s="24">
        <f t="shared" si="6"/>
        <v>1.8332999999999999</v>
      </c>
      <c r="AO14" s="24">
        <f t="shared" si="20"/>
        <v>0.94440000000000002</v>
      </c>
      <c r="AP14" s="277" t="str">
        <f t="shared" si="21"/>
        <v>1.5,0.94,1.5,0.94,1.51</v>
      </c>
      <c r="AQ14" s="24" t="str">
        <f t="shared" si="7"/>
        <v>1,1,0.015</v>
      </c>
      <c r="AS14" s="24" t="str">
        <f t="shared" si="8"/>
        <v>[[0,0,0],[0,0,0],[0,0,0]]</v>
      </c>
      <c r="AT14" s="280">
        <v>0.46300000000000002</v>
      </c>
      <c r="AU14" s="162">
        <f>ROUND((0-$AX$10)/($A14*AW14*60*6)+1,4)</f>
        <v>0.94440000000000002</v>
      </c>
      <c r="AV14" s="163">
        <f t="shared" si="9"/>
        <v>333.59999999999991</v>
      </c>
      <c r="AW14" s="283">
        <f>AW$10*(A$10/A14)</f>
        <v>5</v>
      </c>
      <c r="AZ14" s="2">
        <f>ROUND(($BD$6-$BD$5)/(BB14*60*A14*6)+1,4)</f>
        <v>1.8332999999999999</v>
      </c>
      <c r="BA14" s="2">
        <f t="shared" si="10"/>
        <v>4999.7999999999993</v>
      </c>
      <c r="BB14" s="292">
        <f>BB13-0.5</f>
        <v>3</v>
      </c>
      <c r="BC14" s="234" t="s">
        <v>177</v>
      </c>
      <c r="BD14" s="296" t="s">
        <v>129</v>
      </c>
      <c r="BE14" s="296" t="s">
        <v>178</v>
      </c>
      <c r="BF14" s="234" t="s">
        <v>179</v>
      </c>
      <c r="BG14" s="296" t="s">
        <v>129</v>
      </c>
      <c r="BH14" s="296" t="s">
        <v>178</v>
      </c>
      <c r="BI14" s="234" t="s">
        <v>180</v>
      </c>
      <c r="BJ14" s="296" t="s">
        <v>129</v>
      </c>
      <c r="BK14" s="296" t="s">
        <v>178</v>
      </c>
      <c r="BL14" s="234" t="s">
        <v>181</v>
      </c>
      <c r="BM14" s="296" t="s">
        <v>129</v>
      </c>
      <c r="BN14" s="296" t="s">
        <v>178</v>
      </c>
      <c r="BO14" s="234" t="s">
        <v>182</v>
      </c>
      <c r="BP14" s="296" t="s">
        <v>129</v>
      </c>
      <c r="BQ14" s="296" t="s">
        <v>178</v>
      </c>
      <c r="BS14" s="2">
        <f t="shared" si="11"/>
        <v>2440</v>
      </c>
      <c r="BT14" s="299">
        <f>ROUND((BV$2)/(BV14*$A14)+1,4)</f>
        <v>1.5</v>
      </c>
      <c r="BU14" s="21">
        <f t="shared" si="22"/>
        <v>3000</v>
      </c>
      <c r="BV14" s="301">
        <f>BV13-7.5</f>
        <v>20</v>
      </c>
      <c r="BW14" s="21">
        <f>ROUND((-BY$2)/(BY14*$A14)+1,4)</f>
        <v>0.94</v>
      </c>
      <c r="BX14" s="21">
        <f t="shared" si="12"/>
        <v>-360.00000000000034</v>
      </c>
      <c r="BY14" s="301">
        <f>BY13-75</f>
        <v>200</v>
      </c>
      <c r="BZ14" s="21">
        <f>ROUND((CB$2)/(CB14*$A14)+1,4)</f>
        <v>1.5</v>
      </c>
      <c r="CA14" s="21">
        <f t="shared" si="23"/>
        <v>3000</v>
      </c>
      <c r="CB14" s="301">
        <f>CB13-7.5</f>
        <v>20</v>
      </c>
      <c r="CC14" s="21">
        <f>ROUND((-CE$2)/(CE14*$A14)+1,4)</f>
        <v>0.94</v>
      </c>
      <c r="CD14" s="21">
        <f t="shared" si="13"/>
        <v>-360.00000000000034</v>
      </c>
      <c r="CE14" s="301">
        <f>CE13-75</f>
        <v>200</v>
      </c>
      <c r="CF14" s="21">
        <f>ROUND((CH$2)/(CH14*$A14)+1,4)</f>
        <v>1.51</v>
      </c>
      <c r="CG14" s="21">
        <f t="shared" si="24"/>
        <v>3060</v>
      </c>
      <c r="CH14" s="301">
        <f>CH13-750</f>
        <v>2000</v>
      </c>
      <c r="CZ14" s="24">
        <v>1008</v>
      </c>
      <c r="DA14" s="24" t="str">
        <f>'弹头价值|Dantou'!B8</f>
        <v>10000000</v>
      </c>
      <c r="DB14" s="24"/>
      <c r="DC14" s="312">
        <f t="shared" si="14"/>
        <v>1.4999999999999999E-2</v>
      </c>
      <c r="DD14" s="24">
        <v>1</v>
      </c>
      <c r="DE14" s="24">
        <v>1</v>
      </c>
      <c r="DF14" s="312">
        <f t="shared" si="15"/>
        <v>1.4999999999999999E-2</v>
      </c>
      <c r="DG14" s="24"/>
      <c r="DH14" s="45">
        <f t="shared" si="16"/>
        <v>20000</v>
      </c>
      <c r="DI14" s="45">
        <v>0</v>
      </c>
      <c r="DJ14" s="45">
        <v>0</v>
      </c>
      <c r="DK14" s="45">
        <v>0</v>
      </c>
      <c r="DL14" s="45">
        <f t="shared" si="17"/>
        <v>30000</v>
      </c>
      <c r="DM14" s="45">
        <v>0</v>
      </c>
      <c r="DN14" s="45">
        <v>0</v>
      </c>
      <c r="DO14" s="45">
        <v>0</v>
      </c>
      <c r="DP14" s="45">
        <f t="shared" si="18"/>
        <v>50000</v>
      </c>
      <c r="DQ14" s="45">
        <v>0</v>
      </c>
      <c r="DR14" s="45">
        <v>0</v>
      </c>
      <c r="DS14" s="45">
        <v>0</v>
      </c>
      <c r="EH14" s="33">
        <v>350000</v>
      </c>
      <c r="EI14" s="327">
        <v>500</v>
      </c>
      <c r="EJ14" s="327">
        <v>100</v>
      </c>
      <c r="EK14" s="33">
        <f t="shared" si="30"/>
        <v>25</v>
      </c>
      <c r="EL14" s="321">
        <v>0.1</v>
      </c>
      <c r="EM14" s="328">
        <f t="shared" si="31"/>
        <v>1000</v>
      </c>
      <c r="EN14" s="317">
        <f t="shared" si="32"/>
        <v>25</v>
      </c>
      <c r="EO14" s="329">
        <f t="shared" si="34"/>
        <v>45.833333333333336</v>
      </c>
      <c r="EP14" s="317">
        <f t="shared" si="26"/>
        <v>9</v>
      </c>
      <c r="EQ14" s="342">
        <f t="shared" si="35"/>
        <v>0.5</v>
      </c>
      <c r="ER14" s="33">
        <f t="shared" si="27"/>
        <v>50</v>
      </c>
      <c r="ES14" s="328">
        <f t="shared" si="36"/>
        <v>766.66666666666674</v>
      </c>
      <c r="ET14" s="328">
        <f t="shared" si="33"/>
        <v>900</v>
      </c>
      <c r="EV14" s="348">
        <f t="shared" si="28"/>
        <v>25</v>
      </c>
      <c r="EW14" s="342">
        <f t="shared" si="37"/>
        <v>0.2</v>
      </c>
      <c r="EX14" s="33">
        <f t="shared" si="29"/>
        <v>450</v>
      </c>
      <c r="EY14" s="327">
        <v>1200</v>
      </c>
      <c r="EZ14" s="327">
        <v>1000</v>
      </c>
    </row>
    <row r="15" spans="1:156" x14ac:dyDescent="0.35">
      <c r="A15" s="50">
        <v>2000</v>
      </c>
      <c r="B15" s="24">
        <v>1</v>
      </c>
      <c r="C15" s="24">
        <f t="shared" si="38"/>
        <v>20</v>
      </c>
      <c r="D15" s="24">
        <v>0.3</v>
      </c>
      <c r="E15" s="24">
        <v>0.3</v>
      </c>
      <c r="F15" s="261">
        <v>0</v>
      </c>
      <c r="G15" s="24">
        <v>-1</v>
      </c>
      <c r="H15" s="24">
        <v>1005</v>
      </c>
      <c r="I15" s="24">
        <f t="shared" si="0"/>
        <v>10000000</v>
      </c>
      <c r="J15" s="268">
        <f>A15*250</f>
        <v>500000</v>
      </c>
      <c r="K15" s="269" t="str">
        <f t="shared" si="1"/>
        <v>[[7001,500000],[7002,500000],[7003,500000]]</v>
      </c>
      <c r="L15" s="24">
        <f t="shared" si="2"/>
        <v>57600</v>
      </c>
      <c r="M15" s="24">
        <f t="shared" si="19"/>
        <v>57600</v>
      </c>
      <c r="N15" s="24" t="str">
        <f t="shared" si="3"/>
        <v>1,3</v>
      </c>
      <c r="O15" s="24">
        <f>O10</f>
        <v>100</v>
      </c>
      <c r="P15" s="24">
        <v>100</v>
      </c>
      <c r="Q15" s="24">
        <v>10000</v>
      </c>
      <c r="R15" s="24">
        <v>1606</v>
      </c>
      <c r="S15" s="24">
        <v>9400</v>
      </c>
      <c r="T15" s="24">
        <v>9500</v>
      </c>
      <c r="U15" s="24">
        <v>9500</v>
      </c>
      <c r="V15" s="24">
        <v>9500</v>
      </c>
      <c r="W15" s="45">
        <f t="shared" si="4"/>
        <v>720000</v>
      </c>
      <c r="AG15" s="24">
        <v>1</v>
      </c>
      <c r="AH15" s="24">
        <f t="shared" si="5"/>
        <v>11</v>
      </c>
      <c r="AN15" s="273" t="str">
        <f>AZ15&amp;","&amp;BC15&amp;","&amp;BF15</f>
        <v>1.434,0.9132,0.9597</v>
      </c>
      <c r="AO15" s="24">
        <f t="shared" si="20"/>
        <v>0.94440000000000002</v>
      </c>
      <c r="AP15" s="277" t="str">
        <f t="shared" si="21"/>
        <v>2,0.88,2,0.88,2.02</v>
      </c>
      <c r="AQ15" s="24" t="str">
        <f t="shared" si="7"/>
        <v>1,1,0.03</v>
      </c>
      <c r="AS15" s="24" t="str">
        <f t="shared" si="8"/>
        <v>[[0,0,0],[0,0,0],[0,0,0]]</v>
      </c>
      <c r="AT15" s="278">
        <v>1</v>
      </c>
      <c r="AU15" s="157">
        <f t="shared" ref="AU15:AU32" si="39">ROUND((0-$AX$15)/($A15*AW15*60*6)+1,4)</f>
        <v>0.94440000000000002</v>
      </c>
      <c r="AV15" s="158">
        <f t="shared" si="9"/>
        <v>667.19999999999982</v>
      </c>
      <c r="AW15" s="279">
        <v>25</v>
      </c>
      <c r="AX15" s="24">
        <v>1000000</v>
      </c>
      <c r="AY15" s="24">
        <f>18*60*6</f>
        <v>6480</v>
      </c>
      <c r="AZ15" s="2">
        <f>ROUND(($BD$7-$BD$6)/(BB15*60*$A15*6)+1,4)</f>
        <v>1.4339999999999999</v>
      </c>
      <c r="BA15" s="2">
        <f>(AZ15-1)*$A20*6</f>
        <v>52079.999999999985</v>
      </c>
      <c r="BB15" s="297">
        <v>1.6</v>
      </c>
      <c r="BC15" s="2">
        <f>ROUND(($BD$8-$BD$7)/(A15*6*60*BE15)+1,4)</f>
        <v>0.91320000000000001</v>
      </c>
      <c r="BD15" s="2">
        <f>(BC15-1)*$A20*6</f>
        <v>-10415.999999999998</v>
      </c>
      <c r="BE15" s="297">
        <v>8</v>
      </c>
      <c r="BF15" s="2">
        <f>ROUND(($BD$9-$BD$8)/(BH15*60*A15*6)+1,4)</f>
        <v>0.9597</v>
      </c>
      <c r="BG15" s="2">
        <f>(BF15-1)*$A20*6</f>
        <v>-4836</v>
      </c>
      <c r="BH15" s="297">
        <v>34.5</v>
      </c>
      <c r="BI15" s="2">
        <f>ROUND(($BD$10-$BD$9)/(A15*6*60*BK15)+1,4)</f>
        <v>1</v>
      </c>
      <c r="BJ15" s="2">
        <f>(BI15-1)*$A20*6</f>
        <v>0</v>
      </c>
      <c r="BK15" s="297">
        <v>8</v>
      </c>
      <c r="BL15" s="2">
        <f>ROUND(($BD$11-$BD$10)/(BN15*60*A15*6)+1,4)</f>
        <v>1</v>
      </c>
      <c r="BM15" s="2">
        <f>(BL15-1)*$A20*6</f>
        <v>0</v>
      </c>
      <c r="BN15" s="297">
        <v>1.6</v>
      </c>
      <c r="BO15" s="2">
        <f>ROUND(($BD$12-$BD$11)/(A15*6*60*BQ15)+1,4)</f>
        <v>1</v>
      </c>
      <c r="BP15" s="2">
        <f>(BO15-1)*$A20*6</f>
        <v>0</v>
      </c>
      <c r="BQ15" s="297">
        <f>BK15/3*2</f>
        <v>5.333333333333333</v>
      </c>
      <c r="BS15" s="2">
        <f t="shared" si="11"/>
        <v>6100</v>
      </c>
      <c r="BT15" s="299">
        <f>ROUND((BV$3)/(BV15*$A15)+1,4)</f>
        <v>2</v>
      </c>
      <c r="BU15" s="21">
        <f t="shared" si="22"/>
        <v>12000</v>
      </c>
      <c r="BV15" s="303">
        <f>BV5</f>
        <v>50</v>
      </c>
      <c r="BW15" s="21">
        <f>ROUND((-BY$3)/(BY15*$A15)+1,4)</f>
        <v>0.88</v>
      </c>
      <c r="BX15" s="21">
        <f t="shared" si="12"/>
        <v>-1440</v>
      </c>
      <c r="BY15" s="303">
        <f>BY5</f>
        <v>500</v>
      </c>
      <c r="BZ15" s="21">
        <f>ROUND((CB$3)/(CB15*$A15)+1,4)</f>
        <v>2</v>
      </c>
      <c r="CA15" s="21">
        <f t="shared" si="23"/>
        <v>12000</v>
      </c>
      <c r="CB15" s="303">
        <f>CB5</f>
        <v>50</v>
      </c>
      <c r="CC15" s="21">
        <f>ROUND((-CE$3)/(CE15*$A15)+1,4)</f>
        <v>0.88</v>
      </c>
      <c r="CD15" s="21">
        <f t="shared" si="13"/>
        <v>-1440</v>
      </c>
      <c r="CE15" s="303">
        <f>CE5</f>
        <v>500</v>
      </c>
      <c r="CF15" s="21">
        <f>ROUND((CH$3)/(CH15*$A15)+1,4)</f>
        <v>2.02</v>
      </c>
      <c r="CG15" s="21">
        <f t="shared" si="24"/>
        <v>12240</v>
      </c>
      <c r="CH15" s="303">
        <f>CH5</f>
        <v>5000</v>
      </c>
      <c r="DB15" s="24"/>
      <c r="DC15" s="312">
        <f t="shared" si="14"/>
        <v>0.03</v>
      </c>
      <c r="DD15" s="24">
        <v>1</v>
      </c>
      <c r="DE15" s="24">
        <v>1</v>
      </c>
      <c r="DF15" s="312">
        <f t="shared" si="15"/>
        <v>0.03</v>
      </c>
      <c r="DG15" s="24"/>
      <c r="DH15" s="45">
        <f t="shared" si="16"/>
        <v>40000</v>
      </c>
      <c r="DI15" s="45">
        <v>0</v>
      </c>
      <c r="DJ15" s="45">
        <v>0</v>
      </c>
      <c r="DK15" s="45">
        <v>0</v>
      </c>
      <c r="DL15" s="45">
        <f t="shared" si="17"/>
        <v>60000</v>
      </c>
      <c r="DM15" s="45">
        <v>0</v>
      </c>
      <c r="DN15" s="45">
        <v>0</v>
      </c>
      <c r="DO15" s="45">
        <v>0</v>
      </c>
      <c r="DP15" s="45">
        <f t="shared" si="18"/>
        <v>100000</v>
      </c>
      <c r="DQ15" s="45">
        <v>0</v>
      </c>
      <c r="DR15" s="45">
        <v>0</v>
      </c>
      <c r="DS15" s="45">
        <v>0</v>
      </c>
      <c r="EH15" s="33">
        <v>400000</v>
      </c>
      <c r="EI15" s="327">
        <v>600</v>
      </c>
      <c r="EJ15" s="327">
        <v>120</v>
      </c>
      <c r="EK15" s="33">
        <f t="shared" si="30"/>
        <v>30</v>
      </c>
      <c r="EL15" s="321">
        <v>0.05</v>
      </c>
      <c r="EM15" s="328">
        <f t="shared" si="31"/>
        <v>2400</v>
      </c>
      <c r="EN15" s="317">
        <f t="shared" si="32"/>
        <v>60</v>
      </c>
      <c r="EO15" s="329">
        <f t="shared" si="34"/>
        <v>105.83333333333334</v>
      </c>
      <c r="EP15" s="317">
        <f t="shared" si="26"/>
        <v>19</v>
      </c>
      <c r="EQ15" s="342">
        <f t="shared" si="35"/>
        <v>0.5</v>
      </c>
      <c r="ER15" s="33">
        <f t="shared" si="27"/>
        <v>60</v>
      </c>
      <c r="ES15" s="328">
        <f t="shared" si="36"/>
        <v>1906.6666666666667</v>
      </c>
      <c r="ET15" s="328">
        <f t="shared" si="33"/>
        <v>2280</v>
      </c>
      <c r="EV15" s="348">
        <f t="shared" si="28"/>
        <v>30</v>
      </c>
      <c r="EW15" s="342">
        <f t="shared" si="37"/>
        <v>0.2</v>
      </c>
      <c r="EX15" s="33">
        <f t="shared" ref="EX15:EX17" si="40">ROUNDUP(ET15/$EV$8/5,0)*5</f>
        <v>1140</v>
      </c>
      <c r="EY15" s="327">
        <v>1500</v>
      </c>
      <c r="EZ15" s="327">
        <v>1000</v>
      </c>
    </row>
    <row r="16" spans="1:156" x14ac:dyDescent="0.35">
      <c r="A16" s="50">
        <v>4000</v>
      </c>
      <c r="B16" s="24">
        <v>1</v>
      </c>
      <c r="C16" s="24">
        <f t="shared" si="38"/>
        <v>40</v>
      </c>
      <c r="D16" s="24">
        <v>0.3</v>
      </c>
      <c r="E16" s="24">
        <v>0.3</v>
      </c>
      <c r="F16" s="261">
        <v>0</v>
      </c>
      <c r="G16" s="24">
        <v>-1</v>
      </c>
      <c r="H16" s="24">
        <v>1005</v>
      </c>
      <c r="I16" s="24">
        <f t="shared" si="0"/>
        <v>20000000</v>
      </c>
      <c r="J16" s="268">
        <f>A16*225</f>
        <v>900000</v>
      </c>
      <c r="K16" s="269" t="str">
        <f t="shared" si="1"/>
        <v>[[7001,900000],[7002,900000],[7003,900000]]</v>
      </c>
      <c r="L16" s="24">
        <f t="shared" si="2"/>
        <v>115200</v>
      </c>
      <c r="M16" s="24">
        <f t="shared" si="19"/>
        <v>115200</v>
      </c>
      <c r="N16" s="24" t="str">
        <f t="shared" si="3"/>
        <v>1,3</v>
      </c>
      <c r="O16" s="24">
        <f t="shared" ref="O16:O24" si="41">O11</f>
        <v>120</v>
      </c>
      <c r="P16" s="24">
        <v>100</v>
      </c>
      <c r="Q16" s="24">
        <v>6250</v>
      </c>
      <c r="R16" s="24">
        <v>1606</v>
      </c>
      <c r="S16" s="24">
        <v>9400</v>
      </c>
      <c r="T16" s="24">
        <v>9500</v>
      </c>
      <c r="U16" s="24">
        <v>9500</v>
      </c>
      <c r="V16" s="24">
        <v>9500</v>
      </c>
      <c r="W16" s="45">
        <f t="shared" si="4"/>
        <v>720000</v>
      </c>
      <c r="AG16" s="24">
        <v>1</v>
      </c>
      <c r="AH16" s="24">
        <f t="shared" si="5"/>
        <v>12</v>
      </c>
      <c r="AN16" s="273" t="str">
        <f>AZ16&amp;","&amp;BC16&amp;","&amp;BF16</f>
        <v>1.2395,0.9504,0.9597</v>
      </c>
      <c r="AO16" s="24">
        <f t="shared" si="20"/>
        <v>0.94440000000000002</v>
      </c>
      <c r="AP16" s="277" t="str">
        <f t="shared" si="21"/>
        <v>1.5882,0.9294,1.5882,0.9294,1.6</v>
      </c>
      <c r="AQ16" s="24" t="str">
        <f t="shared" si="7"/>
        <v>2,1,0.03</v>
      </c>
      <c r="AS16" s="24" t="str">
        <f t="shared" si="8"/>
        <v>[[0,0,0],[0,0,0],[0,0,0]]</v>
      </c>
      <c r="AT16" s="280">
        <v>0.8</v>
      </c>
      <c r="AU16" s="160">
        <f t="shared" si="39"/>
        <v>0.94440000000000002</v>
      </c>
      <c r="AV16" s="59">
        <f t="shared" si="9"/>
        <v>1334.3999999999996</v>
      </c>
      <c r="AW16" s="281">
        <f>AW$15*(A$15/A16)</f>
        <v>12.5</v>
      </c>
      <c r="AZ16" s="2">
        <f>ROUND(($BD$7-$BD$6)/(BB16*60*$A16*6)+1,4)</f>
        <v>1.2395</v>
      </c>
      <c r="BA16" s="2">
        <f>(AZ16-1)*$A21*6</f>
        <v>57480.000000000015</v>
      </c>
      <c r="BB16" s="297">
        <v>1.45</v>
      </c>
      <c r="BC16" s="2">
        <f>ROUND(($BD$8-$BD$7)/(A16*6*60*BE16)+1,4)</f>
        <v>0.95040000000000002</v>
      </c>
      <c r="BD16" s="2">
        <f>(BC16-1)*$A21*6</f>
        <v>-11903.999999999995</v>
      </c>
      <c r="BE16" s="297">
        <v>7</v>
      </c>
      <c r="BF16" s="2">
        <f>ROUND(($BD$9-$BD$8)/(BH16*60*A16*6)+1,4)</f>
        <v>0.9597</v>
      </c>
      <c r="BG16" s="2">
        <f>(BF16-1)*$A21*6</f>
        <v>-9672</v>
      </c>
      <c r="BH16" s="297">
        <f>BH15/2</f>
        <v>17.25</v>
      </c>
      <c r="BI16" s="2">
        <f>ROUND(($BD$10-$BD$9)/(A16*6*60*BK16)+1,4)</f>
        <v>1</v>
      </c>
      <c r="BJ16" s="2">
        <f>(BI16-1)*$A21*6</f>
        <v>0</v>
      </c>
      <c r="BK16" s="297">
        <v>7</v>
      </c>
      <c r="BL16" s="2">
        <f>ROUND(($BD$11-$BD$10)/(BN16*60*A16*6)+1,4)</f>
        <v>1</v>
      </c>
      <c r="BM16" s="2">
        <f>(BL16-1)*$A21*6</f>
        <v>0</v>
      </c>
      <c r="BN16" s="297">
        <v>1.45</v>
      </c>
      <c r="BO16" s="2">
        <f>ROUND(($BD$12-$BD$11)/(A16*6*60*BQ16)+1,4)</f>
        <v>1</v>
      </c>
      <c r="BP16" s="2">
        <f>(BO16-1)*$A21*6</f>
        <v>0</v>
      </c>
      <c r="BQ16" s="297">
        <f>BK16/3*2</f>
        <v>4.666666666666667</v>
      </c>
      <c r="BS16" s="2">
        <f t="shared" si="11"/>
        <v>5185</v>
      </c>
      <c r="BT16" s="299">
        <f>ROUND((BV$3)/(BV16*$A16)+1,4)</f>
        <v>1.5882000000000001</v>
      </c>
      <c r="BU16" s="21">
        <f t="shared" si="22"/>
        <v>14116.800000000001</v>
      </c>
      <c r="BV16" s="301">
        <f>BV15-7.5</f>
        <v>42.5</v>
      </c>
      <c r="BW16" s="21">
        <f>ROUND((-BY$3)/(BY16*$A16)+1,4)</f>
        <v>0.9294</v>
      </c>
      <c r="BX16" s="21">
        <f t="shared" si="12"/>
        <v>-1694.3999999999999</v>
      </c>
      <c r="BY16" s="301">
        <f>BY15-75</f>
        <v>425</v>
      </c>
      <c r="BZ16" s="21">
        <f>ROUND((CB$3)/(CB16*$A16)+1,4)</f>
        <v>1.5882000000000001</v>
      </c>
      <c r="CA16" s="21">
        <f t="shared" si="23"/>
        <v>14116.800000000001</v>
      </c>
      <c r="CB16" s="301">
        <f>CB15-7.5</f>
        <v>42.5</v>
      </c>
      <c r="CC16" s="21">
        <f>ROUND((-CE$3)/(CE16*$A16)+1,4)</f>
        <v>0.9294</v>
      </c>
      <c r="CD16" s="21">
        <f t="shared" si="13"/>
        <v>-1694.3999999999999</v>
      </c>
      <c r="CE16" s="301">
        <f>CE15-75</f>
        <v>425</v>
      </c>
      <c r="CF16" s="21">
        <f>ROUND((CH$3)/(CH16*$A16)+1,4)</f>
        <v>1.6</v>
      </c>
      <c r="CG16" s="21">
        <f t="shared" si="24"/>
        <v>14400.000000000004</v>
      </c>
      <c r="CH16" s="301">
        <f>CH15-750</f>
        <v>4250</v>
      </c>
      <c r="DB16" s="24"/>
      <c r="DC16" s="312">
        <f t="shared" si="14"/>
        <v>0.06</v>
      </c>
      <c r="DD16" s="24">
        <v>2</v>
      </c>
      <c r="DE16" s="24">
        <v>1</v>
      </c>
      <c r="DF16" s="312">
        <f t="shared" si="15"/>
        <v>0.03</v>
      </c>
      <c r="DG16" s="24"/>
      <c r="DH16" s="45">
        <f t="shared" si="16"/>
        <v>80000</v>
      </c>
      <c r="DI16" s="45">
        <v>0</v>
      </c>
      <c r="DJ16" s="45">
        <v>0</v>
      </c>
      <c r="DK16" s="45">
        <v>0</v>
      </c>
      <c r="DL16" s="45">
        <f t="shared" si="17"/>
        <v>120000</v>
      </c>
      <c r="DM16" s="45">
        <v>0</v>
      </c>
      <c r="DN16" s="45">
        <v>0</v>
      </c>
      <c r="DO16" s="45">
        <v>0</v>
      </c>
      <c r="DP16" s="45">
        <f t="shared" si="18"/>
        <v>200000</v>
      </c>
      <c r="DQ16" s="45">
        <v>0</v>
      </c>
      <c r="DR16" s="45">
        <v>0</v>
      </c>
      <c r="DS16" s="45">
        <v>0</v>
      </c>
      <c r="EH16" s="33">
        <v>450000</v>
      </c>
      <c r="EI16" s="327">
        <v>700</v>
      </c>
      <c r="EJ16" s="327">
        <v>140</v>
      </c>
      <c r="EK16" s="33">
        <f t="shared" si="30"/>
        <v>35</v>
      </c>
      <c r="EL16" s="321">
        <v>0.03</v>
      </c>
      <c r="EM16" s="328">
        <f t="shared" si="31"/>
        <v>4666.666666666667</v>
      </c>
      <c r="EN16" s="317">
        <f t="shared" si="32"/>
        <v>116.66666666666667</v>
      </c>
      <c r="EO16" s="329">
        <f t="shared" si="34"/>
        <v>222.5</v>
      </c>
      <c r="EP16" s="317">
        <f t="shared" si="26"/>
        <v>32.333333333333336</v>
      </c>
      <c r="EQ16" s="342">
        <f t="shared" si="35"/>
        <v>0.5</v>
      </c>
      <c r="ER16" s="33">
        <f t="shared" si="27"/>
        <v>70</v>
      </c>
      <c r="ES16" s="328">
        <f t="shared" si="36"/>
        <v>4170</v>
      </c>
      <c r="ET16" s="328">
        <f t="shared" si="33"/>
        <v>4526.666666666667</v>
      </c>
      <c r="EV16" s="348">
        <f t="shared" si="28"/>
        <v>35</v>
      </c>
      <c r="EW16" s="342">
        <f t="shared" si="37"/>
        <v>0.2</v>
      </c>
      <c r="EX16" s="33">
        <f t="shared" si="40"/>
        <v>2265</v>
      </c>
      <c r="EY16" s="327">
        <v>2000</v>
      </c>
      <c r="EZ16" s="327">
        <v>1000</v>
      </c>
    </row>
    <row r="17" spans="1:156" x14ac:dyDescent="0.35">
      <c r="A17" s="50">
        <v>6000</v>
      </c>
      <c r="B17" s="24">
        <v>1</v>
      </c>
      <c r="C17" s="24">
        <f t="shared" si="38"/>
        <v>60</v>
      </c>
      <c r="D17" s="24">
        <v>0.3</v>
      </c>
      <c r="E17" s="24">
        <v>0.3</v>
      </c>
      <c r="F17" s="261">
        <v>0</v>
      </c>
      <c r="G17" s="24">
        <v>-1</v>
      </c>
      <c r="H17" s="24">
        <v>1005</v>
      </c>
      <c r="I17" s="24">
        <f t="shared" si="0"/>
        <v>30000000</v>
      </c>
      <c r="J17" s="268">
        <f>A17*200</f>
        <v>1200000</v>
      </c>
      <c r="K17" s="269" t="str">
        <f t="shared" si="1"/>
        <v>[[7001,1200000],[7002,1200000],[7003,1200000]]</v>
      </c>
      <c r="L17" s="24">
        <f t="shared" si="2"/>
        <v>172800</v>
      </c>
      <c r="M17" s="24">
        <f t="shared" si="19"/>
        <v>172800</v>
      </c>
      <c r="N17" s="24" t="str">
        <f t="shared" si="3"/>
        <v>1,3</v>
      </c>
      <c r="O17" s="24">
        <f t="shared" si="41"/>
        <v>150</v>
      </c>
      <c r="P17" s="24">
        <v>100</v>
      </c>
      <c r="Q17" s="24">
        <v>4166</v>
      </c>
      <c r="R17" s="24">
        <v>1606</v>
      </c>
      <c r="S17" s="24">
        <v>9300</v>
      </c>
      <c r="T17" s="107">
        <v>9300</v>
      </c>
      <c r="U17" s="24">
        <v>9500</v>
      </c>
      <c r="V17" s="24">
        <v>9500</v>
      </c>
      <c r="W17" s="45">
        <f t="shared" si="4"/>
        <v>720000</v>
      </c>
      <c r="AG17" s="24">
        <v>1</v>
      </c>
      <c r="AH17" s="24">
        <f t="shared" si="5"/>
        <v>13</v>
      </c>
      <c r="AN17" s="273" t="str">
        <f>AZ17&amp;","&amp;BC17&amp;","&amp;BF17</f>
        <v>1.1781,0.9614,0.9597</v>
      </c>
      <c r="AO17" s="24">
        <f t="shared" si="20"/>
        <v>0.94440000000000002</v>
      </c>
      <c r="AP17" s="277" t="str">
        <f t="shared" si="21"/>
        <v>1.4762,0.9429,1.4762,0.9429,1.4857</v>
      </c>
      <c r="AQ17" s="24" t="str">
        <f t="shared" si="7"/>
        <v>2,1,0.045</v>
      </c>
      <c r="AS17" s="24" t="str">
        <f t="shared" si="8"/>
        <v>[[0,0,0],[0,0,0],[0,0,0]]</v>
      </c>
      <c r="AT17" s="280">
        <v>0.6</v>
      </c>
      <c r="AU17" s="160">
        <f t="shared" si="39"/>
        <v>0.94440000000000002</v>
      </c>
      <c r="AV17" s="59">
        <f t="shared" si="9"/>
        <v>2001.5999999999995</v>
      </c>
      <c r="AW17" s="282">
        <f>AW$15*(A$15/A17)</f>
        <v>8.3333333333333321</v>
      </c>
      <c r="AZ17" s="2">
        <f>ROUND(($BD$7-$BD$6)/(BB17*60*$A17*6)+1,4)</f>
        <v>1.1780999999999999</v>
      </c>
      <c r="BA17" s="2">
        <f>(AZ17-1)*$A22*6</f>
        <v>64115.999999999978</v>
      </c>
      <c r="BB17" s="297">
        <v>1.3</v>
      </c>
      <c r="BC17" s="2">
        <f>ROUND(($BD$8-$BD$7)/(A17*6*60*BE17)+1,4)</f>
        <v>0.96140000000000003</v>
      </c>
      <c r="BD17" s="2">
        <f>(BC17-1)*$A22*6</f>
        <v>-13895.999999999989</v>
      </c>
      <c r="BE17" s="297">
        <v>6</v>
      </c>
      <c r="BF17" s="2">
        <f>ROUND(($BD$9-$BD$8)/(BH17*60*A17*6)+1,4)</f>
        <v>0.9597</v>
      </c>
      <c r="BG17" s="2">
        <f>(BF17-1)*$A22*6</f>
        <v>-14508</v>
      </c>
      <c r="BH17" s="297">
        <f>BH15/3</f>
        <v>11.5</v>
      </c>
      <c r="BI17" s="2">
        <f>ROUND(($BD$10-$BD$9)/(A17*6*60*BK17)+1,4)</f>
        <v>1</v>
      </c>
      <c r="BJ17" s="2">
        <f>(BI17-1)*$A22*6</f>
        <v>0</v>
      </c>
      <c r="BK17" s="297">
        <v>6</v>
      </c>
      <c r="BL17" s="2">
        <f>ROUND(($BD$11-$BD$10)/(BN17*60*A17*6)+1,4)</f>
        <v>1</v>
      </c>
      <c r="BM17" s="2">
        <f>(BL17-1)*$A22*6</f>
        <v>0</v>
      </c>
      <c r="BN17" s="297">
        <v>1.3</v>
      </c>
      <c r="BO17" s="2">
        <f>ROUND(($BD$12-$BD$11)/(A17*6*60*BQ17)+1,4)</f>
        <v>1</v>
      </c>
      <c r="BP17" s="2">
        <f>(BO17-1)*$A22*6</f>
        <v>0</v>
      </c>
      <c r="BQ17" s="297">
        <f>BK17/3*2</f>
        <v>4</v>
      </c>
      <c r="BS17" s="2">
        <f t="shared" si="11"/>
        <v>4270</v>
      </c>
      <c r="BT17" s="299">
        <f>ROUND((BV$3)/(BV17*$A17)+1,4)</f>
        <v>1.4762</v>
      </c>
      <c r="BU17" s="21">
        <f t="shared" si="22"/>
        <v>17143.199999999997</v>
      </c>
      <c r="BV17" s="301">
        <f>BV16-7.5</f>
        <v>35</v>
      </c>
      <c r="BW17" s="21">
        <f>ROUND((-BY$3)/(BY17*$A17)+1,4)</f>
        <v>0.94289999999999996</v>
      </c>
      <c r="BX17" s="21">
        <f t="shared" si="12"/>
        <v>-2055.6000000000013</v>
      </c>
      <c r="BY17" s="301">
        <f>BY16-75</f>
        <v>350</v>
      </c>
      <c r="BZ17" s="21">
        <f>ROUND((CB$3)/(CB17*$A17)+1,4)</f>
        <v>1.4762</v>
      </c>
      <c r="CA17" s="21">
        <f t="shared" si="23"/>
        <v>17143.199999999997</v>
      </c>
      <c r="CB17" s="301">
        <f>CB16-7.5</f>
        <v>35</v>
      </c>
      <c r="CC17" s="21">
        <f>ROUND((-CE$3)/(CE17*$A17)+1,4)</f>
        <v>0.94289999999999996</v>
      </c>
      <c r="CD17" s="21">
        <f t="shared" si="13"/>
        <v>-2055.6000000000013</v>
      </c>
      <c r="CE17" s="301">
        <f>CE16-75</f>
        <v>350</v>
      </c>
      <c r="CF17" s="21">
        <f>ROUND((CH$3)/(CH17*$A17)+1,4)</f>
        <v>1.4857</v>
      </c>
      <c r="CG17" s="21">
        <f t="shared" si="24"/>
        <v>17485.2</v>
      </c>
      <c r="CH17" s="301">
        <f>CH16-750</f>
        <v>3500</v>
      </c>
      <c r="DB17" s="24"/>
      <c r="DC17" s="312">
        <f t="shared" si="14"/>
        <v>0.09</v>
      </c>
      <c r="DD17" s="24">
        <v>2</v>
      </c>
      <c r="DE17" s="24">
        <v>1</v>
      </c>
      <c r="DF17" s="312">
        <f t="shared" si="15"/>
        <v>4.4999999999999998E-2</v>
      </c>
      <c r="DG17" s="24"/>
      <c r="DH17" s="45">
        <f t="shared" si="16"/>
        <v>120000</v>
      </c>
      <c r="DI17" s="45">
        <v>0</v>
      </c>
      <c r="DJ17" s="45">
        <v>0</v>
      </c>
      <c r="DK17" s="45">
        <v>0</v>
      </c>
      <c r="DL17" s="45">
        <f t="shared" si="17"/>
        <v>180000</v>
      </c>
      <c r="DM17" s="45">
        <v>0</v>
      </c>
      <c r="DN17" s="45">
        <v>0</v>
      </c>
      <c r="DO17" s="45">
        <v>0</v>
      </c>
      <c r="DP17" s="45">
        <f t="shared" si="18"/>
        <v>300000</v>
      </c>
      <c r="DQ17" s="45">
        <v>0</v>
      </c>
      <c r="DR17" s="45">
        <v>0</v>
      </c>
      <c r="DS17" s="45">
        <v>0</v>
      </c>
      <c r="EH17" s="33">
        <v>500000</v>
      </c>
      <c r="EI17" s="327">
        <v>800</v>
      </c>
      <c r="EJ17" s="327">
        <v>160</v>
      </c>
      <c r="EK17" s="33">
        <f t="shared" si="30"/>
        <v>40</v>
      </c>
      <c r="EL17" s="321">
        <v>0.01</v>
      </c>
      <c r="EM17" s="328">
        <f t="shared" si="31"/>
        <v>16000</v>
      </c>
      <c r="EN17" s="317">
        <f t="shared" si="32"/>
        <v>400</v>
      </c>
      <c r="EO17" s="329">
        <f t="shared" si="34"/>
        <v>622.5</v>
      </c>
      <c r="EP17" s="317">
        <f t="shared" si="26"/>
        <v>99</v>
      </c>
      <c r="EQ17" s="342">
        <f t="shared" si="35"/>
        <v>0.5</v>
      </c>
      <c r="ER17" s="33">
        <f t="shared" si="27"/>
        <v>80</v>
      </c>
      <c r="ES17" s="328">
        <f t="shared" si="36"/>
        <v>12090</v>
      </c>
      <c r="ET17" s="328">
        <f t="shared" si="33"/>
        <v>15840</v>
      </c>
      <c r="EV17" s="348">
        <f t="shared" si="28"/>
        <v>40</v>
      </c>
      <c r="EW17" s="342">
        <f t="shared" si="37"/>
        <v>0.2</v>
      </c>
      <c r="EX17" s="33">
        <f t="shared" si="40"/>
        <v>7920</v>
      </c>
      <c r="EY17" s="327">
        <v>5000</v>
      </c>
      <c r="EZ17" s="327">
        <v>1000</v>
      </c>
    </row>
    <row r="18" spans="1:156" x14ac:dyDescent="0.35">
      <c r="A18" s="50">
        <v>8000</v>
      </c>
      <c r="B18" s="24">
        <v>1</v>
      </c>
      <c r="C18" s="24">
        <f t="shared" si="38"/>
        <v>80</v>
      </c>
      <c r="D18" s="24">
        <v>0.3</v>
      </c>
      <c r="E18" s="24">
        <v>0.3</v>
      </c>
      <c r="F18" s="261">
        <v>0</v>
      </c>
      <c r="G18" s="24">
        <v>-1</v>
      </c>
      <c r="H18" s="24">
        <v>1005</v>
      </c>
      <c r="I18" s="24">
        <f t="shared" si="0"/>
        <v>40000000</v>
      </c>
      <c r="J18" s="268">
        <f>A18*175</f>
        <v>1400000</v>
      </c>
      <c r="K18" s="269" t="str">
        <f t="shared" si="1"/>
        <v>[[7001,1400000],[7002,1400000],[7003,1400000]]</v>
      </c>
      <c r="L18" s="24">
        <f t="shared" si="2"/>
        <v>230400</v>
      </c>
      <c r="M18" s="24">
        <f t="shared" si="19"/>
        <v>230400</v>
      </c>
      <c r="N18" s="24" t="str">
        <f t="shared" si="3"/>
        <v>1,3</v>
      </c>
      <c r="O18" s="24">
        <f t="shared" si="41"/>
        <v>170</v>
      </c>
      <c r="P18" s="24">
        <v>100</v>
      </c>
      <c r="Q18" s="24">
        <v>3124</v>
      </c>
      <c r="R18" s="24">
        <v>1606</v>
      </c>
      <c r="S18" s="24">
        <v>9300</v>
      </c>
      <c r="T18" s="107">
        <v>9300</v>
      </c>
      <c r="U18" s="24">
        <v>9500</v>
      </c>
      <c r="V18" s="24">
        <v>9500</v>
      </c>
      <c r="W18" s="45">
        <f t="shared" si="4"/>
        <v>720000</v>
      </c>
      <c r="AG18" s="24">
        <v>1</v>
      </c>
      <c r="AH18" s="24">
        <f t="shared" si="5"/>
        <v>14</v>
      </c>
      <c r="AN18" s="273" t="str">
        <f>AZ18&amp;","&amp;BC18&amp;","&amp;BF18</f>
        <v>1.151,0.9653,0.9597</v>
      </c>
      <c r="AO18" s="24">
        <f t="shared" si="20"/>
        <v>0.94440000000000002</v>
      </c>
      <c r="AP18" s="277" t="str">
        <f t="shared" si="21"/>
        <v>1.4545,0.9455,1.4545,0.9455,1.4636</v>
      </c>
      <c r="AQ18" s="24" t="str">
        <f t="shared" si="7"/>
        <v>3,1,0.04</v>
      </c>
      <c r="AS18" s="24" t="str">
        <f t="shared" si="8"/>
        <v>[[0,0,0],[0,0,0],[0,0,0]]</v>
      </c>
      <c r="AT18" s="280">
        <v>0.5</v>
      </c>
      <c r="AU18" s="160">
        <f t="shared" si="39"/>
        <v>0.94440000000000002</v>
      </c>
      <c r="AV18" s="59">
        <f t="shared" si="9"/>
        <v>2668.7999999999993</v>
      </c>
      <c r="AW18" s="281">
        <f>AW$15*(A$15/A18)</f>
        <v>6.25</v>
      </c>
      <c r="AZ18" s="2">
        <f>ROUND(($BD$7-$BD$6)/(BB18*60*$A18*6)+1,4)</f>
        <v>1.151</v>
      </c>
      <c r="BA18" s="2">
        <f>(AZ18-1)*$A23*6</f>
        <v>72480.000000000015</v>
      </c>
      <c r="BB18" s="297">
        <v>1.1499999999999999</v>
      </c>
      <c r="BC18" s="2">
        <f>ROUND(($BD$8-$BD$7)/(A18*6*60*BE18)+1,4)</f>
        <v>0.96530000000000005</v>
      </c>
      <c r="BD18" s="2">
        <f>(BC18-1)*$A23*6</f>
        <v>-16655.999999999978</v>
      </c>
      <c r="BE18" s="297">
        <v>5</v>
      </c>
      <c r="BF18" s="2">
        <f>ROUND(($BD$9-$BD$8)/(BH18*60*A18*6)+1,4)</f>
        <v>0.9597</v>
      </c>
      <c r="BG18" s="2">
        <f>(BF18-1)*$A23*6</f>
        <v>-19344</v>
      </c>
      <c r="BH18" s="297">
        <f>BH15/4</f>
        <v>8.625</v>
      </c>
      <c r="BI18" s="2">
        <f>ROUND(($BD$10-$BD$9)/(A18*6*60*BK18)+1,4)</f>
        <v>1</v>
      </c>
      <c r="BJ18" s="2">
        <f>(BI18-1)*$A23*6</f>
        <v>0</v>
      </c>
      <c r="BK18" s="297">
        <v>5</v>
      </c>
      <c r="BL18" s="2">
        <f>ROUND(($BD$11-$BD$10)/(BN18*60*A18*6)+1,4)</f>
        <v>1</v>
      </c>
      <c r="BM18" s="2">
        <f>(BL18-1)*$A23*6</f>
        <v>0</v>
      </c>
      <c r="BN18" s="297">
        <v>1.1499999999999999</v>
      </c>
      <c r="BO18" s="2">
        <f>ROUND(($BD$12-$BD$11)/(A18*6*60*BQ18)+1,4)</f>
        <v>1</v>
      </c>
      <c r="BP18" s="2">
        <f>(BO18-1)*$A23*6</f>
        <v>0</v>
      </c>
      <c r="BQ18" s="297">
        <f>BK18/3*2</f>
        <v>3.3333333333333335</v>
      </c>
      <c r="BS18" s="2">
        <f t="shared" si="11"/>
        <v>3355</v>
      </c>
      <c r="BT18" s="299">
        <f>ROUND((BV$3)/(BV18*$A18)+1,4)</f>
        <v>1.4544999999999999</v>
      </c>
      <c r="BU18" s="21">
        <f t="shared" si="22"/>
        <v>21815.999999999993</v>
      </c>
      <c r="BV18" s="301">
        <f>BV17-7.5</f>
        <v>27.5</v>
      </c>
      <c r="BW18" s="21">
        <f>ROUND((-BY$3)/(BY18*$A18)+1,4)</f>
        <v>0.94550000000000001</v>
      </c>
      <c r="BX18" s="21">
        <f t="shared" si="12"/>
        <v>-2615.9999999999995</v>
      </c>
      <c r="BY18" s="301">
        <f>BY17-75</f>
        <v>275</v>
      </c>
      <c r="BZ18" s="21">
        <f>ROUND((CB$3)/(CB18*$A18)+1,4)</f>
        <v>1.4544999999999999</v>
      </c>
      <c r="CA18" s="21">
        <f t="shared" si="23"/>
        <v>21815.999999999993</v>
      </c>
      <c r="CB18" s="301">
        <f>CB17-7.5</f>
        <v>27.5</v>
      </c>
      <c r="CC18" s="21">
        <f>ROUND((-CE$3)/(CE18*$A18)+1,4)</f>
        <v>0.94550000000000001</v>
      </c>
      <c r="CD18" s="21">
        <f t="shared" si="13"/>
        <v>-2615.9999999999995</v>
      </c>
      <c r="CE18" s="301">
        <f>CE17-75</f>
        <v>275</v>
      </c>
      <c r="CF18" s="21">
        <f>ROUND((CH$3)/(CH18*$A18)+1,4)</f>
        <v>1.4636</v>
      </c>
      <c r="CG18" s="21">
        <f t="shared" si="24"/>
        <v>22252.800000000003</v>
      </c>
      <c r="CH18" s="301">
        <f>CH17-750</f>
        <v>2750</v>
      </c>
      <c r="DB18" s="24"/>
      <c r="DC18" s="312">
        <f t="shared" si="14"/>
        <v>0.12</v>
      </c>
      <c r="DD18" s="24">
        <v>3</v>
      </c>
      <c r="DE18" s="24">
        <v>1</v>
      </c>
      <c r="DF18" s="312">
        <f t="shared" si="15"/>
        <v>0.04</v>
      </c>
      <c r="DG18" s="24"/>
      <c r="DH18" s="45">
        <f t="shared" si="16"/>
        <v>160000</v>
      </c>
      <c r="DI18" s="45">
        <v>0</v>
      </c>
      <c r="DJ18" s="45">
        <v>0</v>
      </c>
      <c r="DK18" s="45">
        <v>0</v>
      </c>
      <c r="DL18" s="45">
        <f t="shared" si="17"/>
        <v>240000</v>
      </c>
      <c r="DM18" s="45">
        <v>0</v>
      </c>
      <c r="DN18" s="45">
        <v>0</v>
      </c>
      <c r="DO18" s="45">
        <v>0</v>
      </c>
      <c r="DP18" s="45">
        <f t="shared" si="18"/>
        <v>400000</v>
      </c>
      <c r="DQ18" s="45">
        <v>0</v>
      </c>
      <c r="DR18" s="45">
        <v>0</v>
      </c>
      <c r="DS18" s="45">
        <v>0</v>
      </c>
      <c r="EJ18" s="317">
        <f>SUM(EJ10:EJ17)</f>
        <v>720</v>
      </c>
      <c r="EK18" s="33"/>
      <c r="EL18" s="33"/>
      <c r="EM18" s="330" t="s">
        <v>183</v>
      </c>
      <c r="EN18" s="317">
        <f>MAX(SUM(EN10:EN17),EJ19)</f>
        <v>622.5</v>
      </c>
      <c r="EO18" s="33"/>
      <c r="EP18" s="33"/>
      <c r="EQ18" s="33"/>
      <c r="ER18" s="33"/>
      <c r="EX18" s="33">
        <f>SUM(EX10:EX17)</f>
        <v>12100</v>
      </c>
      <c r="EY18" s="33">
        <f>SUM(EY10:EY17)</f>
        <v>12200</v>
      </c>
      <c r="EZ18" s="33">
        <f>SUM(EZ10:EZ17)</f>
        <v>8000</v>
      </c>
    </row>
    <row r="19" spans="1:156" x14ac:dyDescent="0.35">
      <c r="A19" s="50">
        <v>10000</v>
      </c>
      <c r="B19" s="24">
        <v>1</v>
      </c>
      <c r="C19" s="24">
        <f t="shared" si="38"/>
        <v>100</v>
      </c>
      <c r="D19" s="24">
        <v>0.3</v>
      </c>
      <c r="E19" s="24">
        <v>0.3</v>
      </c>
      <c r="F19" s="261">
        <v>1</v>
      </c>
      <c r="G19" s="24">
        <v>-1</v>
      </c>
      <c r="H19" s="24">
        <v>1005</v>
      </c>
      <c r="I19" s="24">
        <f t="shared" si="0"/>
        <v>50000000</v>
      </c>
      <c r="J19" s="268">
        <f>A19*150</f>
        <v>1500000</v>
      </c>
      <c r="K19" s="269" t="str">
        <f t="shared" si="1"/>
        <v>[[7001,1500000],[7002,1500000],[7003,1500000]]</v>
      </c>
      <c r="L19" s="24">
        <f t="shared" si="2"/>
        <v>288000</v>
      </c>
      <c r="M19" s="24">
        <f t="shared" si="19"/>
        <v>288000</v>
      </c>
      <c r="N19" s="24" t="str">
        <f>N20</f>
        <v>1,3</v>
      </c>
      <c r="O19" s="24">
        <f t="shared" si="41"/>
        <v>200</v>
      </c>
      <c r="P19" s="24">
        <v>100</v>
      </c>
      <c r="Q19" s="24">
        <v>2499</v>
      </c>
      <c r="R19" s="24">
        <v>1606</v>
      </c>
      <c r="S19" s="24">
        <v>9300</v>
      </c>
      <c r="T19" s="24">
        <v>9300</v>
      </c>
      <c r="U19" s="24">
        <v>9500</v>
      </c>
      <c r="V19" s="24">
        <v>9500</v>
      </c>
      <c r="W19" s="45">
        <f t="shared" si="4"/>
        <v>720000</v>
      </c>
      <c r="AG19" s="24">
        <v>1</v>
      </c>
      <c r="AH19" s="24">
        <f t="shared" si="5"/>
        <v>15</v>
      </c>
      <c r="AN19" s="273" t="str">
        <f>AZ19&amp;","&amp;BC19&amp;","&amp;BF19</f>
        <v>1.1389,0.9653,0.9597</v>
      </c>
      <c r="AO19" s="24">
        <f t="shared" si="20"/>
        <v>0.94440000000000002</v>
      </c>
      <c r="AP19" s="277" t="str">
        <f t="shared" si="21"/>
        <v>1.5,0.94,1.5,0.94,1.51</v>
      </c>
      <c r="AQ19" s="24" t="str">
        <f t="shared" si="7"/>
        <v>4,1,0.0375</v>
      </c>
      <c r="AS19" s="24" t="str">
        <f t="shared" si="8"/>
        <v>[[0,0,0],[0,0,0],[0,0,0]]</v>
      </c>
      <c r="AT19" s="280">
        <v>0.46300000000000002</v>
      </c>
      <c r="AU19" s="162">
        <f t="shared" si="39"/>
        <v>0.94440000000000002</v>
      </c>
      <c r="AV19" s="163">
        <f t="shared" si="9"/>
        <v>3335.9999999999986</v>
      </c>
      <c r="AW19" s="283">
        <f>AW$15*(A$15/A19)</f>
        <v>5</v>
      </c>
      <c r="AZ19" s="2">
        <f>ROUND(($BD$7-$BD$6)/(BB19*60*$A19*6)+1,4)</f>
        <v>1.1389</v>
      </c>
      <c r="BA19" s="2">
        <f>(AZ19-1)*$A24*6</f>
        <v>83340.000000000015</v>
      </c>
      <c r="BB19" s="297">
        <v>1</v>
      </c>
      <c r="BC19" s="2">
        <f>ROUND(($BD$8-$BD$7)/(A19*6*60*BE19)+1,4)</f>
        <v>0.96530000000000005</v>
      </c>
      <c r="BD19" s="2">
        <f>(BC19-1)*$A24*6</f>
        <v>-20819.999999999971</v>
      </c>
      <c r="BE19" s="297">
        <v>4</v>
      </c>
      <c r="BF19" s="2">
        <f>ROUND(($BD$9-$BD$8)/(BH19*60*A19*6)+1,4)</f>
        <v>0.9597</v>
      </c>
      <c r="BG19" s="2">
        <f>(BF19-1)*$A24*6</f>
        <v>-24180.000000000004</v>
      </c>
      <c r="BH19" s="297">
        <f>BH15/5</f>
        <v>6.9</v>
      </c>
      <c r="BI19" s="2">
        <f>ROUND(($BD$10-$BD$9)/(A19*6*60*BK19)+1,4)</f>
        <v>1</v>
      </c>
      <c r="BJ19" s="2">
        <f>(BI19-1)*$A24*6</f>
        <v>0</v>
      </c>
      <c r="BK19" s="297">
        <v>4</v>
      </c>
      <c r="BL19" s="2">
        <f>ROUND(($BD$11-$BD$10)/(BN19*60*A19*6)+1,4)</f>
        <v>1</v>
      </c>
      <c r="BM19" s="2">
        <f>(BL19-1)*$A24*6</f>
        <v>0</v>
      </c>
      <c r="BN19" s="297">
        <v>1</v>
      </c>
      <c r="BO19" s="2">
        <f>ROUND(($BD$12-$BD$11)/(A19*6*60*BQ19)+1,4)</f>
        <v>1</v>
      </c>
      <c r="BP19" s="2">
        <f>(BO19-1)*$A24*6</f>
        <v>0</v>
      </c>
      <c r="BQ19" s="297">
        <f>BK19/3*2</f>
        <v>2.6666666666666665</v>
      </c>
      <c r="BS19" s="2">
        <f t="shared" si="11"/>
        <v>2440</v>
      </c>
      <c r="BT19" s="299">
        <f>ROUND((BV$3)/(BV19*$A19)+1,4)</f>
        <v>1.5</v>
      </c>
      <c r="BU19" s="21">
        <f t="shared" si="22"/>
        <v>30000</v>
      </c>
      <c r="BV19" s="301">
        <f>BV18-7.5</f>
        <v>20</v>
      </c>
      <c r="BW19" s="21">
        <f>ROUND((-BY$3)/(BY19*$A19)+1,4)</f>
        <v>0.94</v>
      </c>
      <c r="BX19" s="21">
        <f t="shared" si="12"/>
        <v>-3600.0000000000036</v>
      </c>
      <c r="BY19" s="301">
        <f>BY18-75</f>
        <v>200</v>
      </c>
      <c r="BZ19" s="21">
        <f>ROUND((CB$3)/(CB19*$A19)+1,4)</f>
        <v>1.5</v>
      </c>
      <c r="CA19" s="21">
        <f t="shared" si="23"/>
        <v>30000</v>
      </c>
      <c r="CB19" s="301">
        <f>CB18-7.5</f>
        <v>20</v>
      </c>
      <c r="CC19" s="21">
        <f>ROUND((-CE$3)/(CE19*$A19)+1,4)</f>
        <v>0.94</v>
      </c>
      <c r="CD19" s="21">
        <f t="shared" si="13"/>
        <v>-3600.0000000000036</v>
      </c>
      <c r="CE19" s="301">
        <f>CE18-75</f>
        <v>200</v>
      </c>
      <c r="CF19" s="21">
        <f>ROUND((CH$3)/(CH19*$A19)+1,4)</f>
        <v>1.51</v>
      </c>
      <c r="CG19" s="21">
        <f t="shared" si="24"/>
        <v>30600</v>
      </c>
      <c r="CH19" s="301">
        <f>CH18-750</f>
        <v>2000</v>
      </c>
      <c r="DB19" s="24"/>
      <c r="DC19" s="312">
        <f t="shared" si="14"/>
        <v>0.15</v>
      </c>
      <c r="DD19" s="24">
        <v>4</v>
      </c>
      <c r="DE19" s="24">
        <v>1</v>
      </c>
      <c r="DF19" s="312">
        <f t="shared" si="15"/>
        <v>3.7499999999999999E-2</v>
      </c>
      <c r="DG19" s="24"/>
      <c r="DH19" s="45">
        <f t="shared" si="16"/>
        <v>200000</v>
      </c>
      <c r="DI19" s="45">
        <v>0</v>
      </c>
      <c r="DJ19" s="45">
        <v>0</v>
      </c>
      <c r="DK19" s="45">
        <v>0</v>
      </c>
      <c r="DL19" s="45">
        <f t="shared" si="17"/>
        <v>300000</v>
      </c>
      <c r="DM19" s="45">
        <v>0</v>
      </c>
      <c r="DN19" s="45">
        <v>0</v>
      </c>
      <c r="DO19" s="45">
        <v>0</v>
      </c>
      <c r="DP19" s="45">
        <f t="shared" si="18"/>
        <v>500000</v>
      </c>
      <c r="DQ19" s="45">
        <v>0</v>
      </c>
      <c r="DR19" s="45">
        <v>0</v>
      </c>
      <c r="DS19" s="45">
        <v>0</v>
      </c>
      <c r="EI19" s="331" t="s">
        <v>184</v>
      </c>
      <c r="EJ19">
        <f>EJ18/EJ22</f>
        <v>18</v>
      </c>
      <c r="EM19" s="330"/>
      <c r="EN19" s="317"/>
      <c r="EO19" s="317"/>
      <c r="ER19" s="328"/>
    </row>
    <row r="20" spans="1:156" x14ac:dyDescent="0.35">
      <c r="A20" s="50">
        <v>20000</v>
      </c>
      <c r="B20" s="24">
        <v>1</v>
      </c>
      <c r="C20" s="24">
        <f t="shared" si="38"/>
        <v>200</v>
      </c>
      <c r="D20" s="24">
        <v>0.3</v>
      </c>
      <c r="E20" s="24">
        <v>0.3</v>
      </c>
      <c r="F20" s="261">
        <v>0</v>
      </c>
      <c r="G20" s="24">
        <v>-1</v>
      </c>
      <c r="H20" s="24">
        <v>1005</v>
      </c>
      <c r="I20" s="24">
        <f t="shared" si="0"/>
        <v>100000000</v>
      </c>
      <c r="J20" s="24">
        <f>A20*250</f>
        <v>5000000</v>
      </c>
      <c r="K20" s="270" t="str">
        <f t="shared" si="1"/>
        <v>[[7001,5000000],[7002,5000000],[7003,5000000]]</v>
      </c>
      <c r="L20" s="24">
        <f t="shared" si="2"/>
        <v>576000</v>
      </c>
      <c r="M20" s="24">
        <f t="shared" si="19"/>
        <v>576000</v>
      </c>
      <c r="N20" s="24" t="s">
        <v>692</v>
      </c>
      <c r="O20" s="24">
        <f t="shared" si="41"/>
        <v>100</v>
      </c>
      <c r="P20" s="24">
        <v>120</v>
      </c>
      <c r="Q20" s="24">
        <v>1249</v>
      </c>
      <c r="R20" s="24">
        <v>1607</v>
      </c>
      <c r="S20" s="24">
        <v>9300</v>
      </c>
      <c r="T20" s="24">
        <v>9300</v>
      </c>
      <c r="U20" s="24">
        <v>9500</v>
      </c>
      <c r="V20" s="24">
        <v>9500</v>
      </c>
      <c r="W20" s="45">
        <f>EU35</f>
        <v>720000</v>
      </c>
      <c r="AG20" s="24">
        <v>1</v>
      </c>
      <c r="AH20" s="24">
        <f t="shared" si="5"/>
        <v>16</v>
      </c>
      <c r="AN20" s="68">
        <v>0</v>
      </c>
      <c r="AO20" s="24">
        <f t="shared" si="20"/>
        <v>0.94440000000000002</v>
      </c>
      <c r="AP20" s="277"/>
      <c r="AQ20" s="24" t="str">
        <f t="shared" si="7"/>
        <v>6,1,0.05</v>
      </c>
      <c r="AS20" s="24" t="str">
        <f t="shared" si="8"/>
        <v>[[0,0,0],[0,0,0],[1005,1,0.5]]</v>
      </c>
      <c r="AT20" s="278">
        <v>1</v>
      </c>
      <c r="AU20" s="157">
        <f t="shared" si="39"/>
        <v>0.94440000000000002</v>
      </c>
      <c r="AV20" s="158">
        <f t="shared" si="9"/>
        <v>6671.9999999999973</v>
      </c>
      <c r="AW20" s="279">
        <v>2.5</v>
      </c>
      <c r="CL20" s="183">
        <f>A20/10000*1</f>
        <v>2</v>
      </c>
      <c r="CM20" s="183">
        <v>2</v>
      </c>
      <c r="CN20" s="183">
        <v>1</v>
      </c>
      <c r="CO20" s="183">
        <v>3</v>
      </c>
      <c r="CP20" s="183" t="str">
        <f>CN20&amp;","&amp;CO20</f>
        <v>1,3</v>
      </c>
      <c r="DB20" s="24"/>
      <c r="DC20" s="312">
        <f t="shared" si="14"/>
        <v>0.3</v>
      </c>
      <c r="DD20" s="24">
        <v>6</v>
      </c>
      <c r="DE20" s="24">
        <v>1</v>
      </c>
      <c r="DF20" s="312">
        <f t="shared" si="15"/>
        <v>0.05</v>
      </c>
      <c r="DG20" s="24"/>
      <c r="DH20" s="45">
        <f t="shared" si="16"/>
        <v>400000</v>
      </c>
      <c r="DI20" s="45">
        <v>0</v>
      </c>
      <c r="DJ20" s="45">
        <v>0</v>
      </c>
      <c r="DK20" s="45">
        <v>0</v>
      </c>
      <c r="DL20" s="45">
        <f t="shared" si="17"/>
        <v>600000</v>
      </c>
      <c r="DM20" s="45">
        <v>0</v>
      </c>
      <c r="DN20" s="45">
        <v>0</v>
      </c>
      <c r="DO20" s="45">
        <v>0</v>
      </c>
      <c r="DP20" s="45">
        <f t="shared" si="18"/>
        <v>1000000</v>
      </c>
      <c r="DQ20" s="45">
        <v>1005</v>
      </c>
      <c r="DR20" s="45">
        <v>1</v>
      </c>
      <c r="DS20" s="314">
        <v>0.5</v>
      </c>
    </row>
    <row r="21" spans="1:156" x14ac:dyDescent="0.35">
      <c r="A21" s="50">
        <v>40000</v>
      </c>
      <c r="B21" s="24">
        <v>1</v>
      </c>
      <c r="C21" s="24">
        <f t="shared" si="38"/>
        <v>400</v>
      </c>
      <c r="D21" s="24">
        <v>0.3</v>
      </c>
      <c r="E21" s="24">
        <v>0.3</v>
      </c>
      <c r="F21" s="261">
        <v>0</v>
      </c>
      <c r="G21" s="24">
        <v>-1</v>
      </c>
      <c r="H21" s="24">
        <v>1006</v>
      </c>
      <c r="I21" s="24">
        <f t="shared" si="0"/>
        <v>200000000</v>
      </c>
      <c r="J21" s="24">
        <f>A21*225</f>
        <v>9000000</v>
      </c>
      <c r="K21" s="270" t="str">
        <f t="shared" si="1"/>
        <v>[[7001,9000000],[7002,9000000],[7003,9000000]]</v>
      </c>
      <c r="L21" s="24">
        <f t="shared" si="2"/>
        <v>1152000</v>
      </c>
      <c r="M21" s="24">
        <f t="shared" si="19"/>
        <v>1152000</v>
      </c>
      <c r="N21" s="24" t="s">
        <v>1206</v>
      </c>
      <c r="O21" s="24">
        <f t="shared" si="41"/>
        <v>120</v>
      </c>
      <c r="P21" s="24">
        <v>140</v>
      </c>
      <c r="Q21" s="24">
        <v>624</v>
      </c>
      <c r="R21" s="24">
        <v>1607</v>
      </c>
      <c r="S21" s="107">
        <v>9100</v>
      </c>
      <c r="T21" s="107">
        <v>9100</v>
      </c>
      <c r="U21" s="24">
        <v>9500</v>
      </c>
      <c r="V21" s="24">
        <v>9500</v>
      </c>
      <c r="W21" s="45">
        <f t="shared" ref="W21:W32" si="42">EU36</f>
        <v>1350000</v>
      </c>
      <c r="AG21" s="24">
        <v>1</v>
      </c>
      <c r="AH21" s="24">
        <f t="shared" si="5"/>
        <v>17</v>
      </c>
      <c r="AN21" s="68">
        <v>0</v>
      </c>
      <c r="AO21" s="24">
        <f t="shared" si="20"/>
        <v>0.94440000000000002</v>
      </c>
      <c r="AP21" s="277"/>
      <c r="AQ21" s="24" t="str">
        <f t="shared" si="7"/>
        <v>8,1,0.075</v>
      </c>
      <c r="AS21" s="24" t="str">
        <f t="shared" si="8"/>
        <v>[[0,0,0],[0,0,0],[1006,1,0.5]]</v>
      </c>
      <c r="AT21" s="280">
        <v>0.8</v>
      </c>
      <c r="AU21" s="160">
        <f t="shared" si="39"/>
        <v>0.94440000000000002</v>
      </c>
      <c r="AV21" s="59">
        <f t="shared" si="9"/>
        <v>13343.999999999995</v>
      </c>
      <c r="AW21" s="281">
        <f t="shared" ref="AW21:AW32" si="43">AW$15*(A$15/A21)</f>
        <v>1.25</v>
      </c>
      <c r="CL21" s="183">
        <f t="shared" ref="CL21:CL32" si="44">A21/10000*1</f>
        <v>4</v>
      </c>
      <c r="CM21" s="183">
        <v>3</v>
      </c>
      <c r="CN21" s="183">
        <f>CM21-1</f>
        <v>2</v>
      </c>
      <c r="CO21" s="183">
        <f>CM21+1</f>
        <v>4</v>
      </c>
      <c r="CP21" s="183" t="str">
        <f t="shared" ref="CP21:CP32" si="45">CN21&amp;","&amp;CO21</f>
        <v>2,4</v>
      </c>
      <c r="DB21" s="24"/>
      <c r="DC21" s="312">
        <f t="shared" si="14"/>
        <v>0.6</v>
      </c>
      <c r="DD21" s="24">
        <v>8</v>
      </c>
      <c r="DE21" s="24">
        <v>1</v>
      </c>
      <c r="DF21" s="312">
        <f t="shared" si="15"/>
        <v>7.4999999999999997E-2</v>
      </c>
      <c r="DG21" s="24"/>
      <c r="DH21" s="45">
        <f t="shared" si="16"/>
        <v>800000</v>
      </c>
      <c r="DI21" s="45">
        <v>0</v>
      </c>
      <c r="DJ21" s="45">
        <v>0</v>
      </c>
      <c r="DK21" s="45">
        <v>0</v>
      </c>
      <c r="DL21" s="45">
        <f t="shared" si="17"/>
        <v>1200000</v>
      </c>
      <c r="DM21" s="45">
        <v>0</v>
      </c>
      <c r="DN21" s="45">
        <v>0</v>
      </c>
      <c r="DO21" s="45">
        <v>0</v>
      </c>
      <c r="DP21" s="45">
        <f t="shared" si="18"/>
        <v>2000000</v>
      </c>
      <c r="DQ21" s="45">
        <v>1006</v>
      </c>
      <c r="DR21" s="45">
        <v>1</v>
      </c>
      <c r="DS21" s="314">
        <v>0.5</v>
      </c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5" t="s">
        <v>185</v>
      </c>
      <c r="EK21" s="5" t="s">
        <v>186</v>
      </c>
      <c r="EL21" s="5" t="s">
        <v>187</v>
      </c>
      <c r="EM21" s="5" t="s">
        <v>151</v>
      </c>
      <c r="EN21" s="33"/>
      <c r="EO21" s="5" t="s">
        <v>188</v>
      </c>
      <c r="EP21" s="33"/>
      <c r="EQ21" s="33"/>
      <c r="ER21" s="33"/>
      <c r="ES21" s="33"/>
    </row>
    <row r="22" spans="1:156" x14ac:dyDescent="0.35">
      <c r="A22" s="50">
        <v>60000</v>
      </c>
      <c r="B22" s="24">
        <v>1</v>
      </c>
      <c r="C22" s="24">
        <f t="shared" si="38"/>
        <v>600</v>
      </c>
      <c r="D22" s="24">
        <v>0.3</v>
      </c>
      <c r="E22" s="24">
        <v>0.3</v>
      </c>
      <c r="F22" s="261">
        <v>0</v>
      </c>
      <c r="G22" s="24">
        <v>-1</v>
      </c>
      <c r="H22" s="24">
        <v>1006</v>
      </c>
      <c r="I22" s="24">
        <f t="shared" si="0"/>
        <v>300000000</v>
      </c>
      <c r="J22" s="24">
        <f>A22*200</f>
        <v>12000000</v>
      </c>
      <c r="K22" s="270" t="str">
        <f t="shared" si="1"/>
        <v>[[7001,12000000],[7002,12000000],[7003,12000000]]</v>
      </c>
      <c r="L22" s="24">
        <f t="shared" si="2"/>
        <v>1728000</v>
      </c>
      <c r="M22" s="24">
        <f t="shared" si="19"/>
        <v>1728000</v>
      </c>
      <c r="N22" s="24" t="s">
        <v>1976</v>
      </c>
      <c r="O22" s="24">
        <f t="shared" si="41"/>
        <v>150</v>
      </c>
      <c r="P22" s="24">
        <v>160</v>
      </c>
      <c r="Q22" s="24">
        <v>416</v>
      </c>
      <c r="R22" s="24">
        <v>1607</v>
      </c>
      <c r="S22" s="107">
        <v>9100</v>
      </c>
      <c r="T22" s="107">
        <v>9100</v>
      </c>
      <c r="U22" s="24">
        <v>9500</v>
      </c>
      <c r="V22" s="24">
        <v>9500</v>
      </c>
      <c r="W22" s="45">
        <f t="shared" si="42"/>
        <v>1890000</v>
      </c>
      <c r="AG22" s="24">
        <v>1</v>
      </c>
      <c r="AH22" s="24">
        <f t="shared" si="5"/>
        <v>18</v>
      </c>
      <c r="AN22" s="68">
        <v>0</v>
      </c>
      <c r="AO22" s="24">
        <f t="shared" si="20"/>
        <v>0.94440000000000002</v>
      </c>
      <c r="AP22" s="277"/>
      <c r="AQ22" s="24" t="str">
        <f t="shared" si="7"/>
        <v>10,1,0.09</v>
      </c>
      <c r="AS22" s="24" t="str">
        <f t="shared" si="8"/>
        <v>[[0,0,0],[0,0,0],[1005,3,0.5]]</v>
      </c>
      <c r="AT22" s="280">
        <v>0.6</v>
      </c>
      <c r="AU22" s="160">
        <f t="shared" si="39"/>
        <v>0.94440000000000002</v>
      </c>
      <c r="AV22" s="59">
        <f t="shared" si="9"/>
        <v>20015.999999999993</v>
      </c>
      <c r="AW22" s="282">
        <f t="shared" si="43"/>
        <v>0.83333333333333337</v>
      </c>
      <c r="CL22" s="183">
        <f t="shared" si="44"/>
        <v>6</v>
      </c>
      <c r="CM22" s="183">
        <v>4</v>
      </c>
      <c r="CN22" s="183">
        <v>2</v>
      </c>
      <c r="CO22" s="183">
        <v>6</v>
      </c>
      <c r="CP22" s="183" t="str">
        <f t="shared" si="45"/>
        <v>2,6</v>
      </c>
      <c r="DB22" s="24"/>
      <c r="DC22" s="312">
        <f t="shared" si="14"/>
        <v>0.89999999999999991</v>
      </c>
      <c r="DD22" s="24">
        <v>10</v>
      </c>
      <c r="DE22" s="24">
        <v>1</v>
      </c>
      <c r="DF22" s="312">
        <f t="shared" si="15"/>
        <v>0.09</v>
      </c>
      <c r="DG22" s="24"/>
      <c r="DH22" s="45">
        <f t="shared" si="16"/>
        <v>1200000</v>
      </c>
      <c r="DI22" s="45">
        <v>0</v>
      </c>
      <c r="DJ22" s="45">
        <v>0</v>
      </c>
      <c r="DK22" s="45">
        <v>0</v>
      </c>
      <c r="DL22" s="45">
        <f t="shared" si="17"/>
        <v>1800000</v>
      </c>
      <c r="DM22" s="45">
        <v>0</v>
      </c>
      <c r="DN22" s="45">
        <v>0</v>
      </c>
      <c r="DO22" s="45">
        <v>0</v>
      </c>
      <c r="DP22" s="45">
        <f t="shared" si="18"/>
        <v>3000000</v>
      </c>
      <c r="DQ22" s="45">
        <v>1005</v>
      </c>
      <c r="DR22" s="45">
        <v>3</v>
      </c>
      <c r="DS22" s="314">
        <v>0.5</v>
      </c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2">
        <v>40</v>
      </c>
      <c r="EK22" s="333">
        <v>1</v>
      </c>
      <c r="EL22" s="334">
        <v>1E-3</v>
      </c>
      <c r="EM22" s="335">
        <v>20000</v>
      </c>
      <c r="EN22" s="33"/>
      <c r="EO22" s="317">
        <f>EQ41/EJ22</f>
        <v>93.700000000000017</v>
      </c>
      <c r="EP22" s="33"/>
      <c r="EQ22" s="33"/>
      <c r="ER22" s="33"/>
      <c r="ES22" s="33"/>
    </row>
    <row r="23" spans="1:156" x14ac:dyDescent="0.35">
      <c r="A23" s="50">
        <v>80000</v>
      </c>
      <c r="B23" s="24">
        <v>1</v>
      </c>
      <c r="C23" s="24">
        <f t="shared" si="38"/>
        <v>800</v>
      </c>
      <c r="D23" s="24">
        <v>0.3</v>
      </c>
      <c r="E23" s="24">
        <v>0.3</v>
      </c>
      <c r="F23" s="261">
        <v>0</v>
      </c>
      <c r="G23" s="24">
        <v>-1</v>
      </c>
      <c r="H23" s="24">
        <v>1007</v>
      </c>
      <c r="I23" s="24">
        <f t="shared" si="0"/>
        <v>400000000</v>
      </c>
      <c r="J23" s="24">
        <f>A23*175</f>
        <v>14000000</v>
      </c>
      <c r="K23" s="270" t="str">
        <f t="shared" si="1"/>
        <v>[[7001,14000000],[7002,14000000],[7003,14000000]]</v>
      </c>
      <c r="L23" s="24">
        <f t="shared" si="2"/>
        <v>2304000</v>
      </c>
      <c r="M23" s="24">
        <f t="shared" si="19"/>
        <v>2304000</v>
      </c>
      <c r="N23" s="24" t="s">
        <v>1977</v>
      </c>
      <c r="O23" s="24">
        <f t="shared" si="41"/>
        <v>170</v>
      </c>
      <c r="P23" s="24">
        <v>180</v>
      </c>
      <c r="Q23" s="24">
        <v>312</v>
      </c>
      <c r="R23" s="24">
        <v>1607</v>
      </c>
      <c r="S23" s="107">
        <v>9100</v>
      </c>
      <c r="T23" s="107">
        <v>9100</v>
      </c>
      <c r="U23" s="24">
        <v>9500</v>
      </c>
      <c r="V23" s="24">
        <v>9500</v>
      </c>
      <c r="W23" s="45">
        <f t="shared" si="42"/>
        <v>2340000</v>
      </c>
      <c r="AG23" s="24">
        <v>1</v>
      </c>
      <c r="AH23" s="24">
        <f t="shared" si="5"/>
        <v>19</v>
      </c>
      <c r="AN23" s="68">
        <v>0</v>
      </c>
      <c r="AO23" s="24">
        <f t="shared" si="20"/>
        <v>0.94440000000000002</v>
      </c>
      <c r="AP23" s="277"/>
      <c r="AQ23" s="24" t="str">
        <f t="shared" si="7"/>
        <v>12,1,0.1</v>
      </c>
      <c r="AS23" s="24" t="str">
        <f t="shared" si="8"/>
        <v>[[0,0,0],[0,0,0],[1006,2,0.5]]</v>
      </c>
      <c r="AT23" s="280">
        <v>0.5</v>
      </c>
      <c r="AU23" s="160">
        <f t="shared" si="39"/>
        <v>0.94440000000000002</v>
      </c>
      <c r="AV23" s="59">
        <f t="shared" si="9"/>
        <v>26687.999999999989</v>
      </c>
      <c r="AW23" s="281">
        <f t="shared" si="43"/>
        <v>0.625</v>
      </c>
      <c r="BU23" s="300" t="s">
        <v>189</v>
      </c>
      <c r="CL23" s="183">
        <f t="shared" si="44"/>
        <v>8</v>
      </c>
      <c r="CM23" s="183">
        <v>5</v>
      </c>
      <c r="CN23" s="183">
        <f t="shared" ref="CN23:CN30" si="46">CM23-1</f>
        <v>4</v>
      </c>
      <c r="CO23" s="183">
        <f t="shared" ref="CO23:CO30" si="47">CM23+1</f>
        <v>6</v>
      </c>
      <c r="CP23" s="183" t="str">
        <f t="shared" si="45"/>
        <v>4,6</v>
      </c>
      <c r="DB23" s="24"/>
      <c r="DC23" s="312">
        <f t="shared" si="14"/>
        <v>1.2</v>
      </c>
      <c r="DD23" s="24">
        <v>12</v>
      </c>
      <c r="DE23" s="24">
        <v>1</v>
      </c>
      <c r="DF23" s="312">
        <f t="shared" si="15"/>
        <v>0.1</v>
      </c>
      <c r="DG23" s="24"/>
      <c r="DH23" s="45">
        <f t="shared" si="16"/>
        <v>1600000</v>
      </c>
      <c r="DI23" s="45">
        <v>0</v>
      </c>
      <c r="DJ23" s="45">
        <v>0</v>
      </c>
      <c r="DK23" s="45">
        <v>0</v>
      </c>
      <c r="DL23" s="45">
        <f t="shared" si="17"/>
        <v>2400000</v>
      </c>
      <c r="DM23" s="45">
        <v>0</v>
      </c>
      <c r="DN23" s="45">
        <v>0</v>
      </c>
      <c r="DO23" s="45">
        <v>0</v>
      </c>
      <c r="DP23" s="45">
        <f t="shared" si="18"/>
        <v>4000000</v>
      </c>
      <c r="DQ23" s="45">
        <v>1006</v>
      </c>
      <c r="DR23" s="45">
        <v>2</v>
      </c>
      <c r="DS23" s="314">
        <v>0.5</v>
      </c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18" t="s">
        <v>190</v>
      </c>
      <c r="EH23" s="318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</row>
    <row r="24" spans="1:156" x14ac:dyDescent="0.35">
      <c r="A24" s="50">
        <v>100000</v>
      </c>
      <c r="B24" s="24">
        <v>1</v>
      </c>
      <c r="C24" s="24">
        <f t="shared" si="38"/>
        <v>1000</v>
      </c>
      <c r="D24" s="24">
        <v>0.3</v>
      </c>
      <c r="E24" s="24">
        <v>0.3</v>
      </c>
      <c r="F24" s="261">
        <v>100000000</v>
      </c>
      <c r="G24" s="24">
        <v>-1</v>
      </c>
      <c r="H24" s="24">
        <v>1007</v>
      </c>
      <c r="I24" s="24">
        <f t="shared" si="0"/>
        <v>500000000</v>
      </c>
      <c r="J24" s="24">
        <f>A24*150</f>
        <v>15000000</v>
      </c>
      <c r="K24" s="270" t="str">
        <f t="shared" si="1"/>
        <v>[[7001,15000000],[7002,15000000],[7003,15000000]]</v>
      </c>
      <c r="L24" s="24">
        <v>2880000</v>
      </c>
      <c r="M24" s="24">
        <f t="shared" si="19"/>
        <v>2880000</v>
      </c>
      <c r="N24" s="24" t="s">
        <v>1978</v>
      </c>
      <c r="O24" s="24">
        <f t="shared" si="41"/>
        <v>200</v>
      </c>
      <c r="P24" s="24">
        <v>200</v>
      </c>
      <c r="Q24" s="24">
        <v>249</v>
      </c>
      <c r="R24" s="24">
        <v>1607</v>
      </c>
      <c r="S24" s="107">
        <v>9100</v>
      </c>
      <c r="T24" s="107">
        <v>9100</v>
      </c>
      <c r="U24" s="24">
        <v>9500</v>
      </c>
      <c r="V24" s="24">
        <v>9500</v>
      </c>
      <c r="W24" s="45">
        <f t="shared" si="42"/>
        <v>2700000</v>
      </c>
      <c r="X24" s="270"/>
      <c r="Y24" s="270"/>
      <c r="Z24" s="273"/>
      <c r="AA24" s="270"/>
      <c r="AB24" s="270"/>
      <c r="AC24" s="270"/>
      <c r="AD24" s="270"/>
      <c r="AG24" s="24">
        <v>1</v>
      </c>
      <c r="AH24" s="24">
        <f t="shared" si="5"/>
        <v>20</v>
      </c>
      <c r="AN24" s="68">
        <v>0</v>
      </c>
      <c r="AO24" s="24">
        <f t="shared" si="20"/>
        <v>0.94440000000000002</v>
      </c>
      <c r="AP24" s="277"/>
      <c r="AQ24" s="24" t="str">
        <f t="shared" si="7"/>
        <v>15,1,0.1</v>
      </c>
      <c r="AS24" s="24" t="str">
        <f t="shared" si="8"/>
        <v>[[0,0,0],[1005,3,0.3],[1007,1,0.5]]</v>
      </c>
      <c r="AT24" s="280">
        <v>0.46300000000000002</v>
      </c>
      <c r="AU24" s="162">
        <f t="shared" si="39"/>
        <v>0.94440000000000002</v>
      </c>
      <c r="AV24" s="163">
        <f t="shared" si="9"/>
        <v>33359.999999999985</v>
      </c>
      <c r="AW24" s="283">
        <f t="shared" si="43"/>
        <v>0.5</v>
      </c>
      <c r="CL24" s="183">
        <f t="shared" si="44"/>
        <v>10</v>
      </c>
      <c r="CM24" s="183">
        <v>6</v>
      </c>
      <c r="CN24" s="183">
        <v>4</v>
      </c>
      <c r="CO24" s="183">
        <v>8</v>
      </c>
      <c r="CP24" s="183" t="str">
        <f t="shared" si="45"/>
        <v>4,8</v>
      </c>
      <c r="DB24" s="24"/>
      <c r="DC24" s="312">
        <f t="shared" si="14"/>
        <v>1.4999999999999998</v>
      </c>
      <c r="DD24" s="24">
        <v>15</v>
      </c>
      <c r="DE24" s="24">
        <v>1</v>
      </c>
      <c r="DF24" s="312">
        <f t="shared" si="15"/>
        <v>0.1</v>
      </c>
      <c r="DG24" s="24"/>
      <c r="DH24" s="45">
        <f t="shared" si="16"/>
        <v>2000000</v>
      </c>
      <c r="DI24" s="45">
        <v>0</v>
      </c>
      <c r="DJ24" s="45">
        <v>0</v>
      </c>
      <c r="DK24" s="45">
        <v>0</v>
      </c>
      <c r="DL24" s="45">
        <f t="shared" si="17"/>
        <v>3000000</v>
      </c>
      <c r="DM24" s="45">
        <v>1005</v>
      </c>
      <c r="DN24" s="45">
        <v>3</v>
      </c>
      <c r="DO24" s="314">
        <v>0.3</v>
      </c>
      <c r="DP24" s="45">
        <f t="shared" si="18"/>
        <v>5000000</v>
      </c>
      <c r="DQ24" s="45">
        <v>1007</v>
      </c>
      <c r="DR24" s="45">
        <v>1</v>
      </c>
      <c r="DS24" s="314">
        <v>0.5</v>
      </c>
      <c r="DW24" s="5" t="s">
        <v>191</v>
      </c>
      <c r="DX24" s="5" t="s">
        <v>192</v>
      </c>
      <c r="DY24" s="76" t="s">
        <v>160</v>
      </c>
      <c r="DZ24" s="5" t="s">
        <v>163</v>
      </c>
      <c r="EA24" s="5" t="s">
        <v>193</v>
      </c>
      <c r="EB24" s="5" t="s">
        <v>194</v>
      </c>
      <c r="EC24" s="5" t="s">
        <v>195</v>
      </c>
      <c r="ED24" s="5" t="s">
        <v>196</v>
      </c>
      <c r="EE24" s="5" t="s">
        <v>197</v>
      </c>
      <c r="EF24" s="5" t="s">
        <v>198</v>
      </c>
      <c r="EG24" s="319" t="s">
        <v>199</v>
      </c>
      <c r="EH24" s="319" t="s">
        <v>172</v>
      </c>
      <c r="EI24" s="33"/>
      <c r="EJ24" s="5" t="s">
        <v>200</v>
      </c>
      <c r="EK24" s="5" t="s">
        <v>201</v>
      </c>
      <c r="EL24" s="5" t="s">
        <v>163</v>
      </c>
      <c r="EM24" s="5" t="s">
        <v>202</v>
      </c>
      <c r="EN24" s="5" t="s">
        <v>203</v>
      </c>
      <c r="EO24" s="5" t="s">
        <v>204</v>
      </c>
      <c r="EP24" s="5" t="s">
        <v>205</v>
      </c>
      <c r="EQ24" s="5" t="s">
        <v>206</v>
      </c>
      <c r="ER24" s="5" t="s">
        <v>207</v>
      </c>
      <c r="ES24" s="5" t="s">
        <v>208</v>
      </c>
    </row>
    <row r="25" spans="1:156" ht="16.2" x14ac:dyDescent="0.4">
      <c r="A25" s="262">
        <v>150000</v>
      </c>
      <c r="B25" s="24">
        <v>1</v>
      </c>
      <c r="C25" s="24">
        <f t="shared" si="38"/>
        <v>2000</v>
      </c>
      <c r="D25" s="24">
        <v>0.3</v>
      </c>
      <c r="E25" s="24">
        <v>0.3</v>
      </c>
      <c r="F25" s="261">
        <v>20000000</v>
      </c>
      <c r="G25" s="24">
        <v>-1</v>
      </c>
      <c r="H25" s="24">
        <v>1007</v>
      </c>
      <c r="I25" s="24">
        <f t="shared" si="0"/>
        <v>750000000</v>
      </c>
      <c r="J25" s="24">
        <f t="shared" ref="J25:J32" si="48">A25*150</f>
        <v>22500000</v>
      </c>
      <c r="K25" s="270" t="str">
        <f t="shared" si="1"/>
        <v>[[7001,22500000],[7002,22500000],[7003,22500000]]</v>
      </c>
      <c r="L25" s="24">
        <v>2880000</v>
      </c>
      <c r="M25" s="24">
        <f t="shared" ref="M25" si="49">L25</f>
        <v>2880000</v>
      </c>
      <c r="N25" s="24" t="s">
        <v>1233</v>
      </c>
      <c r="O25" s="24">
        <v>210</v>
      </c>
      <c r="P25" s="24">
        <v>210</v>
      </c>
      <c r="Q25" s="24">
        <v>240</v>
      </c>
      <c r="R25" s="24">
        <v>1607</v>
      </c>
      <c r="S25" s="107">
        <v>9100</v>
      </c>
      <c r="T25" s="107">
        <v>9100</v>
      </c>
      <c r="U25" s="24">
        <v>9500</v>
      </c>
      <c r="V25" s="24">
        <v>9500</v>
      </c>
      <c r="W25" s="45">
        <f t="shared" si="42"/>
        <v>3881250</v>
      </c>
      <c r="X25" s="270" t="str">
        <f>"1|1|"&amp;EI10&amp;",2|2301|"&amp;EK10&amp;",2|2302|"&amp;EK10&amp;",2|2303|"&amp;EK10&amp;",2|2304|"&amp;EK10</f>
        <v>1|1|100,2|2301|5,2|2302|5,2|2303|5,2|2304|5</v>
      </c>
      <c r="Y25" s="270">
        <f>EL10*10000</f>
        <v>10000</v>
      </c>
      <c r="Z25" s="273" t="str">
        <f t="shared" ref="Z25:Z32" si="50">"2|2300|"&amp;(EV10-ROUNDUP(EV10*EW10,0)&amp;",2|2300|"&amp;(EV10+ROUNDUP(EV10*EW10,0)))</f>
        <v>2|2300|4,2|2300|6</v>
      </c>
      <c r="AA25" s="270" t="str">
        <f>"2|2300|"&amp;EY10</f>
        <v>2|2300|200</v>
      </c>
      <c r="AB25" s="270">
        <v>10000</v>
      </c>
      <c r="AC25" s="270">
        <v>1</v>
      </c>
      <c r="AD25" s="270" t="s">
        <v>209</v>
      </c>
      <c r="AG25" s="24">
        <v>1</v>
      </c>
      <c r="AH25" s="24">
        <f t="shared" si="5"/>
        <v>21</v>
      </c>
      <c r="AN25" s="68">
        <v>0</v>
      </c>
      <c r="AO25" s="24">
        <f t="shared" ref="AO25" si="51">AU25</f>
        <v>0.94440000000000002</v>
      </c>
      <c r="AP25" s="277"/>
      <c r="AQ25" s="24" t="str">
        <f t="shared" ref="AQ25" si="52">DD25&amp;","&amp;DE25&amp;","&amp;DF25</f>
        <v>15,1,0.15</v>
      </c>
      <c r="AS25" s="24" t="str">
        <f t="shared" ref="AS25" si="53">"[["&amp;DI25&amp;","&amp;DJ25&amp;","&amp;DK25&amp;"],["&amp;DM25&amp;","&amp;DN25&amp;","&amp;DO25&amp;"],["&amp;DQ25&amp;","&amp;DR25&amp;","&amp;DS25&amp;"]]"</f>
        <v>[[0,0,0],[1005,3,0.3],[1007,1,0.5]]</v>
      </c>
      <c r="AT25" s="280">
        <v>0.34</v>
      </c>
      <c r="AU25" s="162">
        <f t="shared" si="39"/>
        <v>0.94440000000000002</v>
      </c>
      <c r="AV25" s="163">
        <f t="shared" si="9"/>
        <v>50039.999999999985</v>
      </c>
      <c r="AW25" s="283">
        <f t="shared" si="43"/>
        <v>0.33333333333333337</v>
      </c>
      <c r="CL25" s="183">
        <f t="shared" si="44"/>
        <v>15</v>
      </c>
      <c r="CM25" s="183">
        <v>7</v>
      </c>
      <c r="CN25" s="183">
        <f t="shared" si="46"/>
        <v>6</v>
      </c>
      <c r="CO25" s="183">
        <f t="shared" si="47"/>
        <v>8</v>
      </c>
      <c r="CP25" s="183" t="str">
        <f t="shared" si="45"/>
        <v>6,8</v>
      </c>
      <c r="DB25" s="24"/>
      <c r="DC25" s="312">
        <f t="shared" si="14"/>
        <v>2.25</v>
      </c>
      <c r="DD25" s="24">
        <v>15</v>
      </c>
      <c r="DE25" s="24">
        <v>1</v>
      </c>
      <c r="DF25" s="312">
        <f t="shared" ref="DF25" si="54">ROUND(DC25/DD25,6)</f>
        <v>0.15</v>
      </c>
      <c r="DG25" s="24"/>
      <c r="DH25" s="45">
        <f t="shared" si="16"/>
        <v>3000000</v>
      </c>
      <c r="DI25" s="45">
        <v>0</v>
      </c>
      <c r="DJ25" s="45">
        <v>0</v>
      </c>
      <c r="DK25" s="45">
        <v>0</v>
      </c>
      <c r="DL25" s="45">
        <f t="shared" si="17"/>
        <v>4500000</v>
      </c>
      <c r="DM25" s="45">
        <v>1005</v>
      </c>
      <c r="DN25" s="45">
        <v>3</v>
      </c>
      <c r="DO25" s="314">
        <v>0.3</v>
      </c>
      <c r="DP25" s="45">
        <f t="shared" si="18"/>
        <v>7500000</v>
      </c>
      <c r="DQ25" s="45">
        <v>1007</v>
      </c>
      <c r="DR25" s="45">
        <v>1</v>
      </c>
      <c r="DS25" s="314">
        <v>0.5</v>
      </c>
      <c r="DW25" s="270">
        <v>150000</v>
      </c>
      <c r="DX25" s="315">
        <f>EP25</f>
        <v>160</v>
      </c>
      <c r="DY25" s="316">
        <v>100</v>
      </c>
      <c r="DZ25" s="320">
        <f t="shared" ref="DZ25:DZ32" si="55">EL25</f>
        <v>1</v>
      </c>
      <c r="EA25" s="33">
        <f t="shared" ref="EA25:EA32" si="56">ROUND(EO25,0)</f>
        <v>32</v>
      </c>
      <c r="EB25" s="321">
        <v>0.2</v>
      </c>
      <c r="EC25" s="317">
        <f>EC26/2</f>
        <v>16</v>
      </c>
      <c r="ED25" s="270">
        <v>10000</v>
      </c>
      <c r="EE25" s="317">
        <f t="shared" ref="EE25:EE32" si="57">(DX25-EA25*$EK$22*(1-DZ25))/DZ25</f>
        <v>160</v>
      </c>
      <c r="EF25" s="317">
        <f t="shared" ref="EF25:EF32" si="58">DY25/DX25*EE25</f>
        <v>100</v>
      </c>
      <c r="EG25" s="322">
        <f>ROUND(DX25/4/5,0)*20</f>
        <v>160</v>
      </c>
      <c r="EH25" s="322">
        <f>ROUND(EC25/10,0)*10</f>
        <v>20</v>
      </c>
      <c r="EI25" s="33">
        <f>EG25/4</f>
        <v>40</v>
      </c>
      <c r="EJ25" s="332">
        <v>4</v>
      </c>
      <c r="EK25" s="317">
        <f t="shared" ref="EK25:EK32" si="59">EJ25*$EJ$22</f>
        <v>160</v>
      </c>
      <c r="EL25" s="334">
        <v>1</v>
      </c>
      <c r="EM25" s="336">
        <f t="shared" ref="EM25:EM32" si="60">1-EL25</f>
        <v>0</v>
      </c>
      <c r="EN25" s="337">
        <f>MAX(1/(1/MIN(EL25:EL32)-1),20%)</f>
        <v>0.2</v>
      </c>
      <c r="EO25" s="317">
        <f t="shared" ref="EO25:EO32" si="61">EK25*EN25/$EK$22</f>
        <v>32</v>
      </c>
      <c r="EP25" s="317">
        <f t="shared" ref="EP25:EP32" si="62">EK25*EL25+EO25*$EK$22*EM25</f>
        <v>160</v>
      </c>
      <c r="EQ25" s="317">
        <f t="shared" ref="EQ25:EQ32" si="63">EK25/$EK$22-EP25/$EK$22</f>
        <v>0</v>
      </c>
      <c r="ER25" s="33">
        <f t="shared" ref="ER25:ER32" si="64">EJ25*$EU$25*$EU$26*3600*$EU$28*$EL$22/$EM$22</f>
        <v>432</v>
      </c>
      <c r="ES25" s="317">
        <f t="shared" ref="ES25:ES32" si="65">ER25/EK25*EP25</f>
        <v>432</v>
      </c>
      <c r="ET25" s="350" t="s">
        <v>210</v>
      </c>
      <c r="EU25" s="351">
        <v>1</v>
      </c>
    </row>
    <row r="26" spans="1:156" ht="16.2" x14ac:dyDescent="0.4">
      <c r="A26" s="262">
        <v>200000</v>
      </c>
      <c r="B26" s="24">
        <v>1</v>
      </c>
      <c r="C26" s="24">
        <f t="shared" si="38"/>
        <v>4000</v>
      </c>
      <c r="D26" s="24">
        <v>0.3</v>
      </c>
      <c r="E26" s="24">
        <v>0.3</v>
      </c>
      <c r="F26" s="261">
        <v>10000000</v>
      </c>
      <c r="G26" s="24">
        <v>-1</v>
      </c>
      <c r="H26" s="24">
        <v>1007</v>
      </c>
      <c r="I26" s="24">
        <f t="shared" si="0"/>
        <v>1000000000</v>
      </c>
      <c r="J26" s="24">
        <f t="shared" si="48"/>
        <v>30000000</v>
      </c>
      <c r="K26" s="270" t="str">
        <f t="shared" si="1"/>
        <v>[[7001,30000000],[7002,30000000],[7003,30000000]]</v>
      </c>
      <c r="L26" s="24">
        <v>2880000</v>
      </c>
      <c r="M26" s="24">
        <f t="shared" ref="M26" si="66">L26</f>
        <v>2880000</v>
      </c>
      <c r="N26" s="24" t="s">
        <v>1233</v>
      </c>
      <c r="O26" s="24">
        <v>220</v>
      </c>
      <c r="P26" s="24">
        <v>220</v>
      </c>
      <c r="Q26" s="24">
        <v>230</v>
      </c>
      <c r="R26" s="24">
        <v>1607</v>
      </c>
      <c r="S26" s="107">
        <v>9100</v>
      </c>
      <c r="T26" s="107">
        <v>9100</v>
      </c>
      <c r="U26" s="24">
        <v>9500</v>
      </c>
      <c r="V26" s="24">
        <v>9500</v>
      </c>
      <c r="W26" s="45">
        <f t="shared" si="42"/>
        <v>4950000</v>
      </c>
      <c r="X26" s="270" t="str">
        <f t="shared" ref="X26:X32" si="67">"1|1|"&amp;EI11&amp;",2|2301|"&amp;EK11&amp;",2|2302|"&amp;EK11&amp;",2|2303|"&amp;EK11&amp;",2|2304|"&amp;EK11</f>
        <v>1|1|200,2|2301|10,2|2302|10,2|2303|10,2|2304|10</v>
      </c>
      <c r="Y26" s="270">
        <f t="shared" ref="Y26:Y32" si="68">EL11*10000</f>
        <v>5000</v>
      </c>
      <c r="Z26" s="273" t="str">
        <f t="shared" si="50"/>
        <v>2|2300|8,2|2300|12</v>
      </c>
      <c r="AA26" s="270" t="str">
        <f t="shared" ref="AA26:AA32" si="69">"2|2300|"&amp;EY11</f>
        <v>2|2300|500</v>
      </c>
      <c r="AB26" s="270">
        <v>10000</v>
      </c>
      <c r="AC26" s="270">
        <v>1</v>
      </c>
      <c r="AD26" s="270" t="s">
        <v>211</v>
      </c>
      <c r="AG26" s="24">
        <v>1</v>
      </c>
      <c r="AH26" s="24">
        <f t="shared" si="5"/>
        <v>22</v>
      </c>
      <c r="AN26" s="68">
        <v>0</v>
      </c>
      <c r="AO26" s="24">
        <f t="shared" ref="AO26" si="70">AU26</f>
        <v>0.94440000000000002</v>
      </c>
      <c r="AP26" s="277"/>
      <c r="AQ26" s="24" t="str">
        <f t="shared" ref="AQ26" si="71">DD26&amp;","&amp;DE26&amp;","&amp;DF26</f>
        <v>15,1,0.2</v>
      </c>
      <c r="AS26" s="24" t="str">
        <f t="shared" ref="AS26" si="72">"[["&amp;DI26&amp;","&amp;DJ26&amp;","&amp;DK26&amp;"],["&amp;DM26&amp;","&amp;DN26&amp;","&amp;DO26&amp;"],["&amp;DQ26&amp;","&amp;DR26&amp;","&amp;DS26&amp;"]]"</f>
        <v>[[0,0,0],[1005,3,0.3],[1007,1,0.5]]</v>
      </c>
      <c r="AT26" s="280">
        <v>0.27</v>
      </c>
      <c r="AU26" s="162">
        <f t="shared" si="39"/>
        <v>0.94440000000000002</v>
      </c>
      <c r="AV26" s="163">
        <f t="shared" si="9"/>
        <v>66719.999999999971</v>
      </c>
      <c r="AW26" s="283">
        <f t="shared" si="43"/>
        <v>0.25</v>
      </c>
      <c r="CL26" s="183">
        <f t="shared" si="44"/>
        <v>20</v>
      </c>
      <c r="CM26" s="183">
        <v>7</v>
      </c>
      <c r="CN26" s="183">
        <f t="shared" si="46"/>
        <v>6</v>
      </c>
      <c r="CO26" s="183">
        <f t="shared" si="47"/>
        <v>8</v>
      </c>
      <c r="CP26" s="183" t="str">
        <f t="shared" si="45"/>
        <v>6,8</v>
      </c>
      <c r="DB26" s="24"/>
      <c r="DC26" s="312">
        <f t="shared" si="14"/>
        <v>2.9999999999999996</v>
      </c>
      <c r="DD26" s="24">
        <v>15</v>
      </c>
      <c r="DE26" s="24">
        <v>1</v>
      </c>
      <c r="DF26" s="312">
        <f t="shared" ref="DF26" si="73">ROUND(DC26/DD26,6)</f>
        <v>0.2</v>
      </c>
      <c r="DG26" s="24"/>
      <c r="DH26" s="45">
        <f t="shared" si="16"/>
        <v>4000000</v>
      </c>
      <c r="DI26" s="45">
        <v>0</v>
      </c>
      <c r="DJ26" s="45">
        <v>0</v>
      </c>
      <c r="DK26" s="45">
        <v>0</v>
      </c>
      <c r="DL26" s="45">
        <f t="shared" si="17"/>
        <v>6000000</v>
      </c>
      <c r="DM26" s="45">
        <v>1005</v>
      </c>
      <c r="DN26" s="45">
        <v>3</v>
      </c>
      <c r="DO26" s="314">
        <v>0.3</v>
      </c>
      <c r="DP26" s="45">
        <f t="shared" si="18"/>
        <v>10000000</v>
      </c>
      <c r="DQ26" s="45">
        <v>1007</v>
      </c>
      <c r="DR26" s="45">
        <v>1</v>
      </c>
      <c r="DS26" s="314">
        <v>0.5</v>
      </c>
      <c r="DW26" s="270">
        <v>200000</v>
      </c>
      <c r="DX26" s="315">
        <f t="shared" ref="DX26:DX32" si="74">EP26</f>
        <v>168</v>
      </c>
      <c r="DY26" s="316">
        <v>200</v>
      </c>
      <c r="DZ26" s="320">
        <f t="shared" si="55"/>
        <v>0.8</v>
      </c>
      <c r="EA26" s="33">
        <f t="shared" si="56"/>
        <v>40</v>
      </c>
      <c r="EB26" s="323">
        <f>EB25</f>
        <v>0.2</v>
      </c>
      <c r="EC26" s="317">
        <f>(EE26-DX26)/$EK$22</f>
        <v>32</v>
      </c>
      <c r="ED26" s="270">
        <v>10000</v>
      </c>
      <c r="EE26" s="317">
        <f t="shared" si="57"/>
        <v>200</v>
      </c>
      <c r="EF26" s="317">
        <f t="shared" si="58"/>
        <v>238.0952380952381</v>
      </c>
      <c r="EG26" s="322">
        <f t="shared" ref="EG26:EG32" si="75">ROUND(DX26/4/5,0)*20</f>
        <v>160</v>
      </c>
      <c r="EH26" s="322">
        <f t="shared" ref="EH26:EH32" si="76">ROUND(EC26/10,0)*10</f>
        <v>30</v>
      </c>
      <c r="EI26" s="33">
        <f t="shared" ref="EI26:EI32" si="77">EG26/4</f>
        <v>40</v>
      </c>
      <c r="EJ26" s="338">
        <f>$EL$25/EL26*$EJ$25</f>
        <v>5</v>
      </c>
      <c r="EK26" s="317">
        <f t="shared" si="59"/>
        <v>200</v>
      </c>
      <c r="EL26" s="334">
        <v>0.8</v>
      </c>
      <c r="EM26" s="336">
        <f t="shared" si="60"/>
        <v>0.19999999999999996</v>
      </c>
      <c r="EN26" s="339">
        <f>EN25</f>
        <v>0.2</v>
      </c>
      <c r="EO26" s="317">
        <f t="shared" si="61"/>
        <v>40</v>
      </c>
      <c r="EP26" s="317">
        <f t="shared" si="62"/>
        <v>168</v>
      </c>
      <c r="EQ26" s="317">
        <f t="shared" si="63"/>
        <v>32</v>
      </c>
      <c r="ER26" s="33">
        <f t="shared" si="64"/>
        <v>540</v>
      </c>
      <c r="ES26" s="317">
        <f t="shared" si="65"/>
        <v>453.6</v>
      </c>
      <c r="ET26" s="352" t="s">
        <v>212</v>
      </c>
      <c r="EU26" s="353">
        <v>6</v>
      </c>
    </row>
    <row r="27" spans="1:156" ht="16.2" x14ac:dyDescent="0.4">
      <c r="A27" s="262">
        <v>250000</v>
      </c>
      <c r="B27" s="24">
        <v>1</v>
      </c>
      <c r="C27" s="24">
        <f t="shared" si="38"/>
        <v>6000</v>
      </c>
      <c r="D27" s="24">
        <v>0.3</v>
      </c>
      <c r="E27" s="24">
        <v>0.3</v>
      </c>
      <c r="F27" s="261">
        <v>1000000</v>
      </c>
      <c r="G27" s="24">
        <v>-1</v>
      </c>
      <c r="H27" s="24">
        <v>1007</v>
      </c>
      <c r="I27" s="24">
        <f t="shared" si="0"/>
        <v>1250000000</v>
      </c>
      <c r="J27" s="24">
        <f t="shared" si="48"/>
        <v>37500000</v>
      </c>
      <c r="K27" s="270" t="str">
        <f t="shared" si="1"/>
        <v>[[7001,37500000],[7002,37500000],[7003,37500000]]</v>
      </c>
      <c r="L27" s="24">
        <v>2880000</v>
      </c>
      <c r="M27" s="24">
        <f t="shared" ref="M27:M28" si="78">L27</f>
        <v>2880000</v>
      </c>
      <c r="N27" s="24" t="s">
        <v>1511</v>
      </c>
      <c r="O27" s="24">
        <v>230</v>
      </c>
      <c r="P27" s="24">
        <v>230</v>
      </c>
      <c r="Q27" s="24">
        <v>220</v>
      </c>
      <c r="R27" s="24">
        <v>1607</v>
      </c>
      <c r="S27" s="107">
        <v>9100</v>
      </c>
      <c r="T27" s="107">
        <v>9100</v>
      </c>
      <c r="U27" s="24">
        <v>9500</v>
      </c>
      <c r="V27" s="24">
        <v>9500</v>
      </c>
      <c r="W27" s="45">
        <f t="shared" si="42"/>
        <v>5906250</v>
      </c>
      <c r="X27" s="270" t="str">
        <f t="shared" si="67"/>
        <v>1|1|300,2|2301|15,2|2302|15,2|2303|15,2|2304|15</v>
      </c>
      <c r="Y27" s="270">
        <f t="shared" si="68"/>
        <v>3000</v>
      </c>
      <c r="Z27" s="273" t="str">
        <f t="shared" si="50"/>
        <v>2|2300|12,2|2300|18</v>
      </c>
      <c r="AA27" s="270" t="str">
        <f t="shared" si="69"/>
        <v>2|2300|800</v>
      </c>
      <c r="AB27" s="270">
        <v>10000</v>
      </c>
      <c r="AC27" s="270">
        <v>1</v>
      </c>
      <c r="AD27" s="270" t="s">
        <v>213</v>
      </c>
      <c r="AG27" s="24">
        <v>1</v>
      </c>
      <c r="AH27" s="24">
        <f t="shared" si="5"/>
        <v>23</v>
      </c>
      <c r="AN27" s="68">
        <v>0</v>
      </c>
      <c r="AO27" s="24">
        <f t="shared" ref="AO27:AO28" si="79">AU27</f>
        <v>0.94440000000000002</v>
      </c>
      <c r="AP27" s="277"/>
      <c r="AQ27" s="24" t="str">
        <f t="shared" ref="AQ27:AQ28" si="80">DD27&amp;","&amp;DE27&amp;","&amp;DF27</f>
        <v>15,1,0.25</v>
      </c>
      <c r="AS27" s="24" t="str">
        <f t="shared" ref="AS27:AS28" si="81">"[["&amp;DI27&amp;","&amp;DJ27&amp;","&amp;DK27&amp;"],["&amp;DM27&amp;","&amp;DN27&amp;","&amp;DO27&amp;"],["&amp;DQ27&amp;","&amp;DR27&amp;","&amp;DS27&amp;"]]"</f>
        <v>[[0,0,0],[1005,3,0.3],[1007,1,0.5]]</v>
      </c>
      <c r="AT27" s="280">
        <v>0.24</v>
      </c>
      <c r="AU27" s="162">
        <f t="shared" si="39"/>
        <v>0.94440000000000002</v>
      </c>
      <c r="AV27" s="163">
        <f t="shared" si="9"/>
        <v>83399.999999999971</v>
      </c>
      <c r="AW27" s="283">
        <f t="shared" si="43"/>
        <v>0.2</v>
      </c>
      <c r="CL27" s="183">
        <f t="shared" si="44"/>
        <v>25</v>
      </c>
      <c r="CM27" s="183">
        <v>8</v>
      </c>
      <c r="CN27" s="183">
        <v>6</v>
      </c>
      <c r="CO27" s="183">
        <v>10</v>
      </c>
      <c r="CP27" s="183" t="str">
        <f t="shared" si="45"/>
        <v>6,10</v>
      </c>
      <c r="DB27" s="24"/>
      <c r="DC27" s="312">
        <f t="shared" si="14"/>
        <v>3.7499999999999996</v>
      </c>
      <c r="DD27" s="24">
        <v>15</v>
      </c>
      <c r="DE27" s="24">
        <v>1</v>
      </c>
      <c r="DF27" s="312">
        <f t="shared" ref="DF27:DF28" si="82">ROUND(DC27/DD27,6)</f>
        <v>0.25</v>
      </c>
      <c r="DG27" s="24"/>
      <c r="DH27" s="45">
        <f t="shared" si="16"/>
        <v>5000000</v>
      </c>
      <c r="DI27" s="45">
        <v>0</v>
      </c>
      <c r="DJ27" s="45">
        <v>0</v>
      </c>
      <c r="DK27" s="45">
        <v>0</v>
      </c>
      <c r="DL27" s="45">
        <f t="shared" si="17"/>
        <v>7500000</v>
      </c>
      <c r="DM27" s="45">
        <v>1005</v>
      </c>
      <c r="DN27" s="45">
        <v>3</v>
      </c>
      <c r="DO27" s="314">
        <v>0.3</v>
      </c>
      <c r="DP27" s="45">
        <f t="shared" si="18"/>
        <v>12500000</v>
      </c>
      <c r="DQ27" s="45">
        <v>1007</v>
      </c>
      <c r="DR27" s="45">
        <v>1</v>
      </c>
      <c r="DS27" s="314">
        <v>0.5</v>
      </c>
      <c r="DW27" s="270">
        <v>250000</v>
      </c>
      <c r="DX27" s="315">
        <f t="shared" si="74"/>
        <v>181.33333333333334</v>
      </c>
      <c r="DY27" s="316">
        <v>300</v>
      </c>
      <c r="DZ27" s="320">
        <f t="shared" si="55"/>
        <v>0.6</v>
      </c>
      <c r="EA27" s="33">
        <f t="shared" si="56"/>
        <v>53</v>
      </c>
      <c r="EB27" s="323">
        <f t="shared" ref="EB27:EB32" si="83">EB26</f>
        <v>0.2</v>
      </c>
      <c r="EC27" s="317">
        <f t="shared" ref="EC27:EC32" si="84">(EE27-DX27)/$EK$22</f>
        <v>85.555555555555571</v>
      </c>
      <c r="ED27" s="270">
        <v>10000</v>
      </c>
      <c r="EE27" s="317">
        <f t="shared" si="57"/>
        <v>266.88888888888891</v>
      </c>
      <c r="EF27" s="317">
        <f t="shared" si="58"/>
        <v>441.54411764705884</v>
      </c>
      <c r="EG27" s="322">
        <f t="shared" si="75"/>
        <v>180</v>
      </c>
      <c r="EH27" s="322">
        <f t="shared" si="76"/>
        <v>90</v>
      </c>
      <c r="EI27" s="33">
        <f t="shared" si="77"/>
        <v>45</v>
      </c>
      <c r="EJ27" s="338">
        <f t="shared" ref="EJ27:EJ32" si="85">$EL$25/EL27*$EJ$25</f>
        <v>6.666666666666667</v>
      </c>
      <c r="EK27" s="317">
        <f t="shared" si="59"/>
        <v>266.66666666666669</v>
      </c>
      <c r="EL27" s="334">
        <v>0.6</v>
      </c>
      <c r="EM27" s="336">
        <f t="shared" si="60"/>
        <v>0.4</v>
      </c>
      <c r="EN27" s="339">
        <f t="shared" ref="EN27:EN31" si="86">EN26</f>
        <v>0.2</v>
      </c>
      <c r="EO27" s="317">
        <f t="shared" si="61"/>
        <v>53.333333333333343</v>
      </c>
      <c r="EP27" s="317">
        <f t="shared" si="62"/>
        <v>181.33333333333334</v>
      </c>
      <c r="EQ27" s="317">
        <f t="shared" si="63"/>
        <v>85.333333333333343</v>
      </c>
      <c r="ER27" s="33">
        <f t="shared" si="64"/>
        <v>720</v>
      </c>
      <c r="ES27" s="317">
        <f t="shared" si="65"/>
        <v>489.59999999999997</v>
      </c>
      <c r="ET27" s="352" t="s">
        <v>214</v>
      </c>
      <c r="EU27" s="354">
        <v>0.95</v>
      </c>
    </row>
    <row r="28" spans="1:156" ht="16.2" x14ac:dyDescent="0.4">
      <c r="A28" s="262">
        <v>300000</v>
      </c>
      <c r="B28" s="24">
        <v>1</v>
      </c>
      <c r="C28" s="24">
        <f t="shared" si="38"/>
        <v>8000</v>
      </c>
      <c r="D28" s="24">
        <v>0.3</v>
      </c>
      <c r="E28" s="24">
        <v>0.3</v>
      </c>
      <c r="F28" s="261">
        <v>50000</v>
      </c>
      <c r="G28" s="24">
        <v>-1</v>
      </c>
      <c r="H28" s="24">
        <v>1007</v>
      </c>
      <c r="I28" s="24">
        <f t="shared" si="0"/>
        <v>1500000000</v>
      </c>
      <c r="J28" s="24">
        <f t="shared" si="48"/>
        <v>45000000</v>
      </c>
      <c r="K28" s="270" t="str">
        <f t="shared" si="1"/>
        <v>[[7001,45000000],[7002,45000000],[7003,45000000]]</v>
      </c>
      <c r="L28" s="24">
        <v>2880000</v>
      </c>
      <c r="M28" s="24">
        <f t="shared" si="78"/>
        <v>2880000</v>
      </c>
      <c r="N28" s="24" t="s">
        <v>1511</v>
      </c>
      <c r="O28" s="24">
        <v>240</v>
      </c>
      <c r="P28" s="24">
        <v>240</v>
      </c>
      <c r="Q28" s="24">
        <v>210</v>
      </c>
      <c r="R28" s="24">
        <v>1607</v>
      </c>
      <c r="S28" s="107">
        <v>9100</v>
      </c>
      <c r="T28" s="107">
        <v>9100</v>
      </c>
      <c r="U28" s="24">
        <v>9500</v>
      </c>
      <c r="V28" s="24">
        <v>9500</v>
      </c>
      <c r="W28" s="45">
        <f t="shared" si="42"/>
        <v>6750000</v>
      </c>
      <c r="X28" s="270" t="str">
        <f t="shared" si="67"/>
        <v>1|1|400,2|2301|20,2|2302|20,2|2303|20,2|2304|20</v>
      </c>
      <c r="Y28" s="270">
        <f t="shared" si="68"/>
        <v>1500</v>
      </c>
      <c r="Z28" s="273" t="str">
        <f t="shared" si="50"/>
        <v>2|2300|16,2|2300|24</v>
      </c>
      <c r="AA28" s="270" t="str">
        <f t="shared" si="69"/>
        <v>2|2300|1000</v>
      </c>
      <c r="AB28" s="270">
        <v>10000</v>
      </c>
      <c r="AC28" s="270">
        <v>1</v>
      </c>
      <c r="AD28" s="270" t="s">
        <v>215</v>
      </c>
      <c r="AG28" s="24">
        <v>1</v>
      </c>
      <c r="AH28" s="24">
        <f t="shared" si="5"/>
        <v>24</v>
      </c>
      <c r="AN28" s="68">
        <v>0</v>
      </c>
      <c r="AO28" s="24">
        <f t="shared" si="79"/>
        <v>0.94440000000000002</v>
      </c>
      <c r="AP28" s="277"/>
      <c r="AQ28" s="24" t="str">
        <f t="shared" si="80"/>
        <v>15,1,0.3</v>
      </c>
      <c r="AS28" s="24" t="str">
        <f t="shared" si="81"/>
        <v>[[0,0,0],[1005,3,0.3],[1007,1,0.5]]</v>
      </c>
      <c r="AT28" s="280">
        <v>0.21</v>
      </c>
      <c r="AU28" s="162">
        <f t="shared" si="39"/>
        <v>0.94440000000000002</v>
      </c>
      <c r="AV28" s="163">
        <f t="shared" si="9"/>
        <v>100079.99999999997</v>
      </c>
      <c r="AW28" s="283">
        <f t="shared" si="43"/>
        <v>0.16666666666666669</v>
      </c>
      <c r="CL28" s="183">
        <f t="shared" si="44"/>
        <v>30</v>
      </c>
      <c r="CM28" s="183">
        <v>8</v>
      </c>
      <c r="CN28" s="183">
        <v>6</v>
      </c>
      <c r="CO28" s="183">
        <v>10</v>
      </c>
      <c r="CP28" s="183" t="str">
        <f t="shared" si="45"/>
        <v>6,10</v>
      </c>
      <c r="DB28" s="24"/>
      <c r="DC28" s="312">
        <f t="shared" si="14"/>
        <v>4.5</v>
      </c>
      <c r="DD28" s="24">
        <v>15</v>
      </c>
      <c r="DE28" s="24">
        <v>1</v>
      </c>
      <c r="DF28" s="312">
        <f t="shared" si="82"/>
        <v>0.3</v>
      </c>
      <c r="DG28" s="24"/>
      <c r="DH28" s="45">
        <f t="shared" si="16"/>
        <v>6000000</v>
      </c>
      <c r="DI28" s="45">
        <v>0</v>
      </c>
      <c r="DJ28" s="45">
        <v>0</v>
      </c>
      <c r="DK28" s="45">
        <v>0</v>
      </c>
      <c r="DL28" s="45">
        <f t="shared" si="17"/>
        <v>9000000</v>
      </c>
      <c r="DM28" s="45">
        <v>1005</v>
      </c>
      <c r="DN28" s="45">
        <v>3</v>
      </c>
      <c r="DO28" s="314">
        <v>0.3</v>
      </c>
      <c r="DP28" s="45">
        <f t="shared" si="18"/>
        <v>15000000</v>
      </c>
      <c r="DQ28" s="45">
        <v>1007</v>
      </c>
      <c r="DR28" s="45">
        <v>1</v>
      </c>
      <c r="DS28" s="314">
        <v>0.5</v>
      </c>
      <c r="DW28" s="270">
        <v>300000</v>
      </c>
      <c r="DX28" s="315">
        <f t="shared" si="74"/>
        <v>192</v>
      </c>
      <c r="DY28" s="316">
        <v>400</v>
      </c>
      <c r="DZ28" s="320">
        <f t="shared" si="55"/>
        <v>0.5</v>
      </c>
      <c r="EA28" s="33">
        <f t="shared" si="56"/>
        <v>64</v>
      </c>
      <c r="EB28" s="323">
        <f t="shared" si="83"/>
        <v>0.2</v>
      </c>
      <c r="EC28" s="317">
        <f t="shared" si="84"/>
        <v>128</v>
      </c>
      <c r="ED28" s="270">
        <v>10000</v>
      </c>
      <c r="EE28" s="317">
        <f t="shared" si="57"/>
        <v>320</v>
      </c>
      <c r="EF28" s="317">
        <f t="shared" si="58"/>
        <v>666.66666666666674</v>
      </c>
      <c r="EG28" s="322">
        <f t="shared" si="75"/>
        <v>200</v>
      </c>
      <c r="EH28" s="322">
        <f t="shared" si="76"/>
        <v>130</v>
      </c>
      <c r="EI28" s="33">
        <f t="shared" si="77"/>
        <v>50</v>
      </c>
      <c r="EJ28" s="338">
        <f t="shared" si="85"/>
        <v>8</v>
      </c>
      <c r="EK28" s="317">
        <f t="shared" si="59"/>
        <v>320</v>
      </c>
      <c r="EL28" s="334">
        <v>0.5</v>
      </c>
      <c r="EM28" s="336">
        <f t="shared" si="60"/>
        <v>0.5</v>
      </c>
      <c r="EN28" s="339">
        <f t="shared" si="86"/>
        <v>0.2</v>
      </c>
      <c r="EO28" s="317">
        <f t="shared" si="61"/>
        <v>64</v>
      </c>
      <c r="EP28" s="317">
        <f t="shared" si="62"/>
        <v>192</v>
      </c>
      <c r="EQ28" s="317">
        <f t="shared" si="63"/>
        <v>128</v>
      </c>
      <c r="ER28" s="33">
        <f t="shared" si="64"/>
        <v>864</v>
      </c>
      <c r="ES28" s="317">
        <f t="shared" si="65"/>
        <v>518.40000000000009</v>
      </c>
      <c r="ET28" s="352" t="s">
        <v>216</v>
      </c>
      <c r="EU28" s="353">
        <v>100000</v>
      </c>
    </row>
    <row r="29" spans="1:156" ht="16.2" x14ac:dyDescent="0.4">
      <c r="A29" s="262">
        <v>350000</v>
      </c>
      <c r="B29" s="24">
        <v>1</v>
      </c>
      <c r="C29" s="24">
        <f t="shared" si="38"/>
        <v>10000</v>
      </c>
      <c r="D29" s="24">
        <v>0.3</v>
      </c>
      <c r="E29" s="24">
        <v>0.3</v>
      </c>
      <c r="F29" s="261">
        <v>20000</v>
      </c>
      <c r="G29" s="24">
        <v>-1</v>
      </c>
      <c r="H29" s="24">
        <v>1007</v>
      </c>
      <c r="I29" s="24">
        <f t="shared" si="0"/>
        <v>1750000000</v>
      </c>
      <c r="J29" s="24">
        <f t="shared" si="48"/>
        <v>52500000</v>
      </c>
      <c r="K29" s="270" t="str">
        <f t="shared" si="1"/>
        <v>[[7001,52500000],[7002,52500000],[7003,52500000]]</v>
      </c>
      <c r="L29" s="24">
        <v>2880000</v>
      </c>
      <c r="M29" s="24">
        <f t="shared" ref="M29" si="87">L29</f>
        <v>2880000</v>
      </c>
      <c r="N29" s="24" t="s">
        <v>1979</v>
      </c>
      <c r="O29" s="24">
        <v>250</v>
      </c>
      <c r="P29" s="24">
        <v>250</v>
      </c>
      <c r="Q29" s="24">
        <v>200</v>
      </c>
      <c r="R29" s="24">
        <v>1607</v>
      </c>
      <c r="S29" s="107">
        <v>9100</v>
      </c>
      <c r="T29" s="107">
        <v>9100</v>
      </c>
      <c r="U29" s="24">
        <v>9500</v>
      </c>
      <c r="V29" s="24">
        <v>9500</v>
      </c>
      <c r="W29" s="45">
        <f t="shared" si="42"/>
        <v>7481250</v>
      </c>
      <c r="X29" s="270" t="str">
        <f t="shared" si="67"/>
        <v>1|1|500,2|2301|25,2|2302|25,2|2303|25,2|2304|25</v>
      </c>
      <c r="Y29" s="270">
        <f t="shared" si="68"/>
        <v>1000</v>
      </c>
      <c r="Z29" s="273" t="str">
        <f t="shared" si="50"/>
        <v>2|2300|20,2|2300|30</v>
      </c>
      <c r="AA29" s="270" t="str">
        <f t="shared" si="69"/>
        <v>2|2300|1200</v>
      </c>
      <c r="AB29" s="270">
        <v>10000</v>
      </c>
      <c r="AC29" s="270">
        <v>1</v>
      </c>
      <c r="AD29" s="270" t="s">
        <v>217</v>
      </c>
      <c r="AG29" s="24">
        <v>1</v>
      </c>
      <c r="AH29" s="24">
        <f t="shared" si="5"/>
        <v>25</v>
      </c>
      <c r="AN29" s="68">
        <v>0</v>
      </c>
      <c r="AO29" s="24">
        <f t="shared" ref="AO29" si="88">AU29</f>
        <v>0.94440000000000002</v>
      </c>
      <c r="AP29" s="277"/>
      <c r="AQ29" s="24" t="str">
        <f t="shared" ref="AQ29" si="89">DD29&amp;","&amp;DE29&amp;","&amp;DF29</f>
        <v>15,1,0.35</v>
      </c>
      <c r="AS29" s="24" t="str">
        <f t="shared" ref="AS29" si="90">"[["&amp;DI29&amp;","&amp;DJ29&amp;","&amp;DK29&amp;"],["&amp;DM29&amp;","&amp;DN29&amp;","&amp;DO29&amp;"],["&amp;DQ29&amp;","&amp;DR29&amp;","&amp;DS29&amp;"]]"</f>
        <v>[[0,0,0],[1005,3,0.3],[1007,1,0.5]]</v>
      </c>
      <c r="AT29" s="280">
        <v>0.18</v>
      </c>
      <c r="AU29" s="162">
        <f t="shared" si="39"/>
        <v>0.94440000000000002</v>
      </c>
      <c r="AV29" s="163">
        <f t="shared" si="9"/>
        <v>116759.99999999996</v>
      </c>
      <c r="AW29" s="283">
        <f t="shared" si="43"/>
        <v>0.14285714285714285</v>
      </c>
      <c r="CL29" s="183">
        <f t="shared" si="44"/>
        <v>35</v>
      </c>
      <c r="CM29" s="183">
        <v>9</v>
      </c>
      <c r="CN29" s="183">
        <f t="shared" si="46"/>
        <v>8</v>
      </c>
      <c r="CO29" s="183">
        <f t="shared" si="47"/>
        <v>10</v>
      </c>
      <c r="CP29" s="183" t="str">
        <f t="shared" si="45"/>
        <v>8,10</v>
      </c>
      <c r="DB29" s="24"/>
      <c r="DC29" s="312">
        <f t="shared" si="14"/>
        <v>5.2499999999999991</v>
      </c>
      <c r="DD29" s="24">
        <v>15</v>
      </c>
      <c r="DE29" s="24">
        <v>1</v>
      </c>
      <c r="DF29" s="312">
        <f t="shared" ref="DF29" si="91">ROUND(DC29/DD29,6)</f>
        <v>0.35</v>
      </c>
      <c r="DG29" s="24"/>
      <c r="DH29" s="45">
        <f t="shared" si="16"/>
        <v>7000000</v>
      </c>
      <c r="DI29" s="45">
        <v>0</v>
      </c>
      <c r="DJ29" s="45">
        <v>0</v>
      </c>
      <c r="DK29" s="45">
        <v>0</v>
      </c>
      <c r="DL29" s="45">
        <f t="shared" si="17"/>
        <v>10500000</v>
      </c>
      <c r="DM29" s="45">
        <v>1005</v>
      </c>
      <c r="DN29" s="45">
        <v>3</v>
      </c>
      <c r="DO29" s="314">
        <v>0.3</v>
      </c>
      <c r="DP29" s="45">
        <f t="shared" si="18"/>
        <v>17500000</v>
      </c>
      <c r="DQ29" s="45">
        <v>1007</v>
      </c>
      <c r="DR29" s="45">
        <v>1</v>
      </c>
      <c r="DS29" s="314">
        <v>0.5</v>
      </c>
      <c r="DW29" s="270">
        <v>350000</v>
      </c>
      <c r="DX29" s="315">
        <f t="shared" si="74"/>
        <v>208</v>
      </c>
      <c r="DY29" s="316">
        <v>500</v>
      </c>
      <c r="DZ29" s="320">
        <f t="shared" si="55"/>
        <v>0.4</v>
      </c>
      <c r="EA29" s="33">
        <f t="shared" si="56"/>
        <v>80</v>
      </c>
      <c r="EB29" s="323">
        <f t="shared" si="83"/>
        <v>0.2</v>
      </c>
      <c r="EC29" s="317">
        <f t="shared" si="84"/>
        <v>192</v>
      </c>
      <c r="ED29" s="270">
        <v>10000</v>
      </c>
      <c r="EE29" s="317">
        <f t="shared" si="57"/>
        <v>400</v>
      </c>
      <c r="EF29" s="317">
        <f t="shared" si="58"/>
        <v>961.53846153846155</v>
      </c>
      <c r="EG29" s="322">
        <f t="shared" si="75"/>
        <v>200</v>
      </c>
      <c r="EH29" s="322">
        <f t="shared" si="76"/>
        <v>190</v>
      </c>
      <c r="EI29" s="33">
        <f t="shared" si="77"/>
        <v>50</v>
      </c>
      <c r="EJ29" s="338">
        <f t="shared" si="85"/>
        <v>10</v>
      </c>
      <c r="EK29" s="317">
        <f t="shared" si="59"/>
        <v>400</v>
      </c>
      <c r="EL29" s="334">
        <v>0.4</v>
      </c>
      <c r="EM29" s="336">
        <f t="shared" si="60"/>
        <v>0.6</v>
      </c>
      <c r="EN29" s="339">
        <f t="shared" si="86"/>
        <v>0.2</v>
      </c>
      <c r="EO29" s="317">
        <f t="shared" si="61"/>
        <v>80</v>
      </c>
      <c r="EP29" s="317">
        <f t="shared" si="62"/>
        <v>208</v>
      </c>
      <c r="EQ29" s="317">
        <f t="shared" si="63"/>
        <v>192</v>
      </c>
      <c r="ER29" s="33">
        <f t="shared" si="64"/>
        <v>1080</v>
      </c>
      <c r="ES29" s="317">
        <f t="shared" si="65"/>
        <v>561.6</v>
      </c>
      <c r="ET29" s="355" t="s">
        <v>218</v>
      </c>
      <c r="EU29" s="356">
        <f>ROUND(EU28*(1-EU27)*EU26*EU25*3600/EJ22,0)</f>
        <v>2700000</v>
      </c>
    </row>
    <row r="30" spans="1:156" ht="16.2" x14ac:dyDescent="0.4">
      <c r="A30" s="262">
        <v>400000</v>
      </c>
      <c r="B30" s="24">
        <v>1</v>
      </c>
      <c r="C30" s="24">
        <f t="shared" si="38"/>
        <v>20000</v>
      </c>
      <c r="D30" s="24">
        <v>0.3</v>
      </c>
      <c r="E30" s="24">
        <v>0.3</v>
      </c>
      <c r="F30" s="261">
        <v>0</v>
      </c>
      <c r="G30" s="24">
        <v>-1</v>
      </c>
      <c r="H30" s="24">
        <v>1007</v>
      </c>
      <c r="I30" s="24">
        <f t="shared" si="0"/>
        <v>2000000000</v>
      </c>
      <c r="J30" s="24">
        <f t="shared" si="48"/>
        <v>60000000</v>
      </c>
      <c r="K30" s="270" t="str">
        <f t="shared" si="1"/>
        <v>[[7001,60000000],[7002,60000000],[7003,60000000]]</v>
      </c>
      <c r="L30" s="24">
        <v>2880000</v>
      </c>
      <c r="M30" s="24">
        <f t="shared" ref="M30:M32" si="92">L30</f>
        <v>2880000</v>
      </c>
      <c r="N30" s="24" t="s">
        <v>1979</v>
      </c>
      <c r="O30" s="24">
        <v>260</v>
      </c>
      <c r="P30" s="24">
        <v>260</v>
      </c>
      <c r="Q30" s="24">
        <v>190</v>
      </c>
      <c r="R30" s="24">
        <v>1607</v>
      </c>
      <c r="S30" s="107">
        <v>9100</v>
      </c>
      <c r="T30" s="107">
        <v>9100</v>
      </c>
      <c r="U30" s="24">
        <v>9500</v>
      </c>
      <c r="V30" s="24">
        <v>9500</v>
      </c>
      <c r="W30" s="45">
        <f t="shared" si="42"/>
        <v>8100000</v>
      </c>
      <c r="X30" s="270" t="str">
        <f t="shared" si="67"/>
        <v>1|1|600,2|2301|30,2|2302|30,2|2303|30,2|2304|30</v>
      </c>
      <c r="Y30" s="270">
        <f t="shared" si="68"/>
        <v>500</v>
      </c>
      <c r="Z30" s="273" t="str">
        <f t="shared" si="50"/>
        <v>2|2300|24,2|2300|36</v>
      </c>
      <c r="AA30" s="270" t="str">
        <f t="shared" si="69"/>
        <v>2|2300|1500</v>
      </c>
      <c r="AB30" s="270">
        <v>10000</v>
      </c>
      <c r="AC30" s="270">
        <v>1</v>
      </c>
      <c r="AD30" s="270" t="s">
        <v>219</v>
      </c>
      <c r="AG30" s="24">
        <v>1</v>
      </c>
      <c r="AH30" s="24">
        <f t="shared" si="5"/>
        <v>26</v>
      </c>
      <c r="AN30" s="68">
        <v>0</v>
      </c>
      <c r="AO30" s="24">
        <f t="shared" ref="AO30:AO32" si="93">AU30</f>
        <v>0.94440000000000002</v>
      </c>
      <c r="AP30" s="277"/>
      <c r="AQ30" s="24" t="str">
        <f t="shared" ref="AQ30:AQ32" si="94">DD30&amp;","&amp;DE30&amp;","&amp;DF30</f>
        <v>15,1,0.4</v>
      </c>
      <c r="AS30" s="24" t="str">
        <f t="shared" ref="AS30:AS32" si="95">"[["&amp;DI30&amp;","&amp;DJ30&amp;","&amp;DK30&amp;"],["&amp;DM30&amp;","&amp;DN30&amp;","&amp;DO30&amp;"],["&amp;DQ30&amp;","&amp;DR30&amp;","&amp;DS30&amp;"]]"</f>
        <v>[[0,0,0],[1005,3,0.3],[1007,1,0.5]]</v>
      </c>
      <c r="AT30" s="280">
        <v>0.17499999999999999</v>
      </c>
      <c r="AU30" s="162">
        <f t="shared" si="39"/>
        <v>0.94440000000000002</v>
      </c>
      <c r="AV30" s="163">
        <f t="shared" si="9"/>
        <v>133439.99999999994</v>
      </c>
      <c r="AW30" s="283">
        <f t="shared" si="43"/>
        <v>0.125</v>
      </c>
      <c r="CL30" s="183">
        <f t="shared" si="44"/>
        <v>40</v>
      </c>
      <c r="CM30" s="183">
        <v>9</v>
      </c>
      <c r="CN30" s="183">
        <f t="shared" si="46"/>
        <v>8</v>
      </c>
      <c r="CO30" s="183">
        <f t="shared" si="47"/>
        <v>10</v>
      </c>
      <c r="CP30" s="183" t="str">
        <f t="shared" si="45"/>
        <v>8,10</v>
      </c>
      <c r="DB30" s="24"/>
      <c r="DC30" s="312">
        <f t="shared" si="14"/>
        <v>5.9999999999999991</v>
      </c>
      <c r="DD30" s="24">
        <v>15</v>
      </c>
      <c r="DE30" s="24">
        <v>1</v>
      </c>
      <c r="DF30" s="312">
        <f t="shared" ref="DF30:DF32" si="96">ROUND(DC30/DD30,6)</f>
        <v>0.4</v>
      </c>
      <c r="DG30" s="24"/>
      <c r="DH30" s="45">
        <f t="shared" si="16"/>
        <v>8000000</v>
      </c>
      <c r="DI30" s="45">
        <v>0</v>
      </c>
      <c r="DJ30" s="45">
        <v>0</v>
      </c>
      <c r="DK30" s="45">
        <v>0</v>
      </c>
      <c r="DL30" s="45">
        <f t="shared" si="17"/>
        <v>12000000</v>
      </c>
      <c r="DM30" s="45">
        <v>1005</v>
      </c>
      <c r="DN30" s="45">
        <v>3</v>
      </c>
      <c r="DO30" s="314">
        <v>0.3</v>
      </c>
      <c r="DP30" s="45">
        <f t="shared" si="18"/>
        <v>20000000</v>
      </c>
      <c r="DQ30" s="45">
        <v>1007</v>
      </c>
      <c r="DR30" s="45">
        <v>1</v>
      </c>
      <c r="DS30" s="314">
        <v>0.5</v>
      </c>
      <c r="DW30" s="270">
        <v>400000</v>
      </c>
      <c r="DX30" s="315">
        <f t="shared" si="74"/>
        <v>234.66666666666669</v>
      </c>
      <c r="DY30" s="316">
        <v>600</v>
      </c>
      <c r="DZ30" s="320">
        <f t="shared" si="55"/>
        <v>0.3</v>
      </c>
      <c r="EA30" s="33">
        <f t="shared" si="56"/>
        <v>107</v>
      </c>
      <c r="EB30" s="323">
        <f t="shared" si="83"/>
        <v>0.2</v>
      </c>
      <c r="EC30" s="317">
        <f t="shared" si="84"/>
        <v>297.88888888888908</v>
      </c>
      <c r="ED30" s="270">
        <v>10000</v>
      </c>
      <c r="EE30" s="317">
        <f t="shared" si="57"/>
        <v>532.55555555555577</v>
      </c>
      <c r="EF30" s="317">
        <f t="shared" si="58"/>
        <v>1361.6477272727277</v>
      </c>
      <c r="EG30" s="322">
        <f t="shared" si="75"/>
        <v>240</v>
      </c>
      <c r="EH30" s="322">
        <f t="shared" si="76"/>
        <v>300</v>
      </c>
      <c r="EI30" s="33">
        <f t="shared" si="77"/>
        <v>60</v>
      </c>
      <c r="EJ30" s="338">
        <f t="shared" si="85"/>
        <v>13.333333333333334</v>
      </c>
      <c r="EK30" s="317">
        <f t="shared" si="59"/>
        <v>533.33333333333337</v>
      </c>
      <c r="EL30" s="334">
        <v>0.3</v>
      </c>
      <c r="EM30" s="336">
        <f t="shared" si="60"/>
        <v>0.7</v>
      </c>
      <c r="EN30" s="339">
        <f t="shared" si="86"/>
        <v>0.2</v>
      </c>
      <c r="EO30" s="317">
        <f t="shared" si="61"/>
        <v>106.66666666666669</v>
      </c>
      <c r="EP30" s="317">
        <f t="shared" si="62"/>
        <v>234.66666666666669</v>
      </c>
      <c r="EQ30" s="317">
        <f t="shared" si="63"/>
        <v>298.66666666666669</v>
      </c>
      <c r="ER30" s="33">
        <f t="shared" si="64"/>
        <v>1440</v>
      </c>
      <c r="ES30" s="317">
        <f t="shared" si="65"/>
        <v>633.6</v>
      </c>
    </row>
    <row r="31" spans="1:156" ht="16.2" x14ac:dyDescent="0.4">
      <c r="A31" s="262">
        <v>450000</v>
      </c>
      <c r="B31" s="24">
        <v>1</v>
      </c>
      <c r="C31" s="24">
        <f t="shared" si="38"/>
        <v>40000</v>
      </c>
      <c r="D31" s="24">
        <v>0.3</v>
      </c>
      <c r="E31" s="24">
        <v>0.3</v>
      </c>
      <c r="F31" s="261">
        <v>0</v>
      </c>
      <c r="G31" s="24">
        <v>-1</v>
      </c>
      <c r="H31" s="24">
        <v>1007</v>
      </c>
      <c r="I31" s="24">
        <f t="shared" si="0"/>
        <v>2250000000</v>
      </c>
      <c r="J31" s="24">
        <f t="shared" si="48"/>
        <v>67500000</v>
      </c>
      <c r="K31" s="270" t="str">
        <f t="shared" si="1"/>
        <v>[[7001,67500000],[7002,67500000],[7003,67500000]]</v>
      </c>
      <c r="L31" s="24">
        <v>2880000</v>
      </c>
      <c r="M31" s="24">
        <f t="shared" si="92"/>
        <v>2880000</v>
      </c>
      <c r="N31" s="24" t="s">
        <v>1980</v>
      </c>
      <c r="O31" s="24">
        <v>270</v>
      </c>
      <c r="P31" s="24">
        <v>270</v>
      </c>
      <c r="Q31" s="24">
        <v>180</v>
      </c>
      <c r="R31" s="24">
        <v>1607</v>
      </c>
      <c r="S31" s="107">
        <v>9100</v>
      </c>
      <c r="T31" s="107">
        <v>9100</v>
      </c>
      <c r="U31" s="24">
        <v>9500</v>
      </c>
      <c r="V31" s="24">
        <v>9500</v>
      </c>
      <c r="W31" s="45">
        <f t="shared" si="42"/>
        <v>8606250</v>
      </c>
      <c r="X31" s="270" t="str">
        <f t="shared" si="67"/>
        <v>1|1|700,2|2301|35,2|2302|35,2|2303|35,2|2304|35</v>
      </c>
      <c r="Y31" s="270">
        <f t="shared" si="68"/>
        <v>300</v>
      </c>
      <c r="Z31" s="273" t="str">
        <f t="shared" si="50"/>
        <v>2|2300|28,2|2300|42</v>
      </c>
      <c r="AA31" s="270" t="str">
        <f t="shared" si="69"/>
        <v>2|2300|2000</v>
      </c>
      <c r="AB31" s="270">
        <v>10000</v>
      </c>
      <c r="AC31" s="270">
        <v>1</v>
      </c>
      <c r="AD31" s="270" t="s">
        <v>220</v>
      </c>
      <c r="AG31" s="24">
        <v>1</v>
      </c>
      <c r="AH31" s="24">
        <f t="shared" si="5"/>
        <v>27</v>
      </c>
      <c r="AN31" s="68">
        <v>0</v>
      </c>
      <c r="AO31" s="24">
        <f t="shared" si="93"/>
        <v>0.94440000000000002</v>
      </c>
      <c r="AP31" s="277"/>
      <c r="AQ31" s="24" t="str">
        <f t="shared" si="94"/>
        <v>15,1,0.45</v>
      </c>
      <c r="AS31" s="24" t="str">
        <f t="shared" si="95"/>
        <v>[[0,0,0],[1005,3,0.3],[1007,1,0.5]]</v>
      </c>
      <c r="AT31" s="280">
        <v>0.1555</v>
      </c>
      <c r="AU31" s="162">
        <f t="shared" si="39"/>
        <v>0.94440000000000002</v>
      </c>
      <c r="AV31" s="163">
        <f t="shared" si="9"/>
        <v>150119.99999999994</v>
      </c>
      <c r="AW31" s="283">
        <f t="shared" si="43"/>
        <v>0.1111111111111111</v>
      </c>
      <c r="CL31" s="183">
        <f t="shared" si="44"/>
        <v>45</v>
      </c>
      <c r="CM31" s="183">
        <v>10</v>
      </c>
      <c r="CN31" s="183">
        <v>8</v>
      </c>
      <c r="CO31" s="183">
        <v>12</v>
      </c>
      <c r="CP31" s="183" t="str">
        <f t="shared" si="45"/>
        <v>8,12</v>
      </c>
      <c r="DB31" s="24"/>
      <c r="DC31" s="312">
        <f t="shared" si="14"/>
        <v>6.7499999999999991</v>
      </c>
      <c r="DD31" s="24">
        <v>15</v>
      </c>
      <c r="DE31" s="24">
        <v>1</v>
      </c>
      <c r="DF31" s="312">
        <f t="shared" si="96"/>
        <v>0.45</v>
      </c>
      <c r="DG31" s="24"/>
      <c r="DH31" s="45">
        <f t="shared" si="16"/>
        <v>9000000</v>
      </c>
      <c r="DI31" s="45">
        <v>0</v>
      </c>
      <c r="DJ31" s="45">
        <v>0</v>
      </c>
      <c r="DK31" s="45">
        <v>0</v>
      </c>
      <c r="DL31" s="45">
        <f t="shared" si="17"/>
        <v>13500000</v>
      </c>
      <c r="DM31" s="45">
        <v>1005</v>
      </c>
      <c r="DN31" s="45">
        <v>3</v>
      </c>
      <c r="DO31" s="314">
        <v>0.3</v>
      </c>
      <c r="DP31" s="45">
        <f t="shared" si="18"/>
        <v>22500000</v>
      </c>
      <c r="DQ31" s="45">
        <v>1007</v>
      </c>
      <c r="DR31" s="45">
        <v>1</v>
      </c>
      <c r="DS31" s="314">
        <v>0.5</v>
      </c>
      <c r="DW31" s="270">
        <v>450000</v>
      </c>
      <c r="DX31" s="315">
        <f t="shared" si="74"/>
        <v>288</v>
      </c>
      <c r="DY31" s="316">
        <v>700</v>
      </c>
      <c r="DZ31" s="320">
        <f t="shared" si="55"/>
        <v>0.2</v>
      </c>
      <c r="EA31" s="33">
        <f t="shared" si="56"/>
        <v>160</v>
      </c>
      <c r="EB31" s="323">
        <f t="shared" si="83"/>
        <v>0.2</v>
      </c>
      <c r="EC31" s="317">
        <f t="shared" si="84"/>
        <v>512</v>
      </c>
      <c r="ED31" s="270">
        <v>10000</v>
      </c>
      <c r="EE31" s="317">
        <f t="shared" si="57"/>
        <v>800</v>
      </c>
      <c r="EF31" s="317">
        <f t="shared" si="58"/>
        <v>1944.4444444444443</v>
      </c>
      <c r="EG31" s="322">
        <f t="shared" si="75"/>
        <v>280</v>
      </c>
      <c r="EH31" s="322">
        <f t="shared" si="76"/>
        <v>510</v>
      </c>
      <c r="EI31" s="33">
        <f t="shared" si="77"/>
        <v>70</v>
      </c>
      <c r="EJ31" s="338">
        <f t="shared" si="85"/>
        <v>20</v>
      </c>
      <c r="EK31" s="317">
        <f t="shared" si="59"/>
        <v>800</v>
      </c>
      <c r="EL31" s="334">
        <v>0.2</v>
      </c>
      <c r="EM31" s="336">
        <f t="shared" si="60"/>
        <v>0.8</v>
      </c>
      <c r="EN31" s="339">
        <f t="shared" si="86"/>
        <v>0.2</v>
      </c>
      <c r="EO31" s="317">
        <f t="shared" si="61"/>
        <v>160</v>
      </c>
      <c r="EP31" s="317">
        <f t="shared" si="62"/>
        <v>288</v>
      </c>
      <c r="EQ31" s="317">
        <f t="shared" si="63"/>
        <v>512</v>
      </c>
      <c r="ER31" s="33">
        <f t="shared" si="64"/>
        <v>2160</v>
      </c>
      <c r="ES31" s="317">
        <f t="shared" si="65"/>
        <v>777.6</v>
      </c>
    </row>
    <row r="32" spans="1:156" ht="16.2" x14ac:dyDescent="0.4">
      <c r="A32" s="262">
        <v>500000</v>
      </c>
      <c r="B32" s="24">
        <v>1</v>
      </c>
      <c r="C32" s="24">
        <f t="shared" si="38"/>
        <v>60000</v>
      </c>
      <c r="D32" s="24">
        <v>0.3</v>
      </c>
      <c r="E32" s="24">
        <v>0.3</v>
      </c>
      <c r="F32" s="261">
        <v>0</v>
      </c>
      <c r="G32" s="24">
        <v>-1</v>
      </c>
      <c r="H32" s="24">
        <v>1007</v>
      </c>
      <c r="I32" s="24">
        <f t="shared" si="0"/>
        <v>2500000000</v>
      </c>
      <c r="J32" s="24">
        <f t="shared" si="48"/>
        <v>75000000</v>
      </c>
      <c r="K32" s="270" t="str">
        <f t="shared" si="1"/>
        <v>[[7001,75000000],[7002,75000000],[7003,75000000]]</v>
      </c>
      <c r="L32" s="24">
        <v>2880000</v>
      </c>
      <c r="M32" s="24">
        <f t="shared" si="92"/>
        <v>2880000</v>
      </c>
      <c r="N32" s="24" t="s">
        <v>1980</v>
      </c>
      <c r="O32" s="24">
        <v>280</v>
      </c>
      <c r="P32" s="24">
        <v>280</v>
      </c>
      <c r="Q32" s="24">
        <v>170</v>
      </c>
      <c r="R32" s="24">
        <v>1607</v>
      </c>
      <c r="S32" s="107">
        <v>9100</v>
      </c>
      <c r="T32" s="107">
        <v>9100</v>
      </c>
      <c r="U32" s="24">
        <v>9500</v>
      </c>
      <c r="V32" s="24">
        <v>9500</v>
      </c>
      <c r="W32" s="45">
        <f t="shared" si="42"/>
        <v>9000000</v>
      </c>
      <c r="X32" s="270" t="str">
        <f t="shared" si="67"/>
        <v>1|1|800,2|2301|40,2|2302|40,2|2303|40,2|2304|40</v>
      </c>
      <c r="Y32" s="270">
        <f t="shared" si="68"/>
        <v>100</v>
      </c>
      <c r="Z32" s="273" t="str">
        <f t="shared" si="50"/>
        <v>2|2300|32,2|2300|48</v>
      </c>
      <c r="AA32" s="270" t="str">
        <f t="shared" si="69"/>
        <v>2|2300|5000</v>
      </c>
      <c r="AB32" s="270">
        <v>10000</v>
      </c>
      <c r="AC32" s="270">
        <v>1</v>
      </c>
      <c r="AD32" s="270" t="s">
        <v>221</v>
      </c>
      <c r="AG32" s="24">
        <v>1</v>
      </c>
      <c r="AH32" s="24">
        <f t="shared" si="5"/>
        <v>28</v>
      </c>
      <c r="AN32" s="68">
        <v>0</v>
      </c>
      <c r="AO32" s="24">
        <f t="shared" si="93"/>
        <v>0.94440000000000002</v>
      </c>
      <c r="AP32" s="277"/>
      <c r="AQ32" s="24" t="str">
        <f t="shared" si="94"/>
        <v>15,1,0.5</v>
      </c>
      <c r="AS32" s="24" t="str">
        <f t="shared" si="95"/>
        <v>[[0,0,0],[1005,3,0.3],[1007,1,0.5]]</v>
      </c>
      <c r="AT32" s="280">
        <v>0.14000000000000001</v>
      </c>
      <c r="AU32" s="162">
        <f t="shared" si="39"/>
        <v>0.94440000000000002</v>
      </c>
      <c r="AV32" s="163">
        <f t="shared" si="9"/>
        <v>166799.99999999994</v>
      </c>
      <c r="AW32" s="283">
        <f t="shared" si="43"/>
        <v>0.1</v>
      </c>
      <c r="CL32" s="183">
        <f t="shared" si="44"/>
        <v>50</v>
      </c>
      <c r="CM32" s="183">
        <v>10</v>
      </c>
      <c r="CN32" s="183">
        <v>8</v>
      </c>
      <c r="CO32" s="183">
        <v>12</v>
      </c>
      <c r="CP32" s="183" t="str">
        <f t="shared" si="45"/>
        <v>8,12</v>
      </c>
      <c r="DB32" s="24"/>
      <c r="DC32" s="312">
        <f t="shared" si="14"/>
        <v>7.4999999999999991</v>
      </c>
      <c r="DD32" s="24">
        <v>15</v>
      </c>
      <c r="DE32" s="24">
        <v>1</v>
      </c>
      <c r="DF32" s="312">
        <f t="shared" si="96"/>
        <v>0.5</v>
      </c>
      <c r="DG32" s="24"/>
      <c r="DH32" s="45">
        <f t="shared" si="16"/>
        <v>10000000</v>
      </c>
      <c r="DI32" s="45">
        <v>0</v>
      </c>
      <c r="DJ32" s="45">
        <v>0</v>
      </c>
      <c r="DK32" s="45">
        <v>0</v>
      </c>
      <c r="DL32" s="45">
        <f t="shared" si="17"/>
        <v>15000000</v>
      </c>
      <c r="DM32" s="45">
        <v>1005</v>
      </c>
      <c r="DN32" s="45">
        <v>3</v>
      </c>
      <c r="DO32" s="314">
        <v>0.3</v>
      </c>
      <c r="DP32" s="45">
        <f t="shared" si="18"/>
        <v>25000000</v>
      </c>
      <c r="DQ32" s="45">
        <v>1007</v>
      </c>
      <c r="DR32" s="45">
        <v>1</v>
      </c>
      <c r="DS32" s="314">
        <v>0.5</v>
      </c>
      <c r="DW32" s="270">
        <v>500000</v>
      </c>
      <c r="DX32" s="315">
        <f t="shared" si="74"/>
        <v>341.33333333333337</v>
      </c>
      <c r="DY32" s="316">
        <v>800</v>
      </c>
      <c r="DZ32" s="320">
        <f t="shared" si="55"/>
        <v>0.15</v>
      </c>
      <c r="EA32" s="33">
        <f t="shared" si="56"/>
        <v>213</v>
      </c>
      <c r="EB32" s="323">
        <f t="shared" si="83"/>
        <v>0.2</v>
      </c>
      <c r="EC32" s="317">
        <f t="shared" si="84"/>
        <v>727.22222222222251</v>
      </c>
      <c r="ED32" s="270">
        <v>10000</v>
      </c>
      <c r="EE32" s="317">
        <f t="shared" si="57"/>
        <v>1068.5555555555559</v>
      </c>
      <c r="EF32" s="317">
        <f t="shared" si="58"/>
        <v>2504.4270833333335</v>
      </c>
      <c r="EG32" s="322">
        <f t="shared" si="75"/>
        <v>340</v>
      </c>
      <c r="EH32" s="322">
        <f t="shared" si="76"/>
        <v>730</v>
      </c>
      <c r="EI32" s="33">
        <f t="shared" si="77"/>
        <v>85</v>
      </c>
      <c r="EJ32" s="338">
        <f t="shared" si="85"/>
        <v>26.666666666666668</v>
      </c>
      <c r="EK32" s="317">
        <f t="shared" si="59"/>
        <v>1066.6666666666667</v>
      </c>
      <c r="EL32" s="334">
        <v>0.15</v>
      </c>
      <c r="EM32" s="336">
        <f t="shared" si="60"/>
        <v>0.85</v>
      </c>
      <c r="EN32" s="339">
        <v>0.2</v>
      </c>
      <c r="EO32" s="317">
        <f t="shared" si="61"/>
        <v>213.33333333333337</v>
      </c>
      <c r="EP32" s="317">
        <f t="shared" si="62"/>
        <v>341.33333333333337</v>
      </c>
      <c r="EQ32" s="317">
        <f t="shared" si="63"/>
        <v>725.33333333333337</v>
      </c>
      <c r="ER32" s="33">
        <f t="shared" si="64"/>
        <v>2880</v>
      </c>
      <c r="ES32" s="317">
        <f t="shared" si="65"/>
        <v>921.6</v>
      </c>
      <c r="ET32" s="357" t="s">
        <v>214</v>
      </c>
      <c r="EU32" s="358">
        <v>0.95</v>
      </c>
      <c r="EV32" s="351"/>
    </row>
    <row r="33" spans="52:153" x14ac:dyDescent="0.35"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DW33" s="270"/>
      <c r="DX33" s="317">
        <f>SUM(DX25:DX32)</f>
        <v>1773.3333333333335</v>
      </c>
      <c r="DY33" s="270"/>
      <c r="DZ33" s="320"/>
      <c r="EA33" s="33"/>
      <c r="EB33" s="33"/>
      <c r="EC33" s="317">
        <f>SUM(EC26:EC32)</f>
        <v>1974.666666666667</v>
      </c>
      <c r="ED33" s="270" t="s">
        <v>222</v>
      </c>
      <c r="EE33" s="33"/>
      <c r="EF33" s="33"/>
      <c r="EG33" s="33">
        <f>SUM(EG25:EG32)</f>
        <v>1760</v>
      </c>
      <c r="EH33" s="33">
        <f>SUM(EH26:EH32)</f>
        <v>1980</v>
      </c>
      <c r="EI33" s="33"/>
      <c r="EJ33" s="270"/>
      <c r="EK33" s="340">
        <f>SUM(EK25:EK32)</f>
        <v>3746.666666666667</v>
      </c>
      <c r="EL33" s="33"/>
      <c r="EM33" s="33"/>
      <c r="EN33" s="341">
        <f>1/(1/MIN(EL25:EL32)-1)</f>
        <v>0.1764705882352941</v>
      </c>
      <c r="EO33" s="33"/>
      <c r="EP33" s="33"/>
      <c r="EQ33" s="33"/>
      <c r="ER33" s="33">
        <f>SUM(ER25:ER32)</f>
        <v>10116</v>
      </c>
      <c r="ES33" s="33"/>
      <c r="ET33" s="359" t="s">
        <v>223</v>
      </c>
      <c r="EU33" s="360">
        <v>6</v>
      </c>
      <c r="EV33" s="353"/>
    </row>
    <row r="34" spans="52:153" x14ac:dyDescent="0.35"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270"/>
      <c r="EO34" s="33"/>
      <c r="EP34" s="33"/>
      <c r="EQ34" s="33"/>
      <c r="ER34" s="33"/>
      <c r="ES34" s="33"/>
      <c r="ET34" s="352" t="s">
        <v>216</v>
      </c>
      <c r="EU34" s="361" t="s">
        <v>224</v>
      </c>
      <c r="EV34" s="362" t="s">
        <v>225</v>
      </c>
    </row>
    <row r="35" spans="52:153" x14ac:dyDescent="0.35"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128">
        <v>20000</v>
      </c>
      <c r="EU35" s="129">
        <f>ROUND((ET35*(1-$EU$32)*$EU$33)*EV35/40*60,0)</f>
        <v>720000</v>
      </c>
      <c r="EV35" s="130">
        <v>80</v>
      </c>
      <c r="EW35" s="33">
        <f t="shared" ref="EW35:EW47" si="97">$EV$39*$ET$39/ET35</f>
        <v>300</v>
      </c>
    </row>
    <row r="36" spans="52:153" x14ac:dyDescent="0.35"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>
        <f>EP32/EL32</f>
        <v>2275.5555555555561</v>
      </c>
      <c r="EQ36" s="33"/>
      <c r="ER36" s="33"/>
      <c r="ES36" s="33"/>
      <c r="ET36" s="128">
        <v>40000</v>
      </c>
      <c r="EU36" s="129">
        <f t="shared" ref="EU36:EU47" si="98">ROUND((ET36*(1-$EU$32)*$EU$33)*EV36/40*60,0)</f>
        <v>1350000</v>
      </c>
      <c r="EV36" s="130">
        <v>75</v>
      </c>
      <c r="EW36" s="33">
        <f t="shared" si="97"/>
        <v>150</v>
      </c>
    </row>
    <row r="37" spans="52:153" x14ac:dyDescent="0.35"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42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128">
        <v>60000</v>
      </c>
      <c r="EU37" s="129">
        <f t="shared" si="98"/>
        <v>1890000</v>
      </c>
      <c r="EV37" s="130">
        <v>70</v>
      </c>
      <c r="EW37" s="33">
        <f t="shared" si="97"/>
        <v>100</v>
      </c>
    </row>
    <row r="38" spans="52:153" x14ac:dyDescent="0.35"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128">
        <v>80000</v>
      </c>
      <c r="EU38" s="129">
        <f t="shared" si="98"/>
        <v>2340000</v>
      </c>
      <c r="EV38" s="130">
        <v>65</v>
      </c>
      <c r="EW38" s="33">
        <f t="shared" si="97"/>
        <v>75</v>
      </c>
    </row>
    <row r="39" spans="52:153" x14ac:dyDescent="0.35"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18" t="s">
        <v>226</v>
      </c>
      <c r="EK39" s="33"/>
      <c r="EL39" s="33"/>
      <c r="EM39" s="33"/>
      <c r="EN39" s="33"/>
      <c r="EO39" s="33"/>
      <c r="EP39" s="33"/>
      <c r="EQ39" s="33"/>
      <c r="ER39" s="33"/>
      <c r="ES39" s="33"/>
      <c r="ET39" s="128">
        <v>100000</v>
      </c>
      <c r="EU39" s="363">
        <f t="shared" si="98"/>
        <v>2700000</v>
      </c>
      <c r="EV39" s="364">
        <v>60</v>
      </c>
      <c r="EW39" s="33">
        <f t="shared" si="97"/>
        <v>60</v>
      </c>
    </row>
    <row r="40" spans="52:153" x14ac:dyDescent="0.35"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24" t="s">
        <v>227</v>
      </c>
      <c r="EL40" s="324" t="s">
        <v>228</v>
      </c>
      <c r="EM40" s="324" t="s">
        <v>229</v>
      </c>
      <c r="EN40" s="324" t="s">
        <v>230</v>
      </c>
      <c r="EO40" s="324" t="s">
        <v>231</v>
      </c>
      <c r="EP40" s="365"/>
      <c r="EQ40" s="366" t="s">
        <v>232</v>
      </c>
      <c r="ER40" s="366" t="s">
        <v>233</v>
      </c>
      <c r="ES40" s="367" t="s">
        <v>234</v>
      </c>
      <c r="ET40" s="128">
        <v>150000</v>
      </c>
      <c r="EU40" s="129">
        <f t="shared" si="98"/>
        <v>3881250</v>
      </c>
      <c r="EV40" s="368">
        <v>57.5</v>
      </c>
      <c r="EW40" s="33">
        <f t="shared" si="97"/>
        <v>40</v>
      </c>
    </row>
    <row r="41" spans="52:153" x14ac:dyDescent="0.35"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270">
        <v>150000</v>
      </c>
      <c r="EK41" s="33">
        <v>1</v>
      </c>
      <c r="EL41" s="33">
        <v>0</v>
      </c>
      <c r="EM41" s="33">
        <v>0</v>
      </c>
      <c r="EN41" s="33">
        <f t="shared" ref="EN41:EN48" si="99">(EK41+1)*DX25</f>
        <v>320</v>
      </c>
      <c r="EO41" s="33">
        <f t="shared" ref="EO41:EO48" si="100">EK41*DY25</f>
        <v>100</v>
      </c>
      <c r="EP41" s="369" t="s">
        <v>235</v>
      </c>
      <c r="EQ41" s="370">
        <f>SUM(EE25:EE32)</f>
        <v>3748.0000000000009</v>
      </c>
      <c r="ER41" s="370">
        <f>SUM(EF25:EF32)</f>
        <v>8218.3637389979303</v>
      </c>
      <c r="ES41" s="371">
        <f>EQ41/$EJ$22</f>
        <v>93.700000000000017</v>
      </c>
      <c r="ET41" s="128">
        <v>200000</v>
      </c>
      <c r="EU41" s="129">
        <f t="shared" si="98"/>
        <v>4950000</v>
      </c>
      <c r="EV41" s="368">
        <v>55</v>
      </c>
      <c r="EW41" s="33">
        <f t="shared" si="97"/>
        <v>30</v>
      </c>
    </row>
    <row r="42" spans="52:153" x14ac:dyDescent="0.35"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270">
        <v>200000</v>
      </c>
      <c r="EK42" s="33">
        <v>4</v>
      </c>
      <c r="EL42" s="317">
        <f t="shared" ref="EL42:EL48" si="101">EK42*EA26-EC26</f>
        <v>128</v>
      </c>
      <c r="EM42" s="33">
        <v>1</v>
      </c>
      <c r="EN42" s="33">
        <f t="shared" si="99"/>
        <v>840</v>
      </c>
      <c r="EO42" s="33">
        <f t="shared" si="100"/>
        <v>800</v>
      </c>
      <c r="EP42" s="369" t="s">
        <v>236</v>
      </c>
      <c r="EQ42" s="370">
        <f>SUM(DX25:DX32)</f>
        <v>1773.3333333333335</v>
      </c>
      <c r="ER42" s="370">
        <f>SUM(DY25:DY32)</f>
        <v>3600</v>
      </c>
      <c r="ES42" s="371">
        <f>EQ42/$EJ$22</f>
        <v>44.333333333333336</v>
      </c>
      <c r="ET42" s="128">
        <v>250000</v>
      </c>
      <c r="EU42" s="129">
        <f t="shared" si="98"/>
        <v>5906250</v>
      </c>
      <c r="EV42" s="368">
        <v>52.5</v>
      </c>
      <c r="EW42" s="33">
        <f t="shared" si="97"/>
        <v>24</v>
      </c>
    </row>
    <row r="43" spans="52:153" x14ac:dyDescent="0.35"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270">
        <v>250000</v>
      </c>
      <c r="EK43" s="33">
        <v>7</v>
      </c>
      <c r="EL43" s="317">
        <f t="shared" si="101"/>
        <v>285.44444444444446</v>
      </c>
      <c r="EM43" s="33">
        <f t="shared" ref="EM43:EM48" si="102">EL43+EM42</f>
        <v>286.44444444444446</v>
      </c>
      <c r="EN43" s="33">
        <f t="shared" si="99"/>
        <v>1450.6666666666667</v>
      </c>
      <c r="EO43" s="33">
        <f t="shared" si="100"/>
        <v>2100</v>
      </c>
      <c r="EP43" s="372" t="s">
        <v>237</v>
      </c>
      <c r="EQ43" s="373">
        <f>SUM(EN41:EN48)</f>
        <v>21010.666666666668</v>
      </c>
      <c r="ER43" s="373">
        <f>SUM(EO41:EO48)</f>
        <v>43900</v>
      </c>
      <c r="ES43" s="374">
        <f>EQ43/$EJ$22</f>
        <v>525.26666666666665</v>
      </c>
      <c r="ET43" s="128">
        <v>300000</v>
      </c>
      <c r="EU43" s="129">
        <f t="shared" si="98"/>
        <v>6750000</v>
      </c>
      <c r="EV43" s="368">
        <v>50</v>
      </c>
      <c r="EW43" s="33">
        <f t="shared" si="97"/>
        <v>20</v>
      </c>
    </row>
    <row r="44" spans="52:153" x14ac:dyDescent="0.35"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270">
        <v>300000</v>
      </c>
      <c r="EK44" s="33">
        <v>9</v>
      </c>
      <c r="EL44" s="317">
        <f t="shared" si="101"/>
        <v>448</v>
      </c>
      <c r="EM44" s="33">
        <f t="shared" si="102"/>
        <v>734.44444444444446</v>
      </c>
      <c r="EN44" s="33">
        <f t="shared" si="99"/>
        <v>1920</v>
      </c>
      <c r="EO44" s="33">
        <f t="shared" si="100"/>
        <v>3600</v>
      </c>
      <c r="EP44" s="33"/>
      <c r="EQ44" s="33"/>
      <c r="ER44" s="33"/>
      <c r="ES44" s="33"/>
      <c r="ET44" s="128">
        <v>350000</v>
      </c>
      <c r="EU44" s="129">
        <f t="shared" si="98"/>
        <v>7481250</v>
      </c>
      <c r="EV44" s="368">
        <v>47.5</v>
      </c>
      <c r="EW44" s="328">
        <f t="shared" si="97"/>
        <v>17.142857142857142</v>
      </c>
    </row>
    <row r="45" spans="52:153" x14ac:dyDescent="0.35"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270">
        <v>350000</v>
      </c>
      <c r="EK45" s="343">
        <v>11</v>
      </c>
      <c r="EL45" s="317">
        <f t="shared" si="101"/>
        <v>688</v>
      </c>
      <c r="EM45" s="33">
        <f t="shared" si="102"/>
        <v>1422.4444444444443</v>
      </c>
      <c r="EN45" s="33">
        <f t="shared" si="99"/>
        <v>2496</v>
      </c>
      <c r="EO45" s="33">
        <f t="shared" si="100"/>
        <v>5500</v>
      </c>
      <c r="EP45" s="33"/>
      <c r="EQ45" s="33"/>
      <c r="ER45" s="33"/>
      <c r="ES45" s="33"/>
      <c r="ET45" s="128">
        <v>400000</v>
      </c>
      <c r="EU45" s="129">
        <f t="shared" si="98"/>
        <v>8100000</v>
      </c>
      <c r="EV45" s="368">
        <v>45</v>
      </c>
      <c r="EW45" s="328">
        <f t="shared" si="97"/>
        <v>15</v>
      </c>
    </row>
    <row r="46" spans="52:153" x14ac:dyDescent="0.35"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270">
        <v>400000</v>
      </c>
      <c r="EK46" s="343">
        <v>13</v>
      </c>
      <c r="EL46" s="317">
        <f t="shared" si="101"/>
        <v>1093.1111111111109</v>
      </c>
      <c r="EM46" s="33">
        <f t="shared" si="102"/>
        <v>2515.5555555555552</v>
      </c>
      <c r="EN46" s="33">
        <f t="shared" si="99"/>
        <v>3285.3333333333335</v>
      </c>
      <c r="EO46" s="33">
        <f t="shared" si="100"/>
        <v>7800</v>
      </c>
      <c r="EP46" s="33"/>
      <c r="EQ46" s="33"/>
      <c r="ER46" s="33"/>
      <c r="ES46" s="33"/>
      <c r="ET46" s="128">
        <v>450000</v>
      </c>
      <c r="EU46" s="129">
        <f t="shared" si="98"/>
        <v>8606250</v>
      </c>
      <c r="EV46" s="368">
        <v>42.5</v>
      </c>
      <c r="EW46" s="328">
        <f t="shared" si="97"/>
        <v>13.333333333333334</v>
      </c>
    </row>
    <row r="47" spans="52:153" x14ac:dyDescent="0.35"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270">
        <v>450000</v>
      </c>
      <c r="EK47" s="343">
        <v>16</v>
      </c>
      <c r="EL47" s="317">
        <f t="shared" si="101"/>
        <v>2048</v>
      </c>
      <c r="EM47" s="33">
        <f t="shared" si="102"/>
        <v>4563.5555555555547</v>
      </c>
      <c r="EN47" s="33">
        <f t="shared" si="99"/>
        <v>4896</v>
      </c>
      <c r="EO47" s="33">
        <f t="shared" si="100"/>
        <v>11200</v>
      </c>
      <c r="EP47" s="33"/>
      <c r="EQ47" s="33"/>
      <c r="ER47" s="33"/>
      <c r="ES47" s="33"/>
      <c r="ET47" s="132">
        <v>500000</v>
      </c>
      <c r="EU47" s="133">
        <f t="shared" si="98"/>
        <v>9000000</v>
      </c>
      <c r="EV47" s="375">
        <v>40</v>
      </c>
      <c r="EW47" s="33">
        <f t="shared" si="97"/>
        <v>12</v>
      </c>
    </row>
    <row r="48" spans="52:153" x14ac:dyDescent="0.35"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270">
        <v>500000</v>
      </c>
      <c r="EK48" s="343">
        <v>16</v>
      </c>
      <c r="EL48" s="33">
        <f t="shared" si="101"/>
        <v>2680.7777777777774</v>
      </c>
      <c r="EM48" s="33">
        <f t="shared" si="102"/>
        <v>7244.3333333333321</v>
      </c>
      <c r="EN48" s="33">
        <f t="shared" si="99"/>
        <v>5802.666666666667</v>
      </c>
      <c r="EO48" s="33">
        <f t="shared" si="100"/>
        <v>12800</v>
      </c>
      <c r="EP48" s="33"/>
      <c r="EQ48" s="33"/>
      <c r="ER48" s="33"/>
      <c r="ES48" s="33"/>
    </row>
    <row r="49" spans="52:69" x14ac:dyDescent="0.35"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</row>
    <row r="50" spans="52:69" x14ac:dyDescent="0.35">
      <c r="AZ50" s="2"/>
      <c r="BA50" s="2"/>
    </row>
    <row r="51" spans="52:69" x14ac:dyDescent="0.35">
      <c r="AZ51" s="2"/>
      <c r="BA51" s="2"/>
    </row>
    <row r="52" spans="52:69" x14ac:dyDescent="0.35">
      <c r="AZ52" s="2"/>
      <c r="BA52" s="2"/>
    </row>
    <row r="53" spans="52:69" x14ac:dyDescent="0.35"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</row>
    <row r="54" spans="52:69" x14ac:dyDescent="0.35">
      <c r="AZ54" s="2"/>
      <c r="BA54" s="2"/>
      <c r="BB54" s="234"/>
      <c r="BC54" s="234"/>
      <c r="BD54" s="234"/>
      <c r="BE54" s="234"/>
      <c r="BF54" s="234"/>
      <c r="BG54" s="234"/>
      <c r="BH54" s="234"/>
      <c r="BI54" s="234"/>
      <c r="BJ54" s="234"/>
      <c r="BK54" s="234"/>
      <c r="BL54" s="234"/>
      <c r="BM54" s="234"/>
      <c r="BN54" s="234"/>
      <c r="BO54" s="234"/>
      <c r="BP54" s="234"/>
      <c r="BQ54" s="234"/>
    </row>
    <row r="55" spans="52:69" x14ac:dyDescent="0.35">
      <c r="AZ55" s="2"/>
      <c r="BA55" s="2"/>
      <c r="BB55" s="234"/>
      <c r="BC55" s="234"/>
      <c r="BD55" s="234"/>
      <c r="BE55" s="234"/>
      <c r="BF55" s="234"/>
      <c r="BG55" s="234"/>
      <c r="BH55" s="234"/>
      <c r="BI55" s="234"/>
      <c r="BJ55" s="234"/>
      <c r="BK55" s="234"/>
      <c r="BL55" s="234"/>
      <c r="BM55" s="234"/>
      <c r="BN55" s="234"/>
      <c r="BO55" s="234"/>
      <c r="BP55" s="234"/>
      <c r="BQ55" s="234"/>
    </row>
    <row r="56" spans="52:69" x14ac:dyDescent="0.35">
      <c r="AZ56" s="2"/>
      <c r="BA56" s="2"/>
      <c r="BB56" s="234"/>
      <c r="BC56" s="234"/>
      <c r="BD56" s="234"/>
      <c r="BE56" s="234"/>
      <c r="BF56" s="234"/>
      <c r="BG56" s="234"/>
      <c r="BH56" s="234"/>
      <c r="BI56" s="234"/>
      <c r="BJ56" s="234"/>
      <c r="BK56" s="234"/>
      <c r="BL56" s="234"/>
      <c r="BM56" s="234"/>
      <c r="BN56" s="234"/>
      <c r="BO56" s="234"/>
      <c r="BP56" s="234"/>
      <c r="BQ56" s="234"/>
    </row>
    <row r="57" spans="52:69" x14ac:dyDescent="0.35">
      <c r="AZ57" s="2"/>
      <c r="BA57" s="2"/>
      <c r="BB57" s="234"/>
      <c r="BC57" s="234"/>
      <c r="BD57" s="234"/>
      <c r="BE57" s="234"/>
      <c r="BF57" s="234"/>
      <c r="BG57" s="234"/>
      <c r="BH57" s="234"/>
      <c r="BI57" s="234"/>
      <c r="BJ57" s="234"/>
      <c r="BK57" s="234"/>
      <c r="BL57" s="234"/>
      <c r="BM57" s="234"/>
      <c r="BN57" s="234"/>
      <c r="BO57" s="234"/>
      <c r="BP57" s="234"/>
      <c r="BQ57" s="234"/>
    </row>
    <row r="58" spans="52:69" x14ac:dyDescent="0.35">
      <c r="AZ58" s="2"/>
      <c r="BA58" s="2"/>
      <c r="BB58" s="234"/>
      <c r="BC58" s="234"/>
      <c r="BD58" s="234"/>
      <c r="BE58" s="234"/>
      <c r="BF58" s="234"/>
      <c r="BG58" s="234"/>
      <c r="BH58" s="234"/>
      <c r="BI58" s="234"/>
      <c r="BJ58" s="234"/>
      <c r="BK58" s="234"/>
      <c r="BL58" s="234"/>
      <c r="BM58" s="234"/>
      <c r="BN58" s="234"/>
      <c r="BO58" s="234"/>
      <c r="BP58" s="234"/>
      <c r="BQ58" s="234"/>
    </row>
    <row r="59" spans="52:69" x14ac:dyDescent="0.35">
      <c r="AZ59" s="2"/>
      <c r="BA59" s="2"/>
      <c r="BB59" s="234"/>
      <c r="BC59" s="234"/>
      <c r="BD59" s="234"/>
      <c r="BE59" s="234"/>
      <c r="BF59" s="234"/>
      <c r="BG59" s="234"/>
      <c r="BH59" s="234"/>
      <c r="BI59" s="234"/>
      <c r="BJ59" s="234"/>
      <c r="BK59" s="234"/>
      <c r="BL59" s="234"/>
      <c r="BM59" s="234"/>
      <c r="BN59" s="234"/>
      <c r="BO59" s="234"/>
      <c r="BP59" s="234"/>
      <c r="BQ59" s="234"/>
    </row>
    <row r="60" spans="52:69" x14ac:dyDescent="0.35">
      <c r="AZ60" s="2"/>
      <c r="BA60" s="2"/>
      <c r="BB60" s="234"/>
      <c r="BC60" s="234"/>
      <c r="BD60" s="234"/>
      <c r="BE60" s="234"/>
      <c r="BF60" s="234"/>
      <c r="BG60" s="234"/>
      <c r="BH60" s="234"/>
      <c r="BI60" s="234"/>
      <c r="BJ60" s="234"/>
      <c r="BK60" s="234"/>
      <c r="BL60" s="234"/>
      <c r="BM60" s="234"/>
      <c r="BN60" s="234"/>
      <c r="BO60" s="234"/>
      <c r="BP60" s="234"/>
      <c r="BQ60" s="234"/>
    </row>
    <row r="61" spans="52:69" x14ac:dyDescent="0.35">
      <c r="AZ61" s="2"/>
      <c r="BA61" s="2"/>
      <c r="BB61" s="234"/>
      <c r="BC61" s="234"/>
      <c r="BD61" s="234"/>
      <c r="BE61" s="234"/>
      <c r="BF61" s="234"/>
      <c r="BG61" s="234"/>
      <c r="BH61" s="234"/>
      <c r="BI61" s="234"/>
      <c r="BJ61" s="234"/>
      <c r="BK61" s="234"/>
      <c r="BL61" s="234"/>
      <c r="BM61" s="234"/>
      <c r="BN61" s="234"/>
      <c r="BO61" s="234"/>
      <c r="BP61" s="234"/>
      <c r="BQ61" s="234"/>
    </row>
    <row r="62" spans="52:69" x14ac:dyDescent="0.35">
      <c r="AZ62" s="2"/>
      <c r="BA62" s="2"/>
      <c r="BB62" s="234"/>
      <c r="BC62" s="234"/>
      <c r="BD62" s="234"/>
      <c r="BE62" s="234"/>
      <c r="BF62" s="234"/>
      <c r="BG62" s="234"/>
      <c r="BH62" s="234"/>
      <c r="BI62" s="234"/>
      <c r="BJ62" s="234"/>
      <c r="BK62" s="234"/>
      <c r="BL62" s="234"/>
      <c r="BM62" s="234"/>
      <c r="BN62" s="234"/>
      <c r="BO62" s="234"/>
      <c r="BP62" s="234"/>
      <c r="BQ62" s="234"/>
    </row>
    <row r="63" spans="52:69" x14ac:dyDescent="0.35">
      <c r="AZ63" s="2"/>
      <c r="BA63" s="2"/>
      <c r="BB63" s="234"/>
      <c r="BC63" s="234"/>
      <c r="BD63" s="234"/>
      <c r="BE63" s="234"/>
      <c r="BF63" s="234"/>
      <c r="BG63" s="234"/>
      <c r="BH63" s="234"/>
      <c r="BI63" s="234"/>
      <c r="BJ63" s="234"/>
      <c r="BK63" s="234"/>
      <c r="BL63" s="234"/>
      <c r="BM63" s="234"/>
      <c r="BN63" s="234"/>
      <c r="BO63" s="234"/>
      <c r="BP63" s="234"/>
      <c r="BQ63" s="234"/>
    </row>
    <row r="64" spans="52:69" x14ac:dyDescent="0.35">
      <c r="AZ64" s="2"/>
      <c r="BA64" s="2"/>
      <c r="BB64" s="234"/>
      <c r="BC64" s="234"/>
      <c r="BD64" s="234"/>
      <c r="BE64" s="234"/>
      <c r="BF64" s="234"/>
      <c r="BG64" s="234"/>
      <c r="BH64" s="234"/>
      <c r="BI64" s="234"/>
      <c r="BJ64" s="234"/>
      <c r="BK64" s="234"/>
      <c r="BL64" s="234"/>
      <c r="BM64" s="234"/>
      <c r="BN64" s="234"/>
      <c r="BO64" s="234"/>
      <c r="BP64" s="234"/>
      <c r="BQ64" s="234"/>
    </row>
    <row r="65" spans="52:69" x14ac:dyDescent="0.35">
      <c r="AZ65" s="2"/>
      <c r="BA65" s="2"/>
      <c r="BB65" s="234"/>
      <c r="BC65" s="234"/>
      <c r="BD65" s="234"/>
      <c r="BE65" s="234"/>
      <c r="BF65" s="234"/>
      <c r="BG65" s="234"/>
      <c r="BH65" s="234"/>
      <c r="BI65" s="234"/>
      <c r="BJ65" s="234"/>
      <c r="BK65" s="234"/>
      <c r="BL65" s="234"/>
      <c r="BM65" s="234"/>
      <c r="BN65" s="234"/>
      <c r="BO65" s="234"/>
      <c r="BP65" s="234"/>
      <c r="BQ65" s="234"/>
    </row>
    <row r="66" spans="52:69" x14ac:dyDescent="0.35">
      <c r="AZ66" s="2"/>
      <c r="BA66" s="2"/>
      <c r="BB66" s="234"/>
      <c r="BC66" s="234"/>
      <c r="BD66" s="234"/>
      <c r="BE66" s="234"/>
      <c r="BF66" s="234"/>
      <c r="BG66" s="234"/>
      <c r="BH66" s="234"/>
      <c r="BI66" s="234"/>
      <c r="BJ66" s="234"/>
      <c r="BK66" s="234"/>
      <c r="BL66" s="234"/>
      <c r="BM66" s="234"/>
      <c r="BN66" s="234"/>
      <c r="BO66" s="234"/>
      <c r="BP66" s="234"/>
      <c r="BQ66" s="234"/>
    </row>
    <row r="67" spans="52:69" x14ac:dyDescent="0.35">
      <c r="AZ67" s="2"/>
      <c r="BA67" s="2"/>
      <c r="BB67" s="234"/>
      <c r="BC67" s="234"/>
      <c r="BD67" s="234"/>
      <c r="BE67" s="234"/>
      <c r="BF67" s="234"/>
      <c r="BG67" s="234"/>
      <c r="BH67" s="234"/>
      <c r="BI67" s="234"/>
      <c r="BJ67" s="234"/>
      <c r="BK67" s="234"/>
      <c r="BL67" s="234"/>
      <c r="BM67" s="234"/>
      <c r="BN67" s="234"/>
      <c r="BO67" s="234"/>
      <c r="BP67" s="234"/>
      <c r="BQ67" s="234"/>
    </row>
    <row r="68" spans="52:69" x14ac:dyDescent="0.35">
      <c r="AZ68" s="2"/>
      <c r="BA68" s="2"/>
      <c r="BB68" s="234"/>
      <c r="BC68" s="234"/>
      <c r="BD68" s="234"/>
      <c r="BE68" s="234"/>
      <c r="BF68" s="234"/>
      <c r="BG68" s="234"/>
      <c r="BH68" s="234"/>
      <c r="BI68" s="234"/>
      <c r="BJ68" s="234"/>
      <c r="BK68" s="234"/>
      <c r="BL68" s="234"/>
      <c r="BM68" s="234"/>
      <c r="BN68" s="234"/>
      <c r="BO68" s="234"/>
      <c r="BP68" s="234"/>
      <c r="BQ68" s="234"/>
    </row>
    <row r="69" spans="52:69" x14ac:dyDescent="0.35">
      <c r="AZ69" s="2"/>
      <c r="BA69" s="2"/>
      <c r="BB69" s="234"/>
      <c r="BC69" s="234"/>
      <c r="BD69" s="234"/>
      <c r="BE69" s="234"/>
      <c r="BF69" s="234"/>
      <c r="BG69" s="234"/>
      <c r="BH69" s="234"/>
      <c r="BI69" s="234"/>
      <c r="BJ69" s="234"/>
      <c r="BK69" s="234"/>
      <c r="BL69" s="234"/>
      <c r="BM69" s="234"/>
      <c r="BN69" s="234"/>
      <c r="BO69" s="234"/>
      <c r="BP69" s="234"/>
      <c r="BQ69" s="234"/>
    </row>
    <row r="70" spans="52:69" x14ac:dyDescent="0.35">
      <c r="AZ70" s="2"/>
      <c r="BA70" s="2"/>
      <c r="BB70" s="234"/>
      <c r="BC70" s="234"/>
      <c r="BD70" s="234"/>
      <c r="BE70" s="234"/>
      <c r="BF70" s="234"/>
      <c r="BG70" s="234"/>
      <c r="BH70" s="234"/>
      <c r="BI70" s="234"/>
      <c r="BJ70" s="234"/>
      <c r="BK70" s="234"/>
      <c r="BL70" s="234"/>
      <c r="BM70" s="234"/>
      <c r="BN70" s="234"/>
      <c r="BO70" s="234"/>
      <c r="BP70" s="234"/>
      <c r="BQ70" s="234"/>
    </row>
    <row r="71" spans="52:69" x14ac:dyDescent="0.35">
      <c r="AZ71" s="2"/>
      <c r="BA71" s="2"/>
      <c r="BB71" s="234"/>
      <c r="BC71" s="234"/>
      <c r="BD71" s="234"/>
      <c r="BE71" s="234"/>
      <c r="BF71" s="234"/>
      <c r="BG71" s="234"/>
      <c r="BH71" s="234"/>
      <c r="BI71" s="234"/>
      <c r="BJ71" s="234"/>
      <c r="BK71" s="234"/>
      <c r="BL71" s="234"/>
      <c r="BM71" s="234"/>
      <c r="BN71" s="234"/>
      <c r="BO71" s="234"/>
      <c r="BP71" s="234"/>
      <c r="BQ71" s="234"/>
    </row>
    <row r="72" spans="52:69" x14ac:dyDescent="0.35">
      <c r="AZ72" s="2"/>
      <c r="BA72" s="2"/>
      <c r="BB72" s="234"/>
      <c r="BC72" s="234"/>
      <c r="BD72" s="234"/>
      <c r="BE72" s="234"/>
      <c r="BF72" s="234"/>
      <c r="BG72" s="234"/>
      <c r="BH72" s="234"/>
      <c r="BI72" s="234"/>
      <c r="BJ72" s="234"/>
      <c r="BK72" s="234"/>
      <c r="BL72" s="234"/>
      <c r="BM72" s="234"/>
      <c r="BN72" s="234"/>
      <c r="BO72" s="234"/>
      <c r="BP72" s="234"/>
      <c r="BQ72" s="234"/>
    </row>
    <row r="73" spans="52:69" x14ac:dyDescent="0.35">
      <c r="AZ73" s="2"/>
      <c r="BA73" s="2"/>
      <c r="BB73" s="234"/>
      <c r="BC73" s="234"/>
      <c r="BD73" s="234"/>
      <c r="BE73" s="234"/>
      <c r="BF73" s="234"/>
      <c r="BG73" s="234"/>
      <c r="BH73" s="234"/>
      <c r="BI73" s="234"/>
      <c r="BJ73" s="234"/>
      <c r="BK73" s="234"/>
      <c r="BL73" s="234"/>
      <c r="BM73" s="234"/>
      <c r="BN73" s="234"/>
      <c r="BO73" s="234"/>
      <c r="BP73" s="234"/>
      <c r="BQ73" s="234"/>
    </row>
  </sheetData>
  <mergeCells count="12">
    <mergeCell ref="EN8:EN9"/>
    <mergeCell ref="AU1:BC2"/>
    <mergeCell ref="BT1:BU3"/>
    <mergeCell ref="BZ1:CA3"/>
    <mergeCell ref="CF1:CG3"/>
    <mergeCell ref="BW1:BX3"/>
    <mergeCell ref="CC1:CD3"/>
    <mergeCell ref="DC2:DF2"/>
    <mergeCell ref="DH2:DS2"/>
    <mergeCell ref="AU3:AW3"/>
    <mergeCell ref="AZ3:BB3"/>
    <mergeCell ref="DC3:DF3"/>
  </mergeCells>
  <phoneticPr fontId="55" type="noConversion"/>
  <conditionalFormatting sqref="AX3:AY3">
    <cfRule type="containsText" dxfId="1176" priority="589" operator="containsText" text=" ">
      <formula>NOT(ISERROR(SEARCH(" ",AX3)))</formula>
    </cfRule>
  </conditionalFormatting>
  <conditionalFormatting sqref="EX9">
    <cfRule type="containsText" dxfId="1175" priority="28" operator="containsText" text=" ">
      <formula>NOT(ISERROR(SEARCH(" ",EX9)))</formula>
    </cfRule>
  </conditionalFormatting>
  <conditionalFormatting sqref="E25">
    <cfRule type="containsText" dxfId="1174" priority="8" operator="containsText" text=" ">
      <formula>NOT(ISERROR(SEARCH(" ",E25)))</formula>
    </cfRule>
  </conditionalFormatting>
  <conditionalFormatting sqref="F25">
    <cfRule type="containsText" dxfId="1173" priority="18" operator="containsText" text=" ">
      <formula>NOT(ISERROR(SEARCH(" ",F25)))</formula>
    </cfRule>
  </conditionalFormatting>
  <conditionalFormatting sqref="R25">
    <cfRule type="colorScale" priority="230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172" priority="231" operator="containsText" text=" ">
      <formula>NOT(ISERROR(SEARCH(" ",R25)))</formula>
    </cfRule>
  </conditionalFormatting>
  <conditionalFormatting sqref="S25:V25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171" priority="54" operator="containsText" text=" ">
      <formula>NOT(ISERROR(SEARCH(" ",S25)))</formula>
    </cfRule>
  </conditionalFormatting>
  <conditionalFormatting sqref="AN25:AO25">
    <cfRule type="cellIs" dxfId="1170" priority="232" operator="equal">
      <formula>" "</formula>
    </cfRule>
    <cfRule type="containsText" dxfId="1169" priority="233" operator="containsText" text=" ">
      <formula>NOT(ISERROR(SEARCH(" ",AN25)))</formula>
    </cfRule>
  </conditionalFormatting>
  <conditionalFormatting sqref="AP25:AS25">
    <cfRule type="cellIs" dxfId="1168" priority="244" operator="equal">
      <formula>" "</formula>
    </cfRule>
  </conditionalFormatting>
  <conditionalFormatting sqref="AU25">
    <cfRule type="cellIs" dxfId="1167" priority="234" operator="greaterThan">
      <formula>1</formula>
    </cfRule>
    <cfRule type="cellIs" dxfId="1166" priority="235" operator="lessThan">
      <formula>1</formula>
    </cfRule>
  </conditionalFormatting>
  <conditionalFormatting sqref="DF25">
    <cfRule type="cellIs" dxfId="1165" priority="243" operator="greaterThan">
      <formula>1</formula>
    </cfRule>
  </conditionalFormatting>
  <conditionalFormatting sqref="DG25">
    <cfRule type="cellIs" dxfId="1164" priority="241" operator="greaterThan">
      <formula>0</formula>
    </cfRule>
    <cfRule type="cellIs" dxfId="1163" priority="242" operator="greaterThan">
      <formula>0</formula>
    </cfRule>
  </conditionalFormatting>
  <conditionalFormatting sqref="E26">
    <cfRule type="containsText" dxfId="1162" priority="7" operator="containsText" text=" ">
      <formula>NOT(ISERROR(SEARCH(" ",E26)))</formula>
    </cfRule>
  </conditionalFormatting>
  <conditionalFormatting sqref="F26">
    <cfRule type="containsText" dxfId="1161" priority="17" operator="containsText" text=" ">
      <formula>NOT(ISERROR(SEARCH(" ",F26)))</formula>
    </cfRule>
  </conditionalFormatting>
  <conditionalFormatting sqref="G26">
    <cfRule type="containsText" dxfId="1160" priority="229" operator="containsText" text=" ">
      <formula>NOT(ISERROR(SEARCH(" ",G26)))</formula>
    </cfRule>
  </conditionalFormatting>
  <conditionalFormatting sqref="R26">
    <cfRule type="colorScale" priority="21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159" priority="214" operator="containsText" text=" ">
      <formula>NOT(ISERROR(SEARCH(" ",R26)))</formula>
    </cfRule>
  </conditionalFormatting>
  <conditionalFormatting sqref="S26:V26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158" priority="52" operator="containsText" text=" ">
      <formula>NOT(ISERROR(SEARCH(" ",S26)))</formula>
    </cfRule>
  </conditionalFormatting>
  <conditionalFormatting sqref="AN26:AO26">
    <cfRule type="cellIs" dxfId="1157" priority="215" operator="equal">
      <formula>" "</formula>
    </cfRule>
    <cfRule type="containsText" dxfId="1156" priority="216" operator="containsText" text=" ">
      <formula>NOT(ISERROR(SEARCH(" ",AN26)))</formula>
    </cfRule>
  </conditionalFormatting>
  <conditionalFormatting sqref="AP26:AS26">
    <cfRule type="cellIs" dxfId="1155" priority="227" operator="equal">
      <formula>" "</formula>
    </cfRule>
  </conditionalFormatting>
  <conditionalFormatting sqref="AU26">
    <cfRule type="cellIs" dxfId="1154" priority="217" operator="greaterThan">
      <formula>1</formula>
    </cfRule>
    <cfRule type="cellIs" dxfId="1153" priority="218" operator="lessThan">
      <formula>1</formula>
    </cfRule>
  </conditionalFormatting>
  <conditionalFormatting sqref="AV26">
    <cfRule type="containsText" dxfId="1152" priority="219" operator="containsText" text=" ">
      <formula>NOT(ISERROR(SEARCH(" ",AV26)))</formula>
    </cfRule>
  </conditionalFormatting>
  <conditionalFormatting sqref="AX26:AY26">
    <cfRule type="containsText" dxfId="1151" priority="220" operator="containsText" text=" ">
      <formula>NOT(ISERROR(SEARCH(" ",AX26)))</formula>
    </cfRule>
  </conditionalFormatting>
  <conditionalFormatting sqref="DF26">
    <cfRule type="cellIs" dxfId="1150" priority="226" operator="greaterThan">
      <formula>1</formula>
    </cfRule>
  </conditionalFormatting>
  <conditionalFormatting sqref="DG26">
    <cfRule type="cellIs" dxfId="1149" priority="224" operator="greaterThan">
      <formula>0</formula>
    </cfRule>
    <cfRule type="cellIs" dxfId="1148" priority="225" operator="greaterThan">
      <formula>0</formula>
    </cfRule>
  </conditionalFormatting>
  <conditionalFormatting sqref="E27">
    <cfRule type="containsText" dxfId="1147" priority="6" operator="containsText" text=" ">
      <formula>NOT(ISERROR(SEARCH(" ",E27)))</formula>
    </cfRule>
  </conditionalFormatting>
  <conditionalFormatting sqref="F27">
    <cfRule type="containsText" dxfId="1146" priority="16" operator="containsText" text=" ">
      <formula>NOT(ISERROR(SEARCH(" ",F27)))</formula>
    </cfRule>
  </conditionalFormatting>
  <conditionalFormatting sqref="G27">
    <cfRule type="containsText" dxfId="1145" priority="211" operator="containsText" text=" ">
      <formula>NOT(ISERROR(SEARCH(" ",G27)))</formula>
    </cfRule>
  </conditionalFormatting>
  <conditionalFormatting sqref="R27">
    <cfRule type="colorScale" priority="19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144" priority="196" operator="containsText" text=" ">
      <formula>NOT(ISERROR(SEARCH(" ",R27)))</formula>
    </cfRule>
  </conditionalFormatting>
  <conditionalFormatting sqref="S27:V27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143" priority="50" operator="containsText" text=" ">
      <formula>NOT(ISERROR(SEARCH(" ",S27)))</formula>
    </cfRule>
  </conditionalFormatting>
  <conditionalFormatting sqref="AN27:AO27">
    <cfRule type="cellIs" dxfId="1142" priority="197" operator="equal">
      <formula>" "</formula>
    </cfRule>
    <cfRule type="containsText" dxfId="1141" priority="198" operator="containsText" text=" ">
      <formula>NOT(ISERROR(SEARCH(" ",AN27)))</formula>
    </cfRule>
  </conditionalFormatting>
  <conditionalFormatting sqref="AP27:AS27">
    <cfRule type="cellIs" dxfId="1140" priority="209" operator="equal">
      <formula>" "</formula>
    </cfRule>
  </conditionalFormatting>
  <conditionalFormatting sqref="AU27">
    <cfRule type="cellIs" dxfId="1139" priority="199" operator="greaterThan">
      <formula>1</formula>
    </cfRule>
    <cfRule type="cellIs" dxfId="1138" priority="200" operator="lessThan">
      <formula>1</formula>
    </cfRule>
  </conditionalFormatting>
  <conditionalFormatting sqref="AV27">
    <cfRule type="containsText" dxfId="1137" priority="201" operator="containsText" text=" ">
      <formula>NOT(ISERROR(SEARCH(" ",AV27)))</formula>
    </cfRule>
  </conditionalFormatting>
  <conditionalFormatting sqref="AX27:AY27">
    <cfRule type="containsText" dxfId="1136" priority="202" operator="containsText" text=" ">
      <formula>NOT(ISERROR(SEARCH(" ",AX27)))</formula>
    </cfRule>
  </conditionalFormatting>
  <conditionalFormatting sqref="DF27">
    <cfRule type="cellIs" dxfId="1135" priority="208" operator="greaterThan">
      <formula>1</formula>
    </cfRule>
  </conditionalFormatting>
  <conditionalFormatting sqref="DG27">
    <cfRule type="cellIs" dxfId="1134" priority="206" operator="greaterThan">
      <formula>0</formula>
    </cfRule>
    <cfRule type="cellIs" dxfId="1133" priority="207" operator="greaterThan">
      <formula>0</formula>
    </cfRule>
  </conditionalFormatting>
  <conditionalFormatting sqref="E28">
    <cfRule type="containsText" dxfId="1132" priority="5" operator="containsText" text=" ">
      <formula>NOT(ISERROR(SEARCH(" ",E28)))</formula>
    </cfRule>
  </conditionalFormatting>
  <conditionalFormatting sqref="F28">
    <cfRule type="containsText" dxfId="1131" priority="15" operator="containsText" text=" ">
      <formula>NOT(ISERROR(SEARCH(" ",F28)))</formula>
    </cfRule>
  </conditionalFormatting>
  <conditionalFormatting sqref="G28">
    <cfRule type="containsText" dxfId="1130" priority="193" operator="containsText" text=" ">
      <formula>NOT(ISERROR(SEARCH(" ",G28)))</formula>
    </cfRule>
  </conditionalFormatting>
  <conditionalFormatting sqref="R28">
    <cfRule type="colorScale" priority="177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129" priority="178" operator="containsText" text=" ">
      <formula>NOT(ISERROR(SEARCH(" ",R28)))</formula>
    </cfRule>
  </conditionalFormatting>
  <conditionalFormatting sqref="S28:V28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128" priority="48" operator="containsText" text=" ">
      <formula>NOT(ISERROR(SEARCH(" ",S28)))</formula>
    </cfRule>
  </conditionalFormatting>
  <conditionalFormatting sqref="AN28:AO28">
    <cfRule type="cellIs" dxfId="1127" priority="179" operator="equal">
      <formula>" "</formula>
    </cfRule>
    <cfRule type="containsText" dxfId="1126" priority="180" operator="containsText" text=" ">
      <formula>NOT(ISERROR(SEARCH(" ",AN28)))</formula>
    </cfRule>
  </conditionalFormatting>
  <conditionalFormatting sqref="AP28:AS28">
    <cfRule type="cellIs" dxfId="1125" priority="191" operator="equal">
      <formula>" "</formula>
    </cfRule>
  </conditionalFormatting>
  <conditionalFormatting sqref="AU28">
    <cfRule type="cellIs" dxfId="1124" priority="181" operator="greaterThan">
      <formula>1</formula>
    </cfRule>
    <cfRule type="cellIs" dxfId="1123" priority="182" operator="lessThan">
      <formula>1</formula>
    </cfRule>
  </conditionalFormatting>
  <conditionalFormatting sqref="AV28">
    <cfRule type="containsText" dxfId="1122" priority="183" operator="containsText" text=" ">
      <formula>NOT(ISERROR(SEARCH(" ",AV28)))</formula>
    </cfRule>
  </conditionalFormatting>
  <conditionalFormatting sqref="AX28:AY28">
    <cfRule type="containsText" dxfId="1121" priority="184" operator="containsText" text=" ">
      <formula>NOT(ISERROR(SEARCH(" ",AX28)))</formula>
    </cfRule>
  </conditionalFormatting>
  <conditionalFormatting sqref="DF28">
    <cfRule type="cellIs" dxfId="1120" priority="190" operator="greaterThan">
      <formula>1</formula>
    </cfRule>
  </conditionalFormatting>
  <conditionalFormatting sqref="DG28">
    <cfRule type="cellIs" dxfId="1119" priority="188" operator="greaterThan">
      <formula>0</formula>
    </cfRule>
    <cfRule type="cellIs" dxfId="1118" priority="189" operator="greaterThan">
      <formula>0</formula>
    </cfRule>
  </conditionalFormatting>
  <conditionalFormatting sqref="E29">
    <cfRule type="containsText" dxfId="1117" priority="1" operator="containsText" text=" ">
      <formula>NOT(ISERROR(SEARCH(" ",E29)))</formula>
    </cfRule>
  </conditionalFormatting>
  <conditionalFormatting sqref="F29">
    <cfRule type="containsText" dxfId="1116" priority="11" operator="containsText" text=" ">
      <formula>NOT(ISERROR(SEARCH(" ",F29)))</formula>
    </cfRule>
  </conditionalFormatting>
  <conditionalFormatting sqref="G29">
    <cfRule type="containsText" dxfId="1115" priority="121" operator="containsText" text=" ">
      <formula>NOT(ISERROR(SEARCH(" ",G29)))</formula>
    </cfRule>
  </conditionalFormatting>
  <conditionalFormatting sqref="R29">
    <cfRule type="colorScale" priority="10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114" priority="106" operator="containsText" text=" ">
      <formula>NOT(ISERROR(SEARCH(" ",R29)))</formula>
    </cfRule>
  </conditionalFormatting>
  <conditionalFormatting sqref="S29:V29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113" priority="40" operator="containsText" text=" ">
      <formula>NOT(ISERROR(SEARCH(" ",S29)))</formula>
    </cfRule>
  </conditionalFormatting>
  <conditionalFormatting sqref="AN29:AO29">
    <cfRule type="cellIs" dxfId="1112" priority="107" operator="equal">
      <formula>" "</formula>
    </cfRule>
    <cfRule type="containsText" dxfId="1111" priority="108" operator="containsText" text=" ">
      <formula>NOT(ISERROR(SEARCH(" ",AN29)))</formula>
    </cfRule>
  </conditionalFormatting>
  <conditionalFormatting sqref="AP29:AS29">
    <cfRule type="cellIs" dxfId="1110" priority="119" operator="equal">
      <formula>" "</formula>
    </cfRule>
  </conditionalFormatting>
  <conditionalFormatting sqref="AU29">
    <cfRule type="cellIs" dxfId="1109" priority="109" operator="greaterThan">
      <formula>1</formula>
    </cfRule>
    <cfRule type="cellIs" dxfId="1108" priority="110" operator="lessThan">
      <formula>1</formula>
    </cfRule>
  </conditionalFormatting>
  <conditionalFormatting sqref="AV29">
    <cfRule type="containsText" dxfId="1107" priority="111" operator="containsText" text=" ">
      <formula>NOT(ISERROR(SEARCH(" ",AV29)))</formula>
    </cfRule>
  </conditionalFormatting>
  <conditionalFormatting sqref="AX29:AY29">
    <cfRule type="containsText" dxfId="1106" priority="112" operator="containsText" text=" ">
      <formula>NOT(ISERROR(SEARCH(" ",AX29)))</formula>
    </cfRule>
  </conditionalFormatting>
  <conditionalFormatting sqref="DF29">
    <cfRule type="cellIs" dxfId="1105" priority="118" operator="greaterThan">
      <formula>1</formula>
    </cfRule>
  </conditionalFormatting>
  <conditionalFormatting sqref="DG29">
    <cfRule type="cellIs" dxfId="1104" priority="116" operator="greaterThan">
      <formula>0</formula>
    </cfRule>
    <cfRule type="cellIs" dxfId="1103" priority="117" operator="greaterThan">
      <formula>0</formula>
    </cfRule>
  </conditionalFormatting>
  <conditionalFormatting sqref="E30">
    <cfRule type="containsText" dxfId="1102" priority="4" operator="containsText" text=" ">
      <formula>NOT(ISERROR(SEARCH(" ",E30)))</formula>
    </cfRule>
  </conditionalFormatting>
  <conditionalFormatting sqref="F30">
    <cfRule type="containsText" dxfId="1101" priority="14" operator="containsText" text=" ">
      <formula>NOT(ISERROR(SEARCH(" ",F30)))</formula>
    </cfRule>
  </conditionalFormatting>
  <conditionalFormatting sqref="G30">
    <cfRule type="containsText" dxfId="1100" priority="175" operator="containsText" text=" ">
      <formula>NOT(ISERROR(SEARCH(" ",G30)))</formula>
    </cfRule>
  </conditionalFormatting>
  <conditionalFormatting sqref="R30"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099" priority="160" operator="containsText" text=" ">
      <formula>NOT(ISERROR(SEARCH(" ",R30)))</formula>
    </cfRule>
  </conditionalFormatting>
  <conditionalFormatting sqref="S30:V30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098" priority="46" operator="containsText" text=" ">
      <formula>NOT(ISERROR(SEARCH(" ",S30)))</formula>
    </cfRule>
  </conditionalFormatting>
  <conditionalFormatting sqref="AN30:AO30">
    <cfRule type="cellIs" dxfId="1097" priority="161" operator="equal">
      <formula>" "</formula>
    </cfRule>
    <cfRule type="containsText" dxfId="1096" priority="162" operator="containsText" text=" ">
      <formula>NOT(ISERROR(SEARCH(" ",AN30)))</formula>
    </cfRule>
  </conditionalFormatting>
  <conditionalFormatting sqref="AP30:AS30">
    <cfRule type="cellIs" dxfId="1095" priority="173" operator="equal">
      <formula>" "</formula>
    </cfRule>
  </conditionalFormatting>
  <conditionalFormatting sqref="AU30">
    <cfRule type="cellIs" dxfId="1094" priority="163" operator="greaterThan">
      <formula>1</formula>
    </cfRule>
    <cfRule type="cellIs" dxfId="1093" priority="164" operator="lessThan">
      <formula>1</formula>
    </cfRule>
  </conditionalFormatting>
  <conditionalFormatting sqref="AV30">
    <cfRule type="containsText" dxfId="1092" priority="165" operator="containsText" text=" ">
      <formula>NOT(ISERROR(SEARCH(" ",AV30)))</formula>
    </cfRule>
  </conditionalFormatting>
  <conditionalFormatting sqref="AX30:AY30">
    <cfRule type="containsText" dxfId="1091" priority="166" operator="containsText" text=" ">
      <formula>NOT(ISERROR(SEARCH(" ",AX30)))</formula>
    </cfRule>
  </conditionalFormatting>
  <conditionalFormatting sqref="DF30">
    <cfRule type="cellIs" dxfId="1090" priority="172" operator="greaterThan">
      <formula>1</formula>
    </cfRule>
  </conditionalFormatting>
  <conditionalFormatting sqref="DG30">
    <cfRule type="cellIs" dxfId="1089" priority="170" operator="greaterThan">
      <formula>0</formula>
    </cfRule>
    <cfRule type="cellIs" dxfId="1088" priority="171" operator="greaterThan">
      <formula>0</formula>
    </cfRule>
  </conditionalFormatting>
  <conditionalFormatting sqref="E31">
    <cfRule type="containsText" dxfId="1087" priority="3" operator="containsText" text=" ">
      <formula>NOT(ISERROR(SEARCH(" ",E31)))</formula>
    </cfRule>
  </conditionalFormatting>
  <conditionalFormatting sqref="F31">
    <cfRule type="containsText" dxfId="1086" priority="13" operator="containsText" text=" ">
      <formula>NOT(ISERROR(SEARCH(" ",F31)))</formula>
    </cfRule>
  </conditionalFormatting>
  <conditionalFormatting sqref="G31">
    <cfRule type="containsText" dxfId="1085" priority="157" operator="containsText" text=" ">
      <formula>NOT(ISERROR(SEARCH(" ",G31)))</formula>
    </cfRule>
  </conditionalFormatting>
  <conditionalFormatting sqref="R31">
    <cfRule type="colorScale" priority="14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084" priority="142" operator="containsText" text=" ">
      <formula>NOT(ISERROR(SEARCH(" ",R31)))</formula>
    </cfRule>
  </conditionalFormatting>
  <conditionalFormatting sqref="S31:V31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083" priority="44" operator="containsText" text=" ">
      <formula>NOT(ISERROR(SEARCH(" ",S31)))</formula>
    </cfRule>
  </conditionalFormatting>
  <conditionalFormatting sqref="AN31:AO31">
    <cfRule type="cellIs" dxfId="1082" priority="143" operator="equal">
      <formula>" "</formula>
    </cfRule>
    <cfRule type="containsText" dxfId="1081" priority="144" operator="containsText" text=" ">
      <formula>NOT(ISERROR(SEARCH(" ",AN31)))</formula>
    </cfRule>
  </conditionalFormatting>
  <conditionalFormatting sqref="AP31:AS31">
    <cfRule type="cellIs" dxfId="1080" priority="155" operator="equal">
      <formula>" "</formula>
    </cfRule>
  </conditionalFormatting>
  <conditionalFormatting sqref="AU31">
    <cfRule type="cellIs" dxfId="1079" priority="145" operator="greaterThan">
      <formula>1</formula>
    </cfRule>
    <cfRule type="cellIs" dxfId="1078" priority="146" operator="lessThan">
      <formula>1</formula>
    </cfRule>
  </conditionalFormatting>
  <conditionalFormatting sqref="AV31">
    <cfRule type="containsText" dxfId="1077" priority="147" operator="containsText" text=" ">
      <formula>NOT(ISERROR(SEARCH(" ",AV31)))</formula>
    </cfRule>
  </conditionalFormatting>
  <conditionalFormatting sqref="AX31:AY31">
    <cfRule type="containsText" dxfId="1076" priority="148" operator="containsText" text=" ">
      <formula>NOT(ISERROR(SEARCH(" ",AX31)))</formula>
    </cfRule>
  </conditionalFormatting>
  <conditionalFormatting sqref="DF31">
    <cfRule type="cellIs" dxfId="1075" priority="154" operator="greaterThan">
      <formula>1</formula>
    </cfRule>
  </conditionalFormatting>
  <conditionalFormatting sqref="DG31">
    <cfRule type="cellIs" dxfId="1074" priority="152" operator="greaterThan">
      <formula>0</formula>
    </cfRule>
    <cfRule type="cellIs" dxfId="1073" priority="153" operator="greaterThan">
      <formula>0</formula>
    </cfRule>
  </conditionalFormatting>
  <conditionalFormatting sqref="E32">
    <cfRule type="containsText" dxfId="1072" priority="2" operator="containsText" text=" ">
      <formula>NOT(ISERROR(SEARCH(" ",E32)))</formula>
    </cfRule>
  </conditionalFormatting>
  <conditionalFormatting sqref="F32">
    <cfRule type="containsText" dxfId="1071" priority="12" operator="containsText" text=" ">
      <formula>NOT(ISERROR(SEARCH(" ",F32)))</formula>
    </cfRule>
  </conditionalFormatting>
  <conditionalFormatting sqref="G32">
    <cfRule type="containsText" dxfId="1070" priority="139" operator="containsText" text=" ">
      <formula>NOT(ISERROR(SEARCH(" ",G32)))</formula>
    </cfRule>
  </conditionalFormatting>
  <conditionalFormatting sqref="R32"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069" priority="124" operator="containsText" text=" ">
      <formula>NOT(ISERROR(SEARCH(" ",R32)))</formula>
    </cfRule>
  </conditionalFormatting>
  <conditionalFormatting sqref="S32:V32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068" priority="42" operator="containsText" text=" ">
      <formula>NOT(ISERROR(SEARCH(" ",S32)))</formula>
    </cfRule>
  </conditionalFormatting>
  <conditionalFormatting sqref="AN32:AO32">
    <cfRule type="cellIs" dxfId="1067" priority="125" operator="equal">
      <formula>" "</formula>
    </cfRule>
    <cfRule type="containsText" dxfId="1066" priority="126" operator="containsText" text=" ">
      <formula>NOT(ISERROR(SEARCH(" ",AN32)))</formula>
    </cfRule>
  </conditionalFormatting>
  <conditionalFormatting sqref="AP32:AS32">
    <cfRule type="cellIs" dxfId="1065" priority="137" operator="equal">
      <formula>" "</formula>
    </cfRule>
  </conditionalFormatting>
  <conditionalFormatting sqref="AU32">
    <cfRule type="cellIs" dxfId="1064" priority="127" operator="greaterThan">
      <formula>1</formula>
    </cfRule>
    <cfRule type="cellIs" dxfId="1063" priority="128" operator="lessThan">
      <formula>1</formula>
    </cfRule>
  </conditionalFormatting>
  <conditionalFormatting sqref="AV32">
    <cfRule type="containsText" dxfId="1062" priority="129" operator="containsText" text=" ">
      <formula>NOT(ISERROR(SEARCH(" ",AV32)))</formula>
    </cfRule>
  </conditionalFormatting>
  <conditionalFormatting sqref="AX32:AY32">
    <cfRule type="containsText" dxfId="1061" priority="130" operator="containsText" text=" ">
      <formula>NOT(ISERROR(SEARCH(" ",AX32)))</formula>
    </cfRule>
  </conditionalFormatting>
  <conditionalFormatting sqref="DF32">
    <cfRule type="cellIs" dxfId="1060" priority="136" operator="greaterThan">
      <formula>1</formula>
    </cfRule>
  </conditionalFormatting>
  <conditionalFormatting sqref="DG32">
    <cfRule type="cellIs" dxfId="1059" priority="134" operator="greaterThan">
      <formula>0</formula>
    </cfRule>
    <cfRule type="cellIs" dxfId="1058" priority="135" operator="greaterThan">
      <formula>0</formula>
    </cfRule>
  </conditionalFormatting>
  <conditionalFormatting sqref="EW39">
    <cfRule type="containsText" dxfId="1057" priority="23" operator="containsText" text=" ">
      <formula>NOT(ISERROR(SEARCH(" ",EW39)))</formula>
    </cfRule>
  </conditionalFormatting>
  <conditionalFormatting sqref="E5:E24">
    <cfRule type="containsText" dxfId="1056" priority="10" operator="containsText" text=" ">
      <formula>NOT(ISERROR(SEARCH(" ",E5)))</formula>
    </cfRule>
  </conditionalFormatting>
  <conditionalFormatting sqref="E33:E1048576">
    <cfRule type="containsText" dxfId="1055" priority="9" operator="containsText" text=" ">
      <formula>NOT(ISERROR(SEARCH(" ",E33)))</formula>
    </cfRule>
  </conditionalFormatting>
  <conditionalFormatting sqref="F5:F24">
    <cfRule type="containsText" dxfId="1054" priority="19" operator="containsText" text=" ">
      <formula>NOT(ISERROR(SEARCH(" ",F5)))</formula>
    </cfRule>
  </conditionalFormatting>
  <conditionalFormatting sqref="Q5:Q12">
    <cfRule type="colorScale" priority="283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053" priority="2832" operator="containsText" text=" ">
      <formula>NOT(ISERROR(SEARCH(" ",Q5)))</formula>
    </cfRule>
  </conditionalFormatting>
  <conditionalFormatting sqref="Q13:Q24">
    <cfRule type="colorScale" priority="272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052" priority="273" operator="containsText" text=" ">
      <formula>NOT(ISERROR(SEARCH(" ",Q13)))</formula>
    </cfRule>
  </conditionalFormatting>
  <conditionalFormatting sqref="X25:X32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051" priority="32" operator="containsText" text=" ">
      <formula>NOT(ISERROR(SEARCH(" ",X25)))</formula>
    </cfRule>
  </conditionalFormatting>
  <conditionalFormatting sqref="AU5:AU9">
    <cfRule type="cellIs" dxfId="1050" priority="262" operator="greaterThan">
      <formula>1</formula>
    </cfRule>
    <cfRule type="cellIs" dxfId="1049" priority="263" operator="lessThan">
      <formula>1</formula>
    </cfRule>
  </conditionalFormatting>
  <conditionalFormatting sqref="AU10:AU19">
    <cfRule type="cellIs" dxfId="1048" priority="259" operator="greaterThan">
      <formula>1</formula>
    </cfRule>
    <cfRule type="cellIs" dxfId="1047" priority="260" operator="lessThan">
      <formula>1</formula>
    </cfRule>
  </conditionalFormatting>
  <conditionalFormatting sqref="AU20:AU24">
    <cfRule type="cellIs" dxfId="1046" priority="254" operator="greaterThan">
      <formula>1</formula>
    </cfRule>
    <cfRule type="cellIs" dxfId="1045" priority="255" operator="lessThan">
      <formula>1</formula>
    </cfRule>
  </conditionalFormatting>
  <conditionalFormatting sqref="AV10:AV19">
    <cfRule type="containsText" dxfId="1044" priority="261" operator="containsText" text=" ">
      <formula>NOT(ISERROR(SEARCH(" ",AV10)))</formula>
    </cfRule>
  </conditionalFormatting>
  <conditionalFormatting sqref="AV20:AV24">
    <cfRule type="containsText" dxfId="1043" priority="256" operator="containsText" text=" ">
      <formula>NOT(ISERROR(SEARCH(" ",AV20)))</formula>
    </cfRule>
  </conditionalFormatting>
  <conditionalFormatting sqref="AZ5:AZ19">
    <cfRule type="cellIs" dxfId="1042" priority="268" operator="greaterThan">
      <formula>1</formula>
    </cfRule>
    <cfRule type="cellIs" dxfId="1041" priority="269" operator="lessThan">
      <formula>1</formula>
    </cfRule>
  </conditionalFormatting>
  <conditionalFormatting sqref="BO15:BO19">
    <cfRule type="cellIs" dxfId="1040" priority="264" operator="greaterThan">
      <formula>1</formula>
    </cfRule>
    <cfRule type="cellIs" dxfId="1039" priority="265" operator="lessThan">
      <formula>1</formula>
    </cfRule>
  </conditionalFormatting>
  <conditionalFormatting sqref="BT5:BT19">
    <cfRule type="cellIs" dxfId="1038" priority="369" operator="greaterThan">
      <formula>1</formula>
    </cfRule>
    <cfRule type="cellIs" dxfId="1037" priority="370" operator="lessThan">
      <formula>1</formula>
    </cfRule>
  </conditionalFormatting>
  <conditionalFormatting sqref="BW5:BW19">
    <cfRule type="cellIs" dxfId="1036" priority="321" operator="greaterThan">
      <formula>1</formula>
    </cfRule>
    <cfRule type="cellIs" dxfId="1035" priority="322" operator="lessThan">
      <formula>1</formula>
    </cfRule>
  </conditionalFormatting>
  <conditionalFormatting sqref="BZ5:BZ19">
    <cfRule type="cellIs" dxfId="1034" priority="289" operator="greaterThan">
      <formula>1</formula>
    </cfRule>
    <cfRule type="cellIs" dxfId="1033" priority="290" operator="lessThan">
      <formula>1</formula>
    </cfRule>
  </conditionalFormatting>
  <conditionalFormatting sqref="CC5:CC19">
    <cfRule type="cellIs" dxfId="1032" priority="287" operator="greaterThan">
      <formula>1</formula>
    </cfRule>
    <cfRule type="cellIs" dxfId="1031" priority="288" operator="lessThan">
      <formula>1</formula>
    </cfRule>
  </conditionalFormatting>
  <conditionalFormatting sqref="CF5:CF19">
    <cfRule type="cellIs" dxfId="1030" priority="285" operator="greaterThan">
      <formula>1</formula>
    </cfRule>
    <cfRule type="cellIs" dxfId="1029" priority="286" operator="lessThan">
      <formula>1</formula>
    </cfRule>
  </conditionalFormatting>
  <conditionalFormatting sqref="DF5:DF24">
    <cfRule type="cellIs" dxfId="1028" priority="401" operator="greaterThan">
      <formula>1</formula>
    </cfRule>
  </conditionalFormatting>
  <conditionalFormatting sqref="DG5:DG24">
    <cfRule type="cellIs" dxfId="1027" priority="398" operator="greaterThan">
      <formula>0</formula>
    </cfRule>
    <cfRule type="cellIs" dxfId="1026" priority="399" operator="greaterThan">
      <formula>0</formula>
    </cfRule>
  </conditionalFormatting>
  <conditionalFormatting sqref="EW35:EW38">
    <cfRule type="containsText" dxfId="1025" priority="24" operator="containsText" text=" ">
      <formula>NOT(ISERROR(SEARCH(" ",EW35)))</formula>
    </cfRule>
  </conditionalFormatting>
  <conditionalFormatting sqref="EZ10:EZ17">
    <cfRule type="containsText" dxfId="1024" priority="27" operator="containsText" text=" ">
      <formula>NOT(ISERROR(SEARCH(" ",EZ10)))</formula>
    </cfRule>
  </conditionalFormatting>
  <conditionalFormatting sqref="A5:A24 H5:H18 G5:G17 AE5:AF24 AK5:AM24 A26 A28 A30 A32 O26 O28 O30 O32 P25:P32 DT24:XFD24 DT23:EG23 EI23:XFD23 AP5:AS24 J25:J32 DT1:XFD6 DT9:EH9 DT20:XFD22 DT19:EH19 EJ19:XFD19 FA10:XFD17 EY7:XFD7 FA8:XFD8 C5:D6 B7:D24 I5:M24 O5:P24 N5:N32">
    <cfRule type="containsText" dxfId="1023" priority="587" operator="containsText" text=" ">
      <formula>NOT(ISERROR(SEARCH(" ",A1)))</formula>
    </cfRule>
  </conditionalFormatting>
  <conditionalFormatting sqref="AU1 AE33:AY1048576">
    <cfRule type="containsText" dxfId="1022" priority="284" operator="containsText" text=" ">
      <formula>NOT(ISERROR(SEARCH(" ",AE1)))</formula>
    </cfRule>
  </conditionalFormatting>
  <conditionalFormatting sqref="B6 G17:G24 AX4:AY4 AV4">
    <cfRule type="containsText" dxfId="1021" priority="593" operator="containsText" text=" ">
      <formula>NOT(ISERROR(SEARCH(" ",B4)))</formula>
    </cfRule>
  </conditionalFormatting>
  <conditionalFormatting sqref="B5 CZ52:XFD1048576 EI33:EJ33 EL33:EQ33 ES33 EX33:XFD33">
    <cfRule type="containsText" dxfId="1020" priority="595" operator="containsText" text=" ">
      <formula>NOT(ISERROR(SEARCH(" ",B5)))</formula>
    </cfRule>
  </conditionalFormatting>
  <conditionalFormatting sqref="O5:P24 O26 O28 O30 O32 P25:P32">
    <cfRule type="colorScale" priority="2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5:R24 X24 X5:AD23 Z24:AA24">
    <cfRule type="colorScale" priority="247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019" priority="248" operator="containsText" text=" ">
      <formula>NOT(ISERROR(SEARCH(" ",R5)))</formula>
    </cfRule>
  </conditionalFormatting>
  <conditionalFormatting sqref="S5:V24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018" priority="56" operator="containsText" text=" ">
      <formula>NOT(ISERROR(SEARCH(" ",S5)))</formula>
    </cfRule>
  </conditionalFormatting>
  <conditionalFormatting sqref="AK5:AM11 AP5:AS24">
    <cfRule type="cellIs" dxfId="1017" priority="417" operator="equal">
      <formula>" "</formula>
    </cfRule>
  </conditionalFormatting>
  <conditionalFormatting sqref="AN5:AO24">
    <cfRule type="cellIs" dxfId="1016" priority="252" operator="equal">
      <formula>" "</formula>
    </cfRule>
    <cfRule type="containsText" dxfId="1015" priority="253" operator="containsText" text=" ">
      <formula>NOT(ISERROR(SEARCH(" ",AN5)))</formula>
    </cfRule>
  </conditionalFormatting>
  <conditionalFormatting sqref="AV5:AV9 AX13:AY14 AY11:AY12 AX17:AY19 AY16 AX21:AY24 AY20">
    <cfRule type="containsText" dxfId="1014" priority="270" operator="containsText" text=" ">
      <formula>NOT(ISERROR(SEARCH(" ",AV5)))</formula>
    </cfRule>
  </conditionalFormatting>
  <conditionalFormatting sqref="AX5:AY5 AX9:AY9 AY6:AY8 AX10 AX15 AX20">
    <cfRule type="containsText" dxfId="1013" priority="271" operator="containsText" text=" ">
      <formula>NOT(ISERROR(SEARCH(" ",AX5)))</formula>
    </cfRule>
  </conditionalFormatting>
  <conditionalFormatting sqref="AX25:AY25 DT7:EN7 EP7:EX7 DT8:EH8">
    <cfRule type="containsText" dxfId="1012" priority="237" operator="containsText" text=" ">
      <formula>NOT(ISERROR(SEARCH(" ",AX7)))</formula>
    </cfRule>
  </conditionalFormatting>
  <conditionalFormatting sqref="EL9:EM9 ET9:ET17 EZ9 EU10:EV17 EJ18:ES18 EV18:EZ18 EJ10:EL17 EN10:EN17 EP10:EP17 EP8:EX8 EI8:EM8 EW9:EW17 EY9:EY17">
    <cfRule type="containsText" dxfId="1011" priority="29" operator="containsText" text=" ">
      <formula>NOT(ISERROR(SEARCH(" ",EI8)))</formula>
    </cfRule>
  </conditionalFormatting>
  <conditionalFormatting sqref="EI9:EK9 EY8:EZ8">
    <cfRule type="containsText" dxfId="1010" priority="30" operator="containsText" text=" ">
      <formula>NOT(ISERROR(SEARCH(" ",EI8)))</formula>
    </cfRule>
  </conditionalFormatting>
  <conditionalFormatting sqref="AV25 EI19 FA9:XFD9 FA18:XFD18 DT10:EH18">
    <cfRule type="containsText" dxfId="1009" priority="236" operator="containsText" text=" ">
      <formula>NOT(ISERROR(SEARCH(" ",AV9)))</formula>
    </cfRule>
  </conditionalFormatting>
  <conditionalFormatting sqref="AY10 R33:AD1048576">
    <cfRule type="containsText" dxfId="1008" priority="258" operator="containsText" text=" ">
      <formula>NOT(ISERROR(SEARCH(" ",R10)))</formula>
    </cfRule>
  </conditionalFormatting>
  <conditionalFormatting sqref="AY15 A33:D1048576 F33:Q1048576">
    <cfRule type="containsText" dxfId="1007" priority="257" operator="containsText" text=" ">
      <formula>NOT(ISERROR(SEARCH(" ",A15)))</formula>
    </cfRule>
  </conditionalFormatting>
  <conditionalFormatting sqref="BC15:BC19 BF15:BF19 BI15:BI19 BL15:BL19">
    <cfRule type="cellIs" dxfId="1006" priority="266" operator="greaterThan">
      <formula>1</formula>
    </cfRule>
    <cfRule type="cellIs" dxfId="1005" priority="267" operator="lessThan">
      <formula>1</formula>
    </cfRule>
  </conditionalFormatting>
  <conditionalFormatting sqref="AE25:AF25 AK25:AM25 AP25:AS25 A25:D25 I25 A27 A29 A31 O27 O29 O31 EI25:EV25 K25:M25 EB26:EB32 EX25:XFD25 EN26:EN32 EI26:EI32 O25">
    <cfRule type="containsText" dxfId="1004" priority="245" operator="containsText" text=" ">
      <formula>NOT(ISERROR(SEARCH(" ",A25)))</formula>
    </cfRule>
  </conditionalFormatting>
  <conditionalFormatting sqref="AE32:AF32 AK32:AM32 AP32:AS32 B32:D32 I32 EK32:EM32 EO32:ES32 K32:M32 EW25:EW31 EX32:XFD32">
    <cfRule type="containsText" dxfId="1003" priority="138" operator="containsText" text=" ">
      <formula>NOT(ISERROR(SEARCH(" ",B25)))</formula>
    </cfRule>
  </conditionalFormatting>
  <conditionalFormatting sqref="G25 DB33:DW33 DY33:EF33 EH25:EH33 DB34:EJ34 EK33 EL34:EQ34 ES34 ER33 DB48:XFD51 DT25:EF32 DB35:ES47 EX34:XFD47">
    <cfRule type="containsText" dxfId="1002" priority="246" operator="containsText" text=" ">
      <formula>NOT(ISERROR(SEARCH(" ",G25)))</formula>
    </cfRule>
  </conditionalFormatting>
  <conditionalFormatting sqref="O25 O27 O29 O31">
    <cfRule type="colorScale" priority="2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27 Q25 Q29 Q31">
    <cfRule type="colorScale" priority="238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001" priority="239" operator="containsText" text=" ">
      <formula>NOT(ISERROR(SEARCH(" ",Q25)))</formula>
    </cfRule>
  </conditionalFormatting>
  <conditionalFormatting sqref="Z25:AA32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000" priority="34" operator="containsText" text=" ">
      <formula>NOT(ISERROR(SEARCH(" ",Z25)))</formula>
    </cfRule>
  </conditionalFormatting>
  <conditionalFormatting sqref="AE26:AF26 AK26:AM26 AP26:AS26 B26:D26 I26 EJ26:EM26 EJ27:EJ32 EO26:EV26 K26:M26 EX26:XFD26">
    <cfRule type="containsText" dxfId="999" priority="228" operator="containsText" text=" ">
      <formula>NOT(ISERROR(SEARCH(" ",B26)))</formula>
    </cfRule>
  </conditionalFormatting>
  <conditionalFormatting sqref="Q26 Q28 Q30 Q32">
    <cfRule type="colorScale" priority="22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98" priority="222" operator="containsText" text=" ">
      <formula>NOT(ISERROR(SEARCH(" ",Q26)))</formula>
    </cfRule>
  </conditionalFormatting>
  <conditionalFormatting sqref="AE27:AF27 AK27:AM27 AP27:AS27 B27:D27 I27 EK27:EM27 EO27:EV27 K27:M27 EX27:XFD27">
    <cfRule type="containsText" dxfId="997" priority="210" operator="containsText" text=" ">
      <formula>NOT(ISERROR(SEARCH(" ",B27)))</formula>
    </cfRule>
  </conditionalFormatting>
  <conditionalFormatting sqref="AE28:AF28 AK28:AM28 AP28:AS28 B28:D28 I28 EK28:EM28 EO28:EV28 K28:M28 EX28:XFD28">
    <cfRule type="containsText" dxfId="996" priority="192" operator="containsText" text=" ">
      <formula>NOT(ISERROR(SEARCH(" ",B28)))</formula>
    </cfRule>
  </conditionalFormatting>
  <conditionalFormatting sqref="AE29:AF29 AK29:AM29 AP29:AS29 B29:D29 I29 EK29:EM29 EO29:EV29 K29:M29 EX29:XFD29">
    <cfRule type="containsText" dxfId="995" priority="120" operator="containsText" text=" ">
      <formula>NOT(ISERROR(SEARCH(" ",B29)))</formula>
    </cfRule>
  </conditionalFormatting>
  <conditionalFormatting sqref="AE30:AF30 AK30:AM30 AP30:AS30 B30:D30 I30 EK30:EM30 EO30:EV30 K30:M30 EX30:XFD30">
    <cfRule type="containsText" dxfId="994" priority="174" operator="containsText" text=" ">
      <formula>NOT(ISERROR(SEARCH(" ",B30)))</formula>
    </cfRule>
  </conditionalFormatting>
  <conditionalFormatting sqref="AE31:AF31 AK31:AM31 AP31:AS31 B31:D31 I31 EK31:EM31 EO31:EV31 K31:M31 EX31:XFD31">
    <cfRule type="containsText" dxfId="993" priority="156" operator="containsText" text=" ">
      <formula>NOT(ISERROR(SEARCH(" ",B31)))</formula>
    </cfRule>
  </conditionalFormatting>
  <conditionalFormatting sqref="ET32:EU33 EW32:EW33 EU34:EV47">
    <cfRule type="containsText" dxfId="992" priority="25" operator="containsText" text=" ">
      <formula>NOT(ISERROR(SEARCH(" ",ET32)))</formula>
    </cfRule>
  </conditionalFormatting>
  <conditionalFormatting sqref="ET36:ET47 EW40:EW47">
    <cfRule type="containsText" dxfId="991" priority="26" operator="containsText" text=" ">
      <formula>NOT(ISERROR(SEARCH(" ",ET36)))</formula>
    </cfRule>
  </conditionalFormatting>
  <pageMargins left="0.69930555555555596" right="0.69930555555555596" top="0.75" bottom="0.75" header="0.3" footer="0.3"/>
  <pageSetup paperSize="9" orientation="portrait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H406"/>
  <sheetViews>
    <sheetView tabSelected="1" topLeftCell="A385" workbookViewId="0">
      <selection activeCell="E412" sqref="E412"/>
    </sheetView>
  </sheetViews>
  <sheetFormatPr defaultColWidth="9" defaultRowHeight="15.6" x14ac:dyDescent="0.25"/>
  <cols>
    <col min="1" max="1" width="32.77734375" style="2" customWidth="1"/>
    <col min="2" max="2" width="39.77734375" style="67" customWidth="1"/>
    <col min="3" max="3" width="26.44140625" style="2" customWidth="1"/>
    <col min="4" max="4" width="51.77734375" style="2" customWidth="1"/>
    <col min="5" max="5" width="9.6640625" style="2" customWidth="1"/>
    <col min="6" max="6" width="9" style="2"/>
    <col min="7" max="7" width="17.21875" style="2" customWidth="1"/>
    <col min="8" max="8" width="11.6640625" style="2" customWidth="1"/>
    <col min="9" max="9" width="10.44140625" style="2" customWidth="1"/>
    <col min="10" max="10" width="8.88671875" style="2" customWidth="1"/>
    <col min="11" max="11" width="8" style="2" customWidth="1"/>
    <col min="12" max="12" width="9.33203125" style="2" customWidth="1"/>
    <col min="13" max="13" width="8.44140625" style="2" customWidth="1"/>
    <col min="14" max="14" width="10.109375" style="2" customWidth="1"/>
    <col min="15" max="15" width="9" style="2"/>
    <col min="16" max="17" width="10.109375" style="2" customWidth="1"/>
    <col min="18" max="18" width="10.44140625" style="2" customWidth="1"/>
    <col min="19" max="19" width="10" style="2" customWidth="1"/>
    <col min="20" max="20" width="11.6640625" style="2" customWidth="1"/>
    <col min="21" max="21" width="8.21875" style="2" customWidth="1"/>
    <col min="22" max="22" width="11.44140625" style="2" customWidth="1"/>
    <col min="23" max="24" width="10.44140625" style="2" customWidth="1"/>
    <col min="25" max="25" width="7.109375" style="2" customWidth="1"/>
    <col min="26" max="26" width="10.44140625" style="2" customWidth="1"/>
    <col min="27" max="27" width="7.77734375" style="2" customWidth="1"/>
    <col min="28" max="28" width="10.44140625" style="2" customWidth="1"/>
    <col min="29" max="29" width="7.109375" style="2" customWidth="1"/>
    <col min="30" max="30" width="9.33203125" style="2" customWidth="1"/>
    <col min="31" max="31" width="8.77734375" style="2" customWidth="1"/>
    <col min="32" max="32" width="9" style="2"/>
    <col min="33" max="33" width="10.109375" style="2" customWidth="1"/>
    <col min="34" max="34" width="9.33203125" style="2" customWidth="1"/>
    <col min="35" max="16384" width="9" style="2"/>
  </cols>
  <sheetData>
    <row r="1" spans="1:16" x14ac:dyDescent="0.35">
      <c r="A1" s="3" t="s">
        <v>238</v>
      </c>
      <c r="B1" s="141" t="s">
        <v>0</v>
      </c>
    </row>
    <row r="2" spans="1:16" x14ac:dyDescent="0.35">
      <c r="A2" s="3" t="s">
        <v>14</v>
      </c>
      <c r="B2" s="141" t="s">
        <v>14</v>
      </c>
    </row>
    <row r="3" spans="1:16" x14ac:dyDescent="0.35">
      <c r="A3" s="3" t="s">
        <v>239</v>
      </c>
      <c r="B3" s="141" t="s">
        <v>240</v>
      </c>
    </row>
    <row r="4" spans="1:16" ht="26.4" x14ac:dyDescent="0.35">
      <c r="A4" s="5" t="s">
        <v>241</v>
      </c>
      <c r="B4" s="142" t="s">
        <v>242</v>
      </c>
      <c r="D4" s="24" t="s">
        <v>243</v>
      </c>
    </row>
    <row r="5" spans="1:16" ht="16.2" x14ac:dyDescent="0.35">
      <c r="A5" s="92" t="s">
        <v>244</v>
      </c>
      <c r="B5" s="143">
        <v>6</v>
      </c>
      <c r="D5" s="24" t="s">
        <v>245</v>
      </c>
      <c r="E5" s="2">
        <v>6</v>
      </c>
    </row>
    <row r="6" spans="1:16" ht="16.2" x14ac:dyDescent="0.35">
      <c r="A6" s="92" t="s">
        <v>246</v>
      </c>
      <c r="B6" s="143">
        <f>1800/1280</f>
        <v>1.40625</v>
      </c>
      <c r="D6" s="24" t="s">
        <v>247</v>
      </c>
    </row>
    <row r="7" spans="1:16" ht="16.2" x14ac:dyDescent="0.35">
      <c r="A7" s="92" t="s">
        <v>248</v>
      </c>
      <c r="B7" s="143">
        <v>0.7</v>
      </c>
      <c r="D7" s="24" t="s">
        <v>249</v>
      </c>
    </row>
    <row r="8" spans="1:16" ht="16.2" x14ac:dyDescent="0.35">
      <c r="A8" s="92" t="s">
        <v>250</v>
      </c>
      <c r="B8" s="144">
        <v>5.0000000000000001E-3</v>
      </c>
      <c r="D8" s="24" t="s">
        <v>251</v>
      </c>
    </row>
    <row r="9" spans="1:16" ht="16.2" x14ac:dyDescent="0.35">
      <c r="A9" s="92" t="s">
        <v>252</v>
      </c>
      <c r="B9" s="145" t="s">
        <v>253</v>
      </c>
      <c r="D9" s="24" t="s">
        <v>254</v>
      </c>
    </row>
    <row r="10" spans="1:16" ht="16.2" x14ac:dyDescent="0.35">
      <c r="A10" s="92" t="s">
        <v>255</v>
      </c>
      <c r="B10" s="145" t="s">
        <v>256</v>
      </c>
      <c r="D10" s="24" t="s">
        <v>257</v>
      </c>
      <c r="E10"/>
    </row>
    <row r="11" spans="1:16" ht="16.2" x14ac:dyDescent="0.35">
      <c r="A11" s="92" t="s">
        <v>258</v>
      </c>
      <c r="B11" s="145" t="s">
        <v>259</v>
      </c>
      <c r="D11" s="24" t="s">
        <v>260</v>
      </c>
    </row>
    <row r="12" spans="1:16" ht="16.2" x14ac:dyDescent="0.4">
      <c r="A12" s="22" t="s">
        <v>261</v>
      </c>
      <c r="B12" s="146" t="s">
        <v>262</v>
      </c>
      <c r="C12" s="2" t="s">
        <v>263</v>
      </c>
      <c r="D12" s="2" t="s">
        <v>264</v>
      </c>
      <c r="I12" s="24" t="s">
        <v>265</v>
      </c>
    </row>
    <row r="13" spans="1:16" ht="16.2" x14ac:dyDescent="0.25">
      <c r="A13" s="22" t="s">
        <v>266</v>
      </c>
      <c r="B13" s="147">
        <f>N15</f>
        <v>4000</v>
      </c>
      <c r="C13" s="2" t="s">
        <v>263</v>
      </c>
      <c r="D13" s="2" t="s">
        <v>267</v>
      </c>
      <c r="I13" s="2" t="s">
        <v>268</v>
      </c>
    </row>
    <row r="14" spans="1:16" x14ac:dyDescent="0.25">
      <c r="A14" s="22" t="s">
        <v>269</v>
      </c>
      <c r="B14" s="148" t="s">
        <v>270</v>
      </c>
      <c r="C14" s="2" t="s">
        <v>263</v>
      </c>
      <c r="D14" s="2" t="s">
        <v>271</v>
      </c>
      <c r="K14" s="157" t="s">
        <v>272</v>
      </c>
      <c r="L14" s="158" t="s">
        <v>273</v>
      </c>
      <c r="M14" s="158" t="s">
        <v>274</v>
      </c>
      <c r="N14" s="159" t="s">
        <v>275</v>
      </c>
    </row>
    <row r="15" spans="1:16" ht="16.2" x14ac:dyDescent="0.25">
      <c r="A15" s="22" t="s">
        <v>276</v>
      </c>
      <c r="B15" s="148" t="s">
        <v>277</v>
      </c>
      <c r="C15" s="2" t="s">
        <v>278</v>
      </c>
      <c r="D15" s="2" t="s">
        <v>279</v>
      </c>
      <c r="K15" s="160">
        <v>0</v>
      </c>
      <c r="L15" s="59">
        <v>0</v>
      </c>
      <c r="M15" s="59">
        <v>1</v>
      </c>
      <c r="N15" s="161">
        <v>4000</v>
      </c>
      <c r="O15" s="2">
        <f>L15+N15</f>
        <v>4000</v>
      </c>
      <c r="P15" s="2">
        <f>O15*66</f>
        <v>264000</v>
      </c>
    </row>
    <row r="16" spans="1:16" ht="16.2" x14ac:dyDescent="0.25">
      <c r="A16" s="22" t="s">
        <v>280</v>
      </c>
      <c r="B16" s="67" t="s">
        <v>281</v>
      </c>
      <c r="D16" s="2" t="s">
        <v>282</v>
      </c>
      <c r="F16"/>
      <c r="K16" s="160">
        <v>1</v>
      </c>
      <c r="L16" s="59">
        <v>0</v>
      </c>
      <c r="M16" s="59">
        <v>30</v>
      </c>
      <c r="N16" s="161">
        <v>4000</v>
      </c>
      <c r="O16" s="2">
        <f>L16+N16</f>
        <v>4000</v>
      </c>
      <c r="P16" s="2">
        <f>O16*66</f>
        <v>264000</v>
      </c>
    </row>
    <row r="17" spans="1:16" ht="16.2" x14ac:dyDescent="0.25">
      <c r="A17" s="2" t="s">
        <v>283</v>
      </c>
      <c r="B17" s="67" t="s">
        <v>284</v>
      </c>
      <c r="D17" s="2" t="s">
        <v>285</v>
      </c>
      <c r="K17" s="160">
        <v>2</v>
      </c>
      <c r="L17" s="59">
        <v>0</v>
      </c>
      <c r="M17" s="59">
        <v>100</v>
      </c>
      <c r="N17" s="161">
        <v>4000</v>
      </c>
      <c r="O17" s="2">
        <f>L17+N17</f>
        <v>4000</v>
      </c>
      <c r="P17" s="2">
        <f>O17*66</f>
        <v>264000</v>
      </c>
    </row>
    <row r="18" spans="1:16" ht="16.2" x14ac:dyDescent="0.25">
      <c r="A18" s="2" t="s">
        <v>286</v>
      </c>
      <c r="B18" s="67" t="s">
        <v>287</v>
      </c>
      <c r="D18" s="2" t="s">
        <v>288</v>
      </c>
      <c r="K18" s="160">
        <v>3</v>
      </c>
      <c r="L18" s="59">
        <v>4000</v>
      </c>
      <c r="M18" s="59">
        <v>150</v>
      </c>
      <c r="N18" s="161">
        <v>4000</v>
      </c>
      <c r="O18" s="2">
        <f>L18+N18</f>
        <v>8000</v>
      </c>
      <c r="P18" s="2">
        <f>O18*66</f>
        <v>528000</v>
      </c>
    </row>
    <row r="19" spans="1:16" x14ac:dyDescent="0.25">
      <c r="A19" s="2" t="s">
        <v>289</v>
      </c>
      <c r="B19" s="113">
        <f>'VIP升级|VIPUp'!BB5*10000</f>
        <v>9600</v>
      </c>
      <c r="D19" s="2" t="s">
        <v>290</v>
      </c>
      <c r="I19" s="67"/>
      <c r="K19" s="160">
        <v>4</v>
      </c>
      <c r="L19" s="59">
        <v>4000</v>
      </c>
      <c r="M19" s="59">
        <v>200</v>
      </c>
      <c r="N19" s="161">
        <v>4000</v>
      </c>
      <c r="O19" s="2">
        <f>L19+N19</f>
        <v>8000</v>
      </c>
      <c r="P19" s="2">
        <f>O19*66</f>
        <v>528000</v>
      </c>
    </row>
    <row r="20" spans="1:16" x14ac:dyDescent="0.25">
      <c r="A20" s="2" t="s">
        <v>291</v>
      </c>
      <c r="B20" s="113">
        <v>9500</v>
      </c>
      <c r="D20" s="2" t="s">
        <v>292</v>
      </c>
      <c r="I20" s="67"/>
      <c r="K20" s="160">
        <v>5</v>
      </c>
      <c r="L20" s="59">
        <v>6000</v>
      </c>
      <c r="M20" s="59">
        <v>250</v>
      </c>
      <c r="N20" s="161">
        <v>4000</v>
      </c>
      <c r="O20" s="2">
        <f t="shared" ref="O20:O25" si="0">L20+N20</f>
        <v>10000</v>
      </c>
      <c r="P20" s="2">
        <f t="shared" ref="P20:P25" si="1">O20*66</f>
        <v>660000</v>
      </c>
    </row>
    <row r="21" spans="1:16" x14ac:dyDescent="0.25">
      <c r="A21" s="2" t="s">
        <v>293</v>
      </c>
      <c r="B21" s="113">
        <f>B20</f>
        <v>9500</v>
      </c>
      <c r="D21" s="2" t="s">
        <v>294</v>
      </c>
      <c r="I21" s="67"/>
      <c r="K21" s="160">
        <v>6</v>
      </c>
      <c r="L21" s="59">
        <v>6000</v>
      </c>
      <c r="M21" s="59">
        <v>400</v>
      </c>
      <c r="N21" s="161">
        <v>4000</v>
      </c>
      <c r="O21" s="2">
        <f t="shared" si="0"/>
        <v>10000</v>
      </c>
      <c r="P21" s="2">
        <f t="shared" si="1"/>
        <v>660000</v>
      </c>
    </row>
    <row r="22" spans="1:16" x14ac:dyDescent="0.25">
      <c r="A22" s="2" t="s">
        <v>295</v>
      </c>
      <c r="B22" s="67" t="s">
        <v>296</v>
      </c>
      <c r="D22" s="2" t="s">
        <v>297</v>
      </c>
      <c r="I22" s="67"/>
      <c r="K22" s="160">
        <v>7</v>
      </c>
      <c r="L22" s="59">
        <v>8000</v>
      </c>
      <c r="M22" s="59">
        <v>500</v>
      </c>
      <c r="N22" s="161">
        <v>4000</v>
      </c>
      <c r="O22" s="2">
        <f t="shared" si="0"/>
        <v>12000</v>
      </c>
      <c r="P22" s="2">
        <f t="shared" si="1"/>
        <v>792000</v>
      </c>
    </row>
    <row r="23" spans="1:16" x14ac:dyDescent="0.25">
      <c r="A23" s="14" t="s">
        <v>298</v>
      </c>
      <c r="B23" s="67">
        <v>3</v>
      </c>
      <c r="D23" s="2" t="s">
        <v>299</v>
      </c>
      <c r="K23" s="160">
        <v>8</v>
      </c>
      <c r="L23" s="59">
        <v>8000</v>
      </c>
      <c r="M23" s="59"/>
      <c r="N23" s="161">
        <v>4000</v>
      </c>
      <c r="O23" s="2">
        <f t="shared" si="0"/>
        <v>12000</v>
      </c>
      <c r="P23" s="2">
        <f t="shared" si="1"/>
        <v>792000</v>
      </c>
    </row>
    <row r="24" spans="1:16" ht="16.2" x14ac:dyDescent="0.25">
      <c r="A24" s="2" t="s">
        <v>300</v>
      </c>
      <c r="B24" s="145" t="s">
        <v>301</v>
      </c>
      <c r="D24" s="2" t="s">
        <v>302</v>
      </c>
      <c r="K24" s="160">
        <v>9</v>
      </c>
      <c r="L24" s="59">
        <v>8000</v>
      </c>
      <c r="M24" s="59"/>
      <c r="N24" s="161">
        <v>4000</v>
      </c>
      <c r="O24" s="2">
        <f t="shared" si="0"/>
        <v>12000</v>
      </c>
      <c r="P24" s="2">
        <f t="shared" si="1"/>
        <v>792000</v>
      </c>
    </row>
    <row r="25" spans="1:16" x14ac:dyDescent="0.25">
      <c r="A25" s="2" t="s">
        <v>303</v>
      </c>
      <c r="B25" s="67" t="s">
        <v>304</v>
      </c>
      <c r="D25" s="2" t="s">
        <v>305</v>
      </c>
      <c r="K25" s="162">
        <v>10</v>
      </c>
      <c r="L25" s="163">
        <v>8000</v>
      </c>
      <c r="M25" s="163"/>
      <c r="N25" s="164">
        <v>4000</v>
      </c>
      <c r="O25" s="2">
        <f t="shared" si="0"/>
        <v>12000</v>
      </c>
      <c r="P25" s="2">
        <f t="shared" si="1"/>
        <v>792000</v>
      </c>
    </row>
    <row r="26" spans="1:16" x14ac:dyDescent="0.25">
      <c r="A26" s="2" t="s">
        <v>306</v>
      </c>
      <c r="B26" s="67" t="s">
        <v>307</v>
      </c>
      <c r="D26" s="2" t="s">
        <v>308</v>
      </c>
    </row>
    <row r="27" spans="1:16" x14ac:dyDescent="0.25">
      <c r="A27" s="2" t="s">
        <v>309</v>
      </c>
      <c r="B27" s="67" t="s">
        <v>310</v>
      </c>
      <c r="D27" s="2" t="s">
        <v>311</v>
      </c>
    </row>
    <row r="28" spans="1:16" ht="16.2" x14ac:dyDescent="0.25">
      <c r="A28" s="2" t="s">
        <v>312</v>
      </c>
      <c r="B28" s="67">
        <v>50</v>
      </c>
      <c r="D28" s="2" t="s">
        <v>313</v>
      </c>
    </row>
    <row r="29" spans="1:16" x14ac:dyDescent="0.25">
      <c r="A29" s="14" t="s">
        <v>314</v>
      </c>
      <c r="B29" s="67" t="s">
        <v>315</v>
      </c>
      <c r="C29" s="14" t="s">
        <v>316</v>
      </c>
      <c r="D29" s="14" t="s">
        <v>317</v>
      </c>
    </row>
    <row r="30" spans="1:16" ht="16.2" x14ac:dyDescent="0.25">
      <c r="A30" s="92" t="s">
        <v>318</v>
      </c>
      <c r="B30" s="145" t="s">
        <v>319</v>
      </c>
      <c r="D30" s="2" t="s">
        <v>320</v>
      </c>
    </row>
    <row r="31" spans="1:16" ht="16.2" x14ac:dyDescent="0.25">
      <c r="A31" s="92" t="s">
        <v>321</v>
      </c>
      <c r="B31" s="145" t="s">
        <v>322</v>
      </c>
      <c r="D31" s="2" t="s">
        <v>323</v>
      </c>
    </row>
    <row r="32" spans="1:16" ht="16.2" x14ac:dyDescent="0.25">
      <c r="A32" s="92" t="s">
        <v>324</v>
      </c>
      <c r="B32" s="149">
        <v>700</v>
      </c>
      <c r="D32" s="2" t="s">
        <v>325</v>
      </c>
    </row>
    <row r="33" spans="1:15" ht="16.2" x14ac:dyDescent="0.25">
      <c r="A33" s="92" t="s">
        <v>326</v>
      </c>
      <c r="B33" s="145" t="s">
        <v>327</v>
      </c>
      <c r="D33" s="2" t="s">
        <v>328</v>
      </c>
    </row>
    <row r="34" spans="1:15" ht="16.2" x14ac:dyDescent="0.25">
      <c r="A34" s="92" t="s">
        <v>329</v>
      </c>
      <c r="B34" s="145" t="s">
        <v>330</v>
      </c>
      <c r="D34" s="2" t="s">
        <v>331</v>
      </c>
    </row>
    <row r="35" spans="1:15" ht="16.2" x14ac:dyDescent="0.25">
      <c r="A35" s="92" t="s">
        <v>332</v>
      </c>
      <c r="B35" s="145" t="s">
        <v>333</v>
      </c>
      <c r="D35" s="2" t="s">
        <v>334</v>
      </c>
    </row>
    <row r="36" spans="1:15" ht="16.2" x14ac:dyDescent="0.25">
      <c r="A36" s="92" t="s">
        <v>335</v>
      </c>
      <c r="B36" s="150">
        <v>650</v>
      </c>
      <c r="D36" s="2" t="s">
        <v>336</v>
      </c>
    </row>
    <row r="37" spans="1:15" ht="16.2" x14ac:dyDescent="0.25">
      <c r="A37" s="92" t="s">
        <v>337</v>
      </c>
      <c r="B37" s="145" t="s">
        <v>338</v>
      </c>
      <c r="D37" s="2" t="s">
        <v>339</v>
      </c>
    </row>
    <row r="38" spans="1:15" x14ac:dyDescent="0.25">
      <c r="A38" s="151" t="s">
        <v>340</v>
      </c>
      <c r="B38" s="67" t="s">
        <v>341</v>
      </c>
      <c r="C38" s="14"/>
      <c r="D38" s="152" t="s">
        <v>342</v>
      </c>
    </row>
    <row r="39" spans="1:15" x14ac:dyDescent="0.25">
      <c r="A39" s="151" t="s">
        <v>343</v>
      </c>
      <c r="B39" s="67" t="s">
        <v>344</v>
      </c>
      <c r="C39" s="14"/>
      <c r="D39" s="152" t="s">
        <v>345</v>
      </c>
      <c r="L39" s="389" t="s">
        <v>346</v>
      </c>
      <c r="M39" s="165" t="s">
        <v>347</v>
      </c>
      <c r="N39" s="165" t="s">
        <v>348</v>
      </c>
      <c r="O39" s="165" t="s">
        <v>349</v>
      </c>
    </row>
    <row r="40" spans="1:15" ht="16.2" x14ac:dyDescent="0.25">
      <c r="A40" s="92" t="s">
        <v>350</v>
      </c>
      <c r="B40" s="150" t="str">
        <f>'炮解锁|CannonUnlock'!DA1&amp;","&amp;'炮解锁|CannonUnlock'!DA2&amp;","&amp;'炮解锁|CannonUnlock'!DA3</f>
        <v>20,30,50</v>
      </c>
      <c r="C40" s="92"/>
      <c r="D40" s="92" t="s">
        <v>351</v>
      </c>
      <c r="L40" s="389"/>
      <c r="M40" s="2">
        <v>9000</v>
      </c>
      <c r="N40" s="2">
        <v>5400</v>
      </c>
      <c r="O40" s="2">
        <v>3600</v>
      </c>
    </row>
    <row r="41" spans="1:15" ht="16.2" x14ac:dyDescent="0.25">
      <c r="A41" s="92" t="s">
        <v>352</v>
      </c>
      <c r="B41" s="145" t="s">
        <v>353</v>
      </c>
      <c r="C41" s="92"/>
      <c r="D41" s="153" t="s">
        <v>354</v>
      </c>
      <c r="L41" s="120">
        <v>0.25</v>
      </c>
      <c r="M41" s="2">
        <f t="shared" ref="M41:O42" si="2">ROUNDDOWN(M$40*$L41,-2)</f>
        <v>2200</v>
      </c>
      <c r="N41" s="2">
        <f t="shared" si="2"/>
        <v>1300</v>
      </c>
      <c r="O41" s="2">
        <f t="shared" si="2"/>
        <v>900</v>
      </c>
    </row>
    <row r="42" spans="1:15" ht="16.2" x14ac:dyDescent="0.25">
      <c r="A42" s="92" t="s">
        <v>355</v>
      </c>
      <c r="B42" s="150">
        <v>280</v>
      </c>
      <c r="C42" s="92"/>
      <c r="D42" s="153" t="s">
        <v>356</v>
      </c>
      <c r="L42" s="120">
        <v>0.33</v>
      </c>
      <c r="M42" s="2">
        <f t="shared" si="2"/>
        <v>2900</v>
      </c>
      <c r="N42" s="2">
        <f t="shared" si="2"/>
        <v>1700</v>
      </c>
      <c r="O42" s="2">
        <f t="shared" si="2"/>
        <v>1100</v>
      </c>
    </row>
    <row r="43" spans="1:15" ht="16.2" x14ac:dyDescent="0.25">
      <c r="A43" s="92" t="s">
        <v>357</v>
      </c>
      <c r="B43" s="150">
        <f>'炮解锁|CannonUnlock'!DA5*10000</f>
        <v>100</v>
      </c>
      <c r="C43" s="92"/>
      <c r="D43" s="153" t="s">
        <v>358</v>
      </c>
      <c r="L43" s="120">
        <f>1-L41-L42</f>
        <v>0.42</v>
      </c>
      <c r="M43" s="2">
        <f>M40-M41-M42</f>
        <v>3900</v>
      </c>
      <c r="N43" s="2">
        <f>N40-N41-N42</f>
        <v>2400</v>
      </c>
      <c r="O43" s="2">
        <f>O40-O41-O42</f>
        <v>1600</v>
      </c>
    </row>
    <row r="44" spans="1:15" ht="16.2" x14ac:dyDescent="0.25">
      <c r="A44" s="92" t="s">
        <v>359</v>
      </c>
      <c r="B44" s="150">
        <f>'炮解锁|CannonUnlock'!DA7*10000</f>
        <v>0</v>
      </c>
      <c r="C44" s="92"/>
      <c r="D44" s="153" t="s">
        <v>360</v>
      </c>
    </row>
    <row r="45" spans="1:15" ht="16.2" x14ac:dyDescent="0.25">
      <c r="A45" s="92" t="s">
        <v>361</v>
      </c>
      <c r="B45" s="150">
        <v>500</v>
      </c>
      <c r="C45" s="92"/>
      <c r="D45" s="153" t="s">
        <v>362</v>
      </c>
    </row>
    <row r="46" spans="1:15" x14ac:dyDescent="0.25">
      <c r="A46" s="2" t="s">
        <v>363</v>
      </c>
      <c r="B46" s="67" t="s">
        <v>364</v>
      </c>
      <c r="D46" s="2" t="s">
        <v>365</v>
      </c>
    </row>
    <row r="47" spans="1:15" x14ac:dyDescent="0.25">
      <c r="A47" s="2" t="s">
        <v>366</v>
      </c>
      <c r="B47" s="67" t="s">
        <v>367</v>
      </c>
      <c r="D47" s="2" t="s">
        <v>368</v>
      </c>
    </row>
    <row r="48" spans="1:15" x14ac:dyDescent="0.25">
      <c r="A48" s="2" t="s">
        <v>369</v>
      </c>
      <c r="B48" s="67" t="s">
        <v>370</v>
      </c>
      <c r="D48" s="2" t="s">
        <v>371</v>
      </c>
    </row>
    <row r="49" spans="1:5" x14ac:dyDescent="0.25">
      <c r="A49" s="2" t="s">
        <v>372</v>
      </c>
      <c r="B49" s="67" t="s">
        <v>373</v>
      </c>
      <c r="D49" s="2" t="s">
        <v>374</v>
      </c>
    </row>
    <row r="50" spans="1:5" x14ac:dyDescent="0.25">
      <c r="A50" s="2" t="s">
        <v>375</v>
      </c>
      <c r="B50" s="154">
        <v>2.5</v>
      </c>
      <c r="D50" s="2" t="s">
        <v>376</v>
      </c>
    </row>
    <row r="51" spans="1:5" x14ac:dyDescent="0.35">
      <c r="A51" s="2" t="s">
        <v>377</v>
      </c>
      <c r="B51" s="19" t="s">
        <v>378</v>
      </c>
      <c r="D51" s="2" t="s">
        <v>379</v>
      </c>
      <c r="E51" s="2" t="s">
        <v>380</v>
      </c>
    </row>
    <row r="52" spans="1:5" ht="16.2" x14ac:dyDescent="0.4">
      <c r="A52" s="80" t="s">
        <v>381</v>
      </c>
      <c r="B52" s="155" t="s">
        <v>382</v>
      </c>
      <c r="C52" s="80"/>
      <c r="D52" s="80" t="s">
        <v>383</v>
      </c>
    </row>
    <row r="53" spans="1:5" x14ac:dyDescent="0.35">
      <c r="A53" s="2" t="s">
        <v>384</v>
      </c>
      <c r="B53" s="19" t="s">
        <v>385</v>
      </c>
      <c r="D53" s="2" t="s">
        <v>386</v>
      </c>
    </row>
    <row r="54" spans="1:5" ht="16.2" x14ac:dyDescent="0.4">
      <c r="A54" s="92" t="s">
        <v>387</v>
      </c>
      <c r="B54" s="156">
        <f>12*60</f>
        <v>720</v>
      </c>
      <c r="C54" s="92"/>
      <c r="D54" s="92" t="s">
        <v>388</v>
      </c>
    </row>
    <row r="55" spans="1:5" ht="16.2" x14ac:dyDescent="0.4">
      <c r="A55" s="92" t="s">
        <v>389</v>
      </c>
      <c r="B55" s="156">
        <f>12*60</f>
        <v>720</v>
      </c>
      <c r="C55" s="92"/>
      <c r="D55" s="92" t="s">
        <v>390</v>
      </c>
    </row>
    <row r="56" spans="1:5" x14ac:dyDescent="0.25">
      <c r="A56" s="2" t="s">
        <v>391</v>
      </c>
      <c r="B56" s="67">
        <v>15</v>
      </c>
      <c r="D56" s="2" t="s">
        <v>392</v>
      </c>
    </row>
    <row r="57" spans="1:5" x14ac:dyDescent="0.25">
      <c r="A57" s="2" t="s">
        <v>393</v>
      </c>
      <c r="B57" s="67">
        <v>7</v>
      </c>
      <c r="D57" s="2" t="s">
        <v>394</v>
      </c>
    </row>
    <row r="58" spans="1:5" x14ac:dyDescent="0.25">
      <c r="A58" s="2" t="s">
        <v>395</v>
      </c>
      <c r="B58" s="67">
        <v>30</v>
      </c>
      <c r="D58" s="2" t="s">
        <v>396</v>
      </c>
      <c r="E58"/>
    </row>
    <row r="59" spans="1:5" x14ac:dyDescent="0.25">
      <c r="A59" s="2" t="s">
        <v>397</v>
      </c>
      <c r="B59" s="67">
        <v>15</v>
      </c>
      <c r="D59" s="2" t="s">
        <v>398</v>
      </c>
    </row>
    <row r="60" spans="1:5" x14ac:dyDescent="0.35">
      <c r="A60" s="2" t="s">
        <v>399</v>
      </c>
      <c r="B60" s="19" t="s">
        <v>400</v>
      </c>
      <c r="D60" s="2" t="s">
        <v>401</v>
      </c>
    </row>
    <row r="61" spans="1:5" x14ac:dyDescent="0.35">
      <c r="A61" s="2" t="s">
        <v>402</v>
      </c>
      <c r="B61" s="19" t="s">
        <v>400</v>
      </c>
      <c r="D61" s="2" t="s">
        <v>403</v>
      </c>
    </row>
    <row r="62" spans="1:5" x14ac:dyDescent="0.35">
      <c r="A62" s="2" t="s">
        <v>404</v>
      </c>
      <c r="B62" s="19" t="s">
        <v>400</v>
      </c>
      <c r="D62" s="2" t="s">
        <v>405</v>
      </c>
    </row>
    <row r="63" spans="1:5" x14ac:dyDescent="0.25">
      <c r="A63" s="2" t="s">
        <v>406</v>
      </c>
      <c r="B63" s="67" t="s">
        <v>407</v>
      </c>
      <c r="D63" s="2" t="s">
        <v>408</v>
      </c>
    </row>
    <row r="64" spans="1:5" x14ac:dyDescent="0.25">
      <c r="A64" s="22" t="s">
        <v>409</v>
      </c>
      <c r="B64" s="67" t="s">
        <v>410</v>
      </c>
      <c r="D64" s="2" t="s">
        <v>411</v>
      </c>
    </row>
    <row r="65" spans="1:21" x14ac:dyDescent="0.25">
      <c r="A65" s="2" t="s">
        <v>412</v>
      </c>
      <c r="B65" s="67" t="s">
        <v>413</v>
      </c>
      <c r="D65" s="2" t="s">
        <v>414</v>
      </c>
    </row>
    <row r="66" spans="1:21" x14ac:dyDescent="0.25">
      <c r="A66" s="2" t="s">
        <v>415</v>
      </c>
      <c r="B66" s="67" t="s">
        <v>416</v>
      </c>
      <c r="D66" s="2" t="s">
        <v>417</v>
      </c>
    </row>
    <row r="67" spans="1:21" x14ac:dyDescent="0.25">
      <c r="A67" s="2" t="s">
        <v>418</v>
      </c>
      <c r="B67" s="67" t="s">
        <v>419</v>
      </c>
      <c r="D67" s="2" t="s">
        <v>420</v>
      </c>
    </row>
    <row r="68" spans="1:21" x14ac:dyDescent="0.25">
      <c r="A68" s="2" t="s">
        <v>421</v>
      </c>
      <c r="B68" s="67" t="s">
        <v>422</v>
      </c>
      <c r="D68" s="2" t="s">
        <v>423</v>
      </c>
      <c r="J68" s="67" t="s">
        <v>424</v>
      </c>
    </row>
    <row r="69" spans="1:21" ht="18" x14ac:dyDescent="0.25">
      <c r="A69" s="14" t="s">
        <v>425</v>
      </c>
      <c r="B69" s="67">
        <v>2</v>
      </c>
      <c r="C69" s="14" t="s">
        <v>426</v>
      </c>
      <c r="D69" s="14" t="s">
        <v>427</v>
      </c>
      <c r="E69" s="143" t="s">
        <v>428</v>
      </c>
      <c r="Q69" s="157" t="s">
        <v>429</v>
      </c>
      <c r="R69" s="158"/>
      <c r="S69" s="158"/>
      <c r="T69" s="159"/>
      <c r="U69" s="59"/>
    </row>
    <row r="70" spans="1:21" x14ac:dyDescent="0.25">
      <c r="A70" s="14" t="s">
        <v>430</v>
      </c>
      <c r="B70" s="67">
        <v>-2</v>
      </c>
      <c r="C70" s="14" t="s">
        <v>426</v>
      </c>
      <c r="D70" s="14" t="s">
        <v>431</v>
      </c>
      <c r="I70" s="157"/>
      <c r="J70" s="158">
        <v>1400</v>
      </c>
      <c r="K70" s="159"/>
      <c r="Q70" s="160"/>
      <c r="R70" s="59"/>
      <c r="S70" s="59">
        <v>1900</v>
      </c>
      <c r="T70" s="161"/>
      <c r="U70" s="59"/>
    </row>
    <row r="71" spans="1:21" x14ac:dyDescent="0.25">
      <c r="A71" s="14" t="s">
        <v>432</v>
      </c>
      <c r="B71" s="67">
        <v>1000</v>
      </c>
      <c r="C71" s="14" t="s">
        <v>426</v>
      </c>
      <c r="D71" s="14" t="s">
        <v>433</v>
      </c>
      <c r="I71" s="160">
        <f>95+6.5</f>
        <v>101.5</v>
      </c>
      <c r="J71" s="59">
        <v>700</v>
      </c>
      <c r="K71" s="161">
        <f>J70-J71</f>
        <v>700</v>
      </c>
      <c r="Q71" s="160">
        <f>110/0.2</f>
        <v>550</v>
      </c>
      <c r="R71" s="59">
        <f>Q71+Q72+30</f>
        <v>630</v>
      </c>
      <c r="S71" s="59">
        <f>S70-R71</f>
        <v>1270</v>
      </c>
      <c r="T71" s="161">
        <f>S71-S70</f>
        <v>-630</v>
      </c>
      <c r="U71" s="59"/>
    </row>
    <row r="72" spans="1:21" ht="16.2" x14ac:dyDescent="0.25">
      <c r="A72" s="2" t="s">
        <v>434</v>
      </c>
      <c r="B72" s="145" t="s">
        <v>435</v>
      </c>
      <c r="D72" s="2" t="s">
        <v>436</v>
      </c>
      <c r="I72" s="162">
        <f>I71*6</f>
        <v>609</v>
      </c>
      <c r="J72" s="198">
        <v>0</v>
      </c>
      <c r="K72" s="164">
        <f>J71-J72</f>
        <v>700</v>
      </c>
      <c r="Q72" s="160">
        <f>10/0.2</f>
        <v>50</v>
      </c>
      <c r="R72" s="59"/>
      <c r="S72" s="59">
        <f>S71-R71</f>
        <v>640</v>
      </c>
      <c r="T72" s="161">
        <f>S72-S71</f>
        <v>-630</v>
      </c>
      <c r="U72" s="59"/>
    </row>
    <row r="73" spans="1:21" x14ac:dyDescent="0.25">
      <c r="A73" s="2" t="s">
        <v>437</v>
      </c>
      <c r="B73" s="67">
        <v>5</v>
      </c>
      <c r="D73" s="2" t="s">
        <v>438</v>
      </c>
      <c r="Q73" s="162"/>
      <c r="R73" s="163">
        <f>650*3</f>
        <v>1950</v>
      </c>
      <c r="S73" s="163"/>
      <c r="T73" s="164"/>
      <c r="U73" s="59"/>
    </row>
    <row r="74" spans="1:21" ht="16.2" x14ac:dyDescent="0.25">
      <c r="A74" s="2" t="s">
        <v>439</v>
      </c>
      <c r="B74" s="166" t="s">
        <v>440</v>
      </c>
      <c r="D74" s="2" t="s">
        <v>441</v>
      </c>
    </row>
    <row r="75" spans="1:21" ht="16.2" x14ac:dyDescent="0.25">
      <c r="A75" s="2" t="s">
        <v>442</v>
      </c>
      <c r="B75" s="67" t="s">
        <v>443</v>
      </c>
      <c r="D75" s="2" t="s">
        <v>444</v>
      </c>
    </row>
    <row r="76" spans="1:21" ht="16.2" x14ac:dyDescent="0.25">
      <c r="A76" s="2" t="s">
        <v>445</v>
      </c>
      <c r="B76" s="150">
        <v>1500</v>
      </c>
      <c r="D76" s="2" t="s">
        <v>446</v>
      </c>
    </row>
    <row r="77" spans="1:21" ht="16.2" x14ac:dyDescent="0.25">
      <c r="A77" s="2" t="s">
        <v>447</v>
      </c>
      <c r="B77" s="150" t="s">
        <v>448</v>
      </c>
      <c r="D77" s="2" t="s">
        <v>449</v>
      </c>
    </row>
    <row r="78" spans="1:21" x14ac:dyDescent="0.25">
      <c r="A78" s="2" t="s">
        <v>450</v>
      </c>
      <c r="B78" s="67" t="s">
        <v>451</v>
      </c>
      <c r="D78" s="2" t="s">
        <v>452</v>
      </c>
    </row>
    <row r="79" spans="1:21" ht="16.2" x14ac:dyDescent="0.25">
      <c r="A79" s="2" t="s">
        <v>453</v>
      </c>
      <c r="B79" s="145" t="s">
        <v>454</v>
      </c>
      <c r="D79" s="2" t="s">
        <v>455</v>
      </c>
    </row>
    <row r="80" spans="1:21" x14ac:dyDescent="0.25">
      <c r="A80" s="2" t="s">
        <v>456</v>
      </c>
      <c r="B80" s="67" t="s">
        <v>457</v>
      </c>
      <c r="D80" s="2" t="s">
        <v>458</v>
      </c>
    </row>
    <row r="81" spans="1:8" x14ac:dyDescent="0.25">
      <c r="A81" s="2" t="s">
        <v>459</v>
      </c>
      <c r="B81" s="67" t="s">
        <v>460</v>
      </c>
      <c r="D81" s="2" t="s">
        <v>461</v>
      </c>
    </row>
    <row r="82" spans="1:8" x14ac:dyDescent="0.25">
      <c r="A82" s="2" t="s">
        <v>462</v>
      </c>
      <c r="B82" s="67" t="s">
        <v>460</v>
      </c>
      <c r="D82" s="2" t="s">
        <v>463</v>
      </c>
    </row>
    <row r="83" spans="1:8" x14ac:dyDescent="0.25">
      <c r="A83" s="2" t="s">
        <v>464</v>
      </c>
      <c r="B83" s="67" t="s">
        <v>385</v>
      </c>
      <c r="D83" s="2" t="s">
        <v>465</v>
      </c>
    </row>
    <row r="84" spans="1:8" x14ac:dyDescent="0.25">
      <c r="A84" s="2" t="s">
        <v>466</v>
      </c>
      <c r="B84" s="67" t="s">
        <v>467</v>
      </c>
      <c r="D84" s="2" t="s">
        <v>468</v>
      </c>
    </row>
    <row r="85" spans="1:8" x14ac:dyDescent="0.25">
      <c r="A85" s="2" t="s">
        <v>469</v>
      </c>
      <c r="B85" s="67" t="s">
        <v>470</v>
      </c>
      <c r="D85" s="2" t="s">
        <v>471</v>
      </c>
    </row>
    <row r="86" spans="1:8" x14ac:dyDescent="0.25">
      <c r="A86" s="2" t="s">
        <v>472</v>
      </c>
      <c r="B86" s="67" t="s">
        <v>473</v>
      </c>
      <c r="D86" s="2" t="s">
        <v>474</v>
      </c>
    </row>
    <row r="87" spans="1:8" x14ac:dyDescent="0.25">
      <c r="A87" s="2" t="s">
        <v>475</v>
      </c>
      <c r="B87" s="67" t="s">
        <v>470</v>
      </c>
      <c r="D87" s="2" t="s">
        <v>476</v>
      </c>
    </row>
    <row r="88" spans="1:8" x14ac:dyDescent="0.25">
      <c r="A88" s="2" t="s">
        <v>477</v>
      </c>
      <c r="B88" s="67" t="s">
        <v>385</v>
      </c>
      <c r="D88" s="2" t="s">
        <v>478</v>
      </c>
    </row>
    <row r="89" spans="1:8" ht="16.2" x14ac:dyDescent="0.25">
      <c r="A89" s="2" t="s">
        <v>479</v>
      </c>
      <c r="B89" s="67" t="s">
        <v>480</v>
      </c>
      <c r="D89" s="2" t="s">
        <v>481</v>
      </c>
      <c r="H89" s="167" t="s">
        <v>482</v>
      </c>
    </row>
    <row r="90" spans="1:8" x14ac:dyDescent="0.25">
      <c r="A90" s="2" t="s">
        <v>483</v>
      </c>
      <c r="B90" s="67" t="s">
        <v>484</v>
      </c>
      <c r="H90" s="168" t="s">
        <v>485</v>
      </c>
    </row>
    <row r="91" spans="1:8" x14ac:dyDescent="0.25">
      <c r="A91" s="2" t="s">
        <v>486</v>
      </c>
      <c r="B91" s="169" t="str">
        <f>RIGHT('道具|Item'!X18,LEN('道具|Item'!X18)-4)&amp;","&amp;RIGHT('道具|Item'!X19,LEN('道具|Item'!X19)-4)&amp;","&amp;RIGHT('道具|Item'!X20,LEN('道具|Item'!X20)-4)&amp;","&amp;RIGHT('道具|Item'!X21,LEN('道具|Item'!X21)-4)</f>
        <v>1000000,2000000,5000000,10000000</v>
      </c>
    </row>
    <row r="92" spans="1:8" x14ac:dyDescent="0.25">
      <c r="A92" s="2" t="s">
        <v>487</v>
      </c>
      <c r="B92" s="2" t="s">
        <v>488</v>
      </c>
      <c r="D92" s="2" t="s">
        <v>489</v>
      </c>
    </row>
    <row r="93" spans="1:8" x14ac:dyDescent="0.25">
      <c r="A93" s="2" t="s">
        <v>490</v>
      </c>
      <c r="B93" s="2" t="s">
        <v>491</v>
      </c>
      <c r="D93" s="2" t="s">
        <v>492</v>
      </c>
    </row>
    <row r="94" spans="1:8" x14ac:dyDescent="0.25">
      <c r="A94" s="2" t="s">
        <v>493</v>
      </c>
      <c r="B94" s="2">
        <v>20</v>
      </c>
      <c r="D94" s="2" t="s">
        <v>494</v>
      </c>
    </row>
    <row r="95" spans="1:8" x14ac:dyDescent="0.25">
      <c r="A95" s="2" t="s">
        <v>495</v>
      </c>
      <c r="B95" s="67" t="s">
        <v>496</v>
      </c>
      <c r="D95" s="2" t="s">
        <v>497</v>
      </c>
    </row>
    <row r="96" spans="1:8" x14ac:dyDescent="0.25">
      <c r="A96" s="2" t="s">
        <v>498</v>
      </c>
      <c r="B96" s="67" t="s">
        <v>499</v>
      </c>
      <c r="D96" s="2" t="s">
        <v>500</v>
      </c>
    </row>
    <row r="97" spans="1:5" x14ac:dyDescent="0.25">
      <c r="A97" s="170" t="s">
        <v>501</v>
      </c>
      <c r="B97" s="171">
        <v>0</v>
      </c>
      <c r="C97" s="14" t="s">
        <v>426</v>
      </c>
      <c r="D97" s="2" t="s">
        <v>502</v>
      </c>
      <c r="E97" s="14"/>
    </row>
    <row r="98" spans="1:5" ht="16.2" x14ac:dyDescent="0.25">
      <c r="A98" s="172" t="s">
        <v>503</v>
      </c>
      <c r="B98" s="173" t="s">
        <v>504</v>
      </c>
      <c r="C98" s="14" t="s">
        <v>426</v>
      </c>
      <c r="D98" s="2" t="s">
        <v>505</v>
      </c>
      <c r="E98" s="14"/>
    </row>
    <row r="99" spans="1:5" x14ac:dyDescent="0.25">
      <c r="A99" s="172" t="s">
        <v>506</v>
      </c>
      <c r="B99" s="174">
        <v>20000</v>
      </c>
      <c r="C99" s="14" t="s">
        <v>426</v>
      </c>
      <c r="D99" s="2" t="s">
        <v>507</v>
      </c>
      <c r="E99" s="14"/>
    </row>
    <row r="100" spans="1:5" x14ac:dyDescent="0.25">
      <c r="A100" s="172" t="s">
        <v>508</v>
      </c>
      <c r="B100" s="174">
        <v>12500</v>
      </c>
      <c r="C100" s="14" t="s">
        <v>426</v>
      </c>
      <c r="D100" s="2" t="s">
        <v>507</v>
      </c>
      <c r="E100" s="14"/>
    </row>
    <row r="101" spans="1:5" x14ac:dyDescent="0.25">
      <c r="A101" s="175" t="s">
        <v>509</v>
      </c>
      <c r="B101" s="176">
        <v>2000</v>
      </c>
      <c r="C101" s="14" t="s">
        <v>426</v>
      </c>
      <c r="D101" s="2" t="s">
        <v>507</v>
      </c>
      <c r="E101" s="14"/>
    </row>
    <row r="102" spans="1:5" x14ac:dyDescent="0.25">
      <c r="A102" s="177" t="s">
        <v>510</v>
      </c>
      <c r="B102" s="178">
        <v>2</v>
      </c>
      <c r="C102" s="14" t="s">
        <v>426</v>
      </c>
      <c r="D102" s="2" t="s">
        <v>511</v>
      </c>
      <c r="E102" s="14"/>
    </row>
    <row r="103" spans="1:5" x14ac:dyDescent="0.25">
      <c r="A103" s="177" t="s">
        <v>512</v>
      </c>
      <c r="B103" s="178">
        <v>7500</v>
      </c>
      <c r="C103" s="14" t="s">
        <v>426</v>
      </c>
      <c r="D103" s="2" t="s">
        <v>513</v>
      </c>
      <c r="E103" s="14"/>
    </row>
    <row r="104" spans="1:5" ht="16.2" x14ac:dyDescent="0.25">
      <c r="A104" s="179" t="s">
        <v>514</v>
      </c>
      <c r="B104" s="180">
        <v>1500</v>
      </c>
      <c r="C104" s="14" t="s">
        <v>426</v>
      </c>
      <c r="D104" s="2" t="s">
        <v>515</v>
      </c>
      <c r="E104" s="14"/>
    </row>
    <row r="105" spans="1:5" x14ac:dyDescent="0.25">
      <c r="A105" s="172" t="s">
        <v>516</v>
      </c>
      <c r="B105" s="181" t="s">
        <v>517</v>
      </c>
      <c r="C105" s="14" t="s">
        <v>426</v>
      </c>
      <c r="D105" s="2" t="s">
        <v>518</v>
      </c>
      <c r="E105" s="14"/>
    </row>
    <row r="106" spans="1:5" x14ac:dyDescent="0.25">
      <c r="A106" s="172" t="s">
        <v>519</v>
      </c>
      <c r="B106" s="174">
        <v>8</v>
      </c>
      <c r="C106" s="14" t="s">
        <v>426</v>
      </c>
      <c r="D106" s="2" t="s">
        <v>520</v>
      </c>
      <c r="E106" s="14"/>
    </row>
    <row r="107" spans="1:5" x14ac:dyDescent="0.25">
      <c r="A107" s="172" t="s">
        <v>521</v>
      </c>
      <c r="B107" s="174">
        <v>150</v>
      </c>
      <c r="C107" s="14" t="s">
        <v>426</v>
      </c>
      <c r="D107" s="2" t="s">
        <v>522</v>
      </c>
      <c r="E107" s="14"/>
    </row>
    <row r="108" spans="1:5" ht="16.5" customHeight="1" x14ac:dyDescent="0.25">
      <c r="A108" s="172" t="s">
        <v>523</v>
      </c>
      <c r="B108" s="182" t="s">
        <v>517</v>
      </c>
      <c r="C108" s="14" t="s">
        <v>426</v>
      </c>
      <c r="D108" s="183" t="s">
        <v>524</v>
      </c>
      <c r="E108" s="14"/>
    </row>
    <row r="109" spans="1:5" ht="16.2" x14ac:dyDescent="0.25">
      <c r="A109" s="172" t="s">
        <v>525</v>
      </c>
      <c r="B109" s="182">
        <v>30</v>
      </c>
      <c r="C109" s="14" t="s">
        <v>426</v>
      </c>
      <c r="D109" s="183"/>
      <c r="E109" s="14"/>
    </row>
    <row r="110" spans="1:5" ht="16.2" x14ac:dyDescent="0.25">
      <c r="A110" s="184" t="s">
        <v>526</v>
      </c>
      <c r="B110" s="185" t="s">
        <v>527</v>
      </c>
      <c r="C110" s="14" t="s">
        <v>426</v>
      </c>
      <c r="D110" s="2" t="s">
        <v>528</v>
      </c>
      <c r="E110" s="14"/>
    </row>
    <row r="111" spans="1:5" x14ac:dyDescent="0.25">
      <c r="A111" s="179" t="s">
        <v>529</v>
      </c>
      <c r="B111" s="186" t="s">
        <v>530</v>
      </c>
      <c r="C111" s="14" t="s">
        <v>426</v>
      </c>
      <c r="D111" s="2" t="s">
        <v>316</v>
      </c>
      <c r="E111" s="14"/>
    </row>
    <row r="112" spans="1:5" ht="16.2" x14ac:dyDescent="0.25">
      <c r="A112" s="170" t="s">
        <v>531</v>
      </c>
      <c r="B112" s="187" t="s">
        <v>532</v>
      </c>
      <c r="C112" s="14" t="s">
        <v>426</v>
      </c>
      <c r="D112" s="2" t="s">
        <v>533</v>
      </c>
      <c r="E112" s="14"/>
    </row>
    <row r="113" spans="1:5" x14ac:dyDescent="0.25">
      <c r="A113" s="184" t="s">
        <v>534</v>
      </c>
      <c r="B113" s="188">
        <v>10</v>
      </c>
      <c r="C113" s="14" t="s">
        <v>426</v>
      </c>
      <c r="D113" s="2" t="s">
        <v>535</v>
      </c>
      <c r="E113" s="14"/>
    </row>
    <row r="114" spans="1:5" x14ac:dyDescent="0.25">
      <c r="A114" s="177" t="s">
        <v>536</v>
      </c>
      <c r="B114" s="189">
        <v>500</v>
      </c>
      <c r="C114" s="14" t="s">
        <v>426</v>
      </c>
      <c r="D114" s="2" t="s">
        <v>537</v>
      </c>
      <c r="E114" s="14"/>
    </row>
    <row r="115" spans="1:5" ht="16.2" x14ac:dyDescent="0.25">
      <c r="A115" s="177" t="s">
        <v>538</v>
      </c>
      <c r="B115" s="190">
        <v>5000</v>
      </c>
      <c r="C115" s="14" t="s">
        <v>426</v>
      </c>
      <c r="D115" s="2" t="s">
        <v>539</v>
      </c>
      <c r="E115" s="14"/>
    </row>
    <row r="116" spans="1:5" ht="16.2" x14ac:dyDescent="0.25">
      <c r="A116" s="177" t="s">
        <v>540</v>
      </c>
      <c r="B116" s="190">
        <v>8000</v>
      </c>
      <c r="C116" s="14" t="s">
        <v>426</v>
      </c>
      <c r="D116" s="2" t="s">
        <v>541</v>
      </c>
      <c r="E116" s="14"/>
    </row>
    <row r="117" spans="1:5" ht="16.2" x14ac:dyDescent="0.25">
      <c r="A117" s="177" t="s">
        <v>542</v>
      </c>
      <c r="B117" s="190">
        <v>340</v>
      </c>
      <c r="C117" s="14" t="s">
        <v>426</v>
      </c>
      <c r="D117" s="2" t="s">
        <v>543</v>
      </c>
      <c r="E117" s="14"/>
    </row>
    <row r="118" spans="1:5" ht="16.2" x14ac:dyDescent="0.25">
      <c r="A118" s="179" t="s">
        <v>544</v>
      </c>
      <c r="B118" s="191">
        <v>10000</v>
      </c>
      <c r="C118" s="14" t="s">
        <v>426</v>
      </c>
      <c r="D118" s="2" t="s">
        <v>545</v>
      </c>
      <c r="E118" s="14"/>
    </row>
    <row r="119" spans="1:5" ht="16.2" x14ac:dyDescent="0.25">
      <c r="A119" s="177" t="s">
        <v>546</v>
      </c>
      <c r="B119" s="189">
        <v>12</v>
      </c>
      <c r="C119" s="14" t="s">
        <v>426</v>
      </c>
      <c r="D119" s="2" t="s">
        <v>547</v>
      </c>
      <c r="E119" s="14"/>
    </row>
    <row r="120" spans="1:5" x14ac:dyDescent="0.25">
      <c r="A120" s="177" t="s">
        <v>548</v>
      </c>
      <c r="B120" s="189">
        <v>300</v>
      </c>
      <c r="C120" s="14" t="s">
        <v>426</v>
      </c>
      <c r="D120" s="192"/>
      <c r="E120" s="14"/>
    </row>
    <row r="121" spans="1:5" x14ac:dyDescent="0.25">
      <c r="A121" s="179" t="s">
        <v>549</v>
      </c>
      <c r="B121" s="193">
        <v>5000</v>
      </c>
      <c r="C121" s="14" t="s">
        <v>426</v>
      </c>
      <c r="D121" s="2" t="s">
        <v>507</v>
      </c>
      <c r="E121" s="14"/>
    </row>
    <row r="122" spans="1:5" x14ac:dyDescent="0.25">
      <c r="A122" s="194" t="s">
        <v>550</v>
      </c>
      <c r="B122" s="195">
        <v>5</v>
      </c>
      <c r="C122" s="14" t="s">
        <v>426</v>
      </c>
      <c r="D122" s="2" t="s">
        <v>551</v>
      </c>
      <c r="E122" s="14"/>
    </row>
    <row r="123" spans="1:5" x14ac:dyDescent="0.25">
      <c r="A123" s="196" t="s">
        <v>552</v>
      </c>
      <c r="B123" s="197">
        <v>600</v>
      </c>
      <c r="C123" s="14" t="s">
        <v>426</v>
      </c>
      <c r="D123" s="2" t="s">
        <v>553</v>
      </c>
    </row>
    <row r="124" spans="1:5" x14ac:dyDescent="0.25">
      <c r="A124" s="2" t="s">
        <v>554</v>
      </c>
      <c r="B124" s="67" t="s">
        <v>555</v>
      </c>
      <c r="C124" s="14" t="s">
        <v>426</v>
      </c>
      <c r="D124" s="14" t="s">
        <v>556</v>
      </c>
      <c r="E124" s="14"/>
    </row>
    <row r="125" spans="1:5" x14ac:dyDescent="0.25">
      <c r="A125" s="2" t="s">
        <v>557</v>
      </c>
      <c r="B125" s="67" t="s">
        <v>558</v>
      </c>
      <c r="C125" s="14" t="s">
        <v>426</v>
      </c>
      <c r="D125" s="14" t="s">
        <v>559</v>
      </c>
      <c r="E125" s="14"/>
    </row>
    <row r="126" spans="1:5" x14ac:dyDescent="0.25">
      <c r="A126" s="2" t="s">
        <v>560</v>
      </c>
      <c r="B126" s="67" t="s">
        <v>270</v>
      </c>
      <c r="C126" s="14" t="s">
        <v>426</v>
      </c>
      <c r="D126" s="14" t="s">
        <v>561</v>
      </c>
      <c r="E126" s="14"/>
    </row>
    <row r="127" spans="1:5" x14ac:dyDescent="0.25">
      <c r="A127" s="2" t="s">
        <v>562</v>
      </c>
      <c r="B127" s="67" t="s">
        <v>270</v>
      </c>
      <c r="C127" s="14" t="s">
        <v>426</v>
      </c>
      <c r="D127" s="14" t="s">
        <v>563</v>
      </c>
      <c r="E127" s="14"/>
    </row>
    <row r="128" spans="1:5" x14ac:dyDescent="0.25">
      <c r="A128" s="2" t="s">
        <v>564</v>
      </c>
      <c r="B128" s="67" t="s">
        <v>281</v>
      </c>
      <c r="C128" s="14" t="s">
        <v>426</v>
      </c>
      <c r="D128" s="14" t="s">
        <v>565</v>
      </c>
      <c r="E128" s="14"/>
    </row>
    <row r="129" spans="1:6" x14ac:dyDescent="0.25">
      <c r="A129" s="2" t="s">
        <v>566</v>
      </c>
      <c r="B129" s="67" t="s">
        <v>517</v>
      </c>
      <c r="C129" s="14" t="s">
        <v>426</v>
      </c>
      <c r="D129" s="14" t="s">
        <v>567</v>
      </c>
      <c r="E129" s="14"/>
    </row>
    <row r="130" spans="1:6" ht="16.2" x14ac:dyDescent="0.25">
      <c r="A130" s="92" t="s">
        <v>568</v>
      </c>
      <c r="B130" s="67" t="s">
        <v>569</v>
      </c>
      <c r="D130" s="2" t="s">
        <v>570</v>
      </c>
    </row>
    <row r="131" spans="1:6" ht="16.2" x14ac:dyDescent="0.25">
      <c r="A131" s="92" t="s">
        <v>571</v>
      </c>
      <c r="B131" s="67" t="s">
        <v>572</v>
      </c>
      <c r="D131" s="2" t="s">
        <v>573</v>
      </c>
    </row>
    <row r="132" spans="1:6" ht="16.2" x14ac:dyDescent="0.25">
      <c r="A132" s="92" t="s">
        <v>574</v>
      </c>
      <c r="B132" s="67" t="s">
        <v>457</v>
      </c>
      <c r="C132" s="14" t="s">
        <v>426</v>
      </c>
      <c r="D132" s="14" t="s">
        <v>575</v>
      </c>
      <c r="E132" s="14"/>
    </row>
    <row r="133" spans="1:6" ht="16.2" x14ac:dyDescent="0.35">
      <c r="A133" s="199" t="s">
        <v>576</v>
      </c>
      <c r="B133" s="145" t="s">
        <v>385</v>
      </c>
      <c r="C133" s="14" t="s">
        <v>426</v>
      </c>
      <c r="D133" s="200" t="s">
        <v>577</v>
      </c>
      <c r="E133" s="14"/>
    </row>
    <row r="134" spans="1:6" ht="16.2" x14ac:dyDescent="0.35">
      <c r="A134" s="199" t="s">
        <v>578</v>
      </c>
      <c r="B134" s="145" t="s">
        <v>364</v>
      </c>
      <c r="C134" s="14" t="s">
        <v>426</v>
      </c>
      <c r="D134" s="200" t="s">
        <v>579</v>
      </c>
      <c r="E134" s="14"/>
    </row>
    <row r="135" spans="1:6" ht="16.2" x14ac:dyDescent="0.25">
      <c r="A135" s="199" t="s">
        <v>580</v>
      </c>
      <c r="B135" s="145" t="s">
        <v>270</v>
      </c>
      <c r="C135" s="14" t="s">
        <v>426</v>
      </c>
      <c r="D135" s="2" t="s">
        <v>581</v>
      </c>
      <c r="E135" s="14"/>
    </row>
    <row r="136" spans="1:6" x14ac:dyDescent="0.25">
      <c r="A136" s="199" t="s">
        <v>582</v>
      </c>
      <c r="B136" s="67" t="s">
        <v>583</v>
      </c>
      <c r="C136" s="14" t="s">
        <v>426</v>
      </c>
      <c r="D136" s="2" t="s">
        <v>584</v>
      </c>
      <c r="E136" s="14"/>
    </row>
    <row r="137" spans="1:6" ht="16.2" x14ac:dyDescent="0.25">
      <c r="A137" s="201" t="s">
        <v>585</v>
      </c>
      <c r="B137" s="145" t="s">
        <v>583</v>
      </c>
      <c r="C137" s="14" t="s">
        <v>426</v>
      </c>
      <c r="D137" s="80" t="s">
        <v>586</v>
      </c>
      <c r="E137" s="14"/>
    </row>
    <row r="138" spans="1:6" ht="16.2" x14ac:dyDescent="0.25">
      <c r="A138" s="199" t="s">
        <v>587</v>
      </c>
      <c r="B138" s="145" t="s">
        <v>333</v>
      </c>
      <c r="C138" s="14" t="s">
        <v>426</v>
      </c>
      <c r="D138" s="2" t="s">
        <v>588</v>
      </c>
      <c r="E138" s="14"/>
    </row>
    <row r="139" spans="1:6" ht="16.2" x14ac:dyDescent="0.25">
      <c r="A139" s="199" t="s">
        <v>589</v>
      </c>
      <c r="B139" s="145" t="s">
        <v>517</v>
      </c>
      <c r="C139" s="14" t="s">
        <v>426</v>
      </c>
      <c r="D139" s="2" t="s">
        <v>590</v>
      </c>
      <c r="E139" s="14"/>
    </row>
    <row r="140" spans="1:6" ht="16.2" x14ac:dyDescent="0.25">
      <c r="A140" s="199" t="s">
        <v>591</v>
      </c>
      <c r="B140" s="67" t="s">
        <v>592</v>
      </c>
      <c r="C140" s="14" t="s">
        <v>426</v>
      </c>
      <c r="D140" s="2" t="s">
        <v>593</v>
      </c>
      <c r="E140" s="14"/>
    </row>
    <row r="141" spans="1:6" ht="16.2" x14ac:dyDescent="0.25">
      <c r="A141" s="199" t="s">
        <v>594</v>
      </c>
      <c r="B141" s="145" t="s">
        <v>592</v>
      </c>
      <c r="C141" s="14" t="s">
        <v>426</v>
      </c>
      <c r="D141" s="2" t="s">
        <v>595</v>
      </c>
      <c r="E141" s="14"/>
    </row>
    <row r="142" spans="1:6" ht="16.2" x14ac:dyDescent="0.25">
      <c r="A142" s="199" t="s">
        <v>596</v>
      </c>
      <c r="B142" s="145" t="s">
        <v>333</v>
      </c>
      <c r="C142" s="14" t="s">
        <v>426</v>
      </c>
      <c r="D142" s="2" t="s">
        <v>597</v>
      </c>
      <c r="E142" s="14"/>
    </row>
    <row r="143" spans="1:6" x14ac:dyDescent="0.25">
      <c r="A143" s="199" t="s">
        <v>598</v>
      </c>
      <c r="B143" s="67" t="s">
        <v>599</v>
      </c>
      <c r="C143" s="14" t="s">
        <v>426</v>
      </c>
      <c r="D143" s="2" t="s">
        <v>600</v>
      </c>
      <c r="E143" s="14"/>
    </row>
    <row r="144" spans="1:6" ht="16.2" x14ac:dyDescent="0.25">
      <c r="A144" s="199" t="s">
        <v>601</v>
      </c>
      <c r="B144" s="67" t="s">
        <v>602</v>
      </c>
      <c r="C144" s="14" t="s">
        <v>426</v>
      </c>
      <c r="D144" s="2" t="s">
        <v>603</v>
      </c>
      <c r="E144" s="14"/>
      <c r="F144" s="145"/>
    </row>
    <row r="145" spans="1:5" ht="16.2" x14ac:dyDescent="0.25">
      <c r="A145" s="199" t="s">
        <v>604</v>
      </c>
      <c r="B145" s="67" t="s">
        <v>385</v>
      </c>
      <c r="C145" s="14" t="s">
        <v>426</v>
      </c>
      <c r="D145" s="2" t="s">
        <v>605</v>
      </c>
      <c r="E145" s="14"/>
    </row>
    <row r="146" spans="1:5" ht="16.2" x14ac:dyDescent="0.25">
      <c r="A146" s="199" t="s">
        <v>606</v>
      </c>
      <c r="B146" s="145" t="s">
        <v>592</v>
      </c>
      <c r="C146" s="14" t="s">
        <v>426</v>
      </c>
      <c r="D146" s="2" t="s">
        <v>607</v>
      </c>
      <c r="E146" s="14"/>
    </row>
    <row r="147" spans="1:5" ht="16.2" x14ac:dyDescent="0.25">
      <c r="A147" s="199" t="s">
        <v>608</v>
      </c>
      <c r="B147" s="145" t="s">
        <v>609</v>
      </c>
      <c r="C147" s="14" t="s">
        <v>426</v>
      </c>
      <c r="D147" s="2" t="s">
        <v>610</v>
      </c>
      <c r="E147" s="14"/>
    </row>
    <row r="148" spans="1:5" ht="16.2" x14ac:dyDescent="0.25">
      <c r="A148" s="199" t="s">
        <v>611</v>
      </c>
      <c r="B148" s="67" t="s">
        <v>530</v>
      </c>
      <c r="C148" s="14" t="s">
        <v>426</v>
      </c>
      <c r="D148" s="2" t="s">
        <v>612</v>
      </c>
      <c r="E148" s="14"/>
    </row>
    <row r="149" spans="1:5" ht="16.2" x14ac:dyDescent="0.25">
      <c r="A149" s="199" t="s">
        <v>613</v>
      </c>
      <c r="B149" s="145" t="s">
        <v>592</v>
      </c>
      <c r="C149" s="14" t="s">
        <v>426</v>
      </c>
      <c r="D149" s="2" t="s">
        <v>614</v>
      </c>
      <c r="E149" s="14"/>
    </row>
    <row r="150" spans="1:5" ht="16.2" x14ac:dyDescent="0.25">
      <c r="A150" s="199" t="s">
        <v>615</v>
      </c>
      <c r="B150" s="67" t="s">
        <v>473</v>
      </c>
      <c r="C150" s="14" t="s">
        <v>426</v>
      </c>
      <c r="D150" s="14" t="s">
        <v>616</v>
      </c>
      <c r="E150" s="14"/>
    </row>
    <row r="151" spans="1:5" x14ac:dyDescent="0.35">
      <c r="A151" s="199" t="s">
        <v>617</v>
      </c>
      <c r="B151" s="19" t="s">
        <v>618</v>
      </c>
      <c r="C151" s="14" t="s">
        <v>426</v>
      </c>
      <c r="D151" s="2" t="s">
        <v>619</v>
      </c>
      <c r="E151" s="14"/>
    </row>
    <row r="152" spans="1:5" ht="16.2" x14ac:dyDescent="0.25">
      <c r="A152" s="199" t="s">
        <v>620</v>
      </c>
      <c r="B152" s="145" t="s">
        <v>555</v>
      </c>
      <c r="C152" s="14" t="s">
        <v>426</v>
      </c>
      <c r="D152" s="2" t="s">
        <v>621</v>
      </c>
      <c r="E152" s="14"/>
    </row>
    <row r="153" spans="1:5" ht="16.2" x14ac:dyDescent="0.25">
      <c r="A153" s="2" t="s">
        <v>622</v>
      </c>
      <c r="B153" s="67" t="s">
        <v>623</v>
      </c>
      <c r="C153" s="14" t="s">
        <v>426</v>
      </c>
      <c r="D153" s="2" t="s">
        <v>624</v>
      </c>
      <c r="E153" s="14"/>
    </row>
    <row r="154" spans="1:5" ht="16.2" x14ac:dyDescent="0.25">
      <c r="A154" s="22" t="s">
        <v>625</v>
      </c>
      <c r="B154" s="145" t="s">
        <v>626</v>
      </c>
      <c r="C154" s="14" t="s">
        <v>426</v>
      </c>
      <c r="D154" s="2" t="s">
        <v>627</v>
      </c>
      <c r="E154" s="14"/>
    </row>
    <row r="155" spans="1:5" x14ac:dyDescent="0.25">
      <c r="A155" s="2" t="s">
        <v>628</v>
      </c>
      <c r="B155" s="67" t="s">
        <v>473</v>
      </c>
      <c r="D155" s="2" t="s">
        <v>629</v>
      </c>
    </row>
    <row r="156" spans="1:5" ht="16.2" x14ac:dyDescent="0.25">
      <c r="A156" s="2" t="s">
        <v>630</v>
      </c>
      <c r="B156" s="145" t="s">
        <v>364</v>
      </c>
      <c r="D156" s="2" t="s">
        <v>631</v>
      </c>
    </row>
    <row r="157" spans="1:5" x14ac:dyDescent="0.25">
      <c r="A157" s="2" t="s">
        <v>632</v>
      </c>
      <c r="B157" s="67" t="s">
        <v>364</v>
      </c>
      <c r="D157" s="2" t="s">
        <v>633</v>
      </c>
    </row>
    <row r="158" spans="1:5" x14ac:dyDescent="0.25">
      <c r="A158" s="2" t="s">
        <v>634</v>
      </c>
      <c r="B158" s="67" t="s">
        <v>256</v>
      </c>
      <c r="D158" s="2" t="s">
        <v>635</v>
      </c>
    </row>
    <row r="159" spans="1:5" x14ac:dyDescent="0.25">
      <c r="A159" s="2" t="s">
        <v>636</v>
      </c>
      <c r="B159" s="67" t="s">
        <v>473</v>
      </c>
      <c r="D159" s="2" t="s">
        <v>637</v>
      </c>
    </row>
    <row r="160" spans="1:5" x14ac:dyDescent="0.25">
      <c r="A160" s="2" t="s">
        <v>638</v>
      </c>
      <c r="B160" s="67" t="s">
        <v>639</v>
      </c>
      <c r="D160" s="2" t="s">
        <v>640</v>
      </c>
    </row>
    <row r="161" spans="1:5" s="80" customFormat="1" ht="16.2" x14ac:dyDescent="0.25">
      <c r="A161" s="80" t="s">
        <v>641</v>
      </c>
      <c r="B161" s="145" t="s">
        <v>473</v>
      </c>
      <c r="D161" s="80" t="s">
        <v>642</v>
      </c>
    </row>
    <row r="162" spans="1:5" ht="16.2" x14ac:dyDescent="0.25">
      <c r="A162" s="2" t="s">
        <v>643</v>
      </c>
      <c r="B162" s="145" t="s">
        <v>517</v>
      </c>
      <c r="C162" s="14" t="s">
        <v>426</v>
      </c>
      <c r="D162" s="2" t="s">
        <v>644</v>
      </c>
    </row>
    <row r="163" spans="1:5" ht="16.2" x14ac:dyDescent="0.25">
      <c r="A163" s="2" t="s">
        <v>645</v>
      </c>
      <c r="B163" s="145" t="s">
        <v>646</v>
      </c>
      <c r="D163" s="2" t="s">
        <v>647</v>
      </c>
    </row>
    <row r="164" spans="1:5" ht="16.2" x14ac:dyDescent="0.25">
      <c r="A164" s="2" t="s">
        <v>648</v>
      </c>
      <c r="B164" s="145" t="s">
        <v>385</v>
      </c>
      <c r="D164" s="2" t="s">
        <v>649</v>
      </c>
    </row>
    <row r="165" spans="1:5" ht="16.2" x14ac:dyDescent="0.25">
      <c r="A165" s="2" t="s">
        <v>650</v>
      </c>
      <c r="B165" s="145" t="s">
        <v>256</v>
      </c>
      <c r="D165" s="2" t="s">
        <v>651</v>
      </c>
    </row>
    <row r="166" spans="1:5" ht="16.2" x14ac:dyDescent="0.25">
      <c r="A166" s="2" t="s">
        <v>652</v>
      </c>
      <c r="B166" s="202" t="s">
        <v>653</v>
      </c>
      <c r="D166" s="2" t="s">
        <v>654</v>
      </c>
    </row>
    <row r="167" spans="1:5" ht="16.2" x14ac:dyDescent="0.25">
      <c r="A167" s="2" t="s">
        <v>655</v>
      </c>
      <c r="B167" s="67" t="s">
        <v>270</v>
      </c>
      <c r="C167" s="14" t="s">
        <v>426</v>
      </c>
      <c r="D167" s="2" t="s">
        <v>656</v>
      </c>
      <c r="E167" s="14" t="s">
        <v>316</v>
      </c>
    </row>
    <row r="168" spans="1:5" ht="16.2" x14ac:dyDescent="0.25">
      <c r="A168" s="2" t="s">
        <v>657</v>
      </c>
      <c r="B168" s="67" t="s">
        <v>270</v>
      </c>
      <c r="C168" s="14" t="s">
        <v>426</v>
      </c>
      <c r="D168" s="2" t="s">
        <v>658</v>
      </c>
      <c r="E168" s="14" t="s">
        <v>316</v>
      </c>
    </row>
    <row r="169" spans="1:5" ht="16.2" x14ac:dyDescent="0.25">
      <c r="A169" s="2" t="s">
        <v>659</v>
      </c>
      <c r="B169" s="67" t="s">
        <v>385</v>
      </c>
      <c r="C169" s="14" t="s">
        <v>426</v>
      </c>
      <c r="D169" s="2" t="s">
        <v>660</v>
      </c>
      <c r="E169" s="14" t="s">
        <v>316</v>
      </c>
    </row>
    <row r="170" spans="1:5" ht="16.2" x14ac:dyDescent="0.25">
      <c r="A170" s="2" t="s">
        <v>661</v>
      </c>
      <c r="B170" s="67" t="s">
        <v>364</v>
      </c>
      <c r="C170" s="14" t="s">
        <v>426</v>
      </c>
      <c r="D170" s="143" t="s">
        <v>662</v>
      </c>
      <c r="E170" s="14" t="s">
        <v>316</v>
      </c>
    </row>
    <row r="171" spans="1:5" ht="16.2" x14ac:dyDescent="0.25">
      <c r="A171" s="92" t="s">
        <v>663</v>
      </c>
      <c r="B171" s="145" t="s">
        <v>530</v>
      </c>
      <c r="C171" s="15" t="s">
        <v>664</v>
      </c>
      <c r="D171" s="92" t="s">
        <v>665</v>
      </c>
    </row>
    <row r="172" spans="1:5" ht="16.2" x14ac:dyDescent="0.25">
      <c r="A172" s="92" t="s">
        <v>666</v>
      </c>
      <c r="B172" s="145" t="s">
        <v>385</v>
      </c>
      <c r="C172" s="15" t="s">
        <v>664</v>
      </c>
      <c r="D172" s="143" t="s">
        <v>667</v>
      </c>
    </row>
    <row r="173" spans="1:5" ht="16.2" x14ac:dyDescent="0.25">
      <c r="A173" s="2" t="s">
        <v>668</v>
      </c>
      <c r="B173" s="67" t="s">
        <v>330</v>
      </c>
      <c r="C173" s="15" t="s">
        <v>664</v>
      </c>
      <c r="D173" s="2" t="s">
        <v>669</v>
      </c>
    </row>
    <row r="174" spans="1:5" ht="16.2" x14ac:dyDescent="0.25">
      <c r="A174" s="92" t="s">
        <v>670</v>
      </c>
      <c r="B174" s="203" t="s">
        <v>530</v>
      </c>
      <c r="C174" s="15" t="s">
        <v>671</v>
      </c>
      <c r="D174" s="80" t="s">
        <v>672</v>
      </c>
    </row>
    <row r="175" spans="1:5" ht="16.2" x14ac:dyDescent="0.25">
      <c r="A175" s="92" t="s">
        <v>673</v>
      </c>
      <c r="B175" s="203" t="s">
        <v>385</v>
      </c>
      <c r="C175" s="15" t="s">
        <v>671</v>
      </c>
      <c r="D175" s="80" t="s">
        <v>667</v>
      </c>
    </row>
    <row r="176" spans="1:5" x14ac:dyDescent="0.25">
      <c r="A176" s="2" t="s">
        <v>674</v>
      </c>
      <c r="B176" s="67" t="s">
        <v>530</v>
      </c>
      <c r="D176" s="2" t="s">
        <v>675</v>
      </c>
    </row>
    <row r="177" spans="1:5" x14ac:dyDescent="0.25">
      <c r="A177" s="2" t="s">
        <v>676</v>
      </c>
      <c r="B177" s="67" t="s">
        <v>473</v>
      </c>
      <c r="D177" s="2" t="s">
        <v>677</v>
      </c>
    </row>
    <row r="178" spans="1:5" x14ac:dyDescent="0.25">
      <c r="A178" s="2" t="s">
        <v>678</v>
      </c>
      <c r="B178" s="67" t="s">
        <v>679</v>
      </c>
      <c r="D178" s="2" t="s">
        <v>680</v>
      </c>
    </row>
    <row r="179" spans="1:5" x14ac:dyDescent="0.25">
      <c r="A179" s="2" t="s">
        <v>681</v>
      </c>
      <c r="B179" s="67" t="s">
        <v>385</v>
      </c>
      <c r="D179" s="2" t="s">
        <v>682</v>
      </c>
    </row>
    <row r="180" spans="1:5" x14ac:dyDescent="0.25">
      <c r="A180" s="2" t="s">
        <v>683</v>
      </c>
      <c r="B180" s="67" t="s">
        <v>473</v>
      </c>
      <c r="C180" s="14" t="s">
        <v>426</v>
      </c>
      <c r="D180" s="2" t="s">
        <v>684</v>
      </c>
      <c r="E180" s="14" t="s">
        <v>316</v>
      </c>
    </row>
    <row r="181" spans="1:5" x14ac:dyDescent="0.25">
      <c r="A181" s="2" t="s">
        <v>685</v>
      </c>
      <c r="B181" s="67" t="s">
        <v>473</v>
      </c>
      <c r="C181" s="14" t="s">
        <v>426</v>
      </c>
      <c r="D181" s="2" t="s">
        <v>686</v>
      </c>
      <c r="E181" s="14" t="s">
        <v>316</v>
      </c>
    </row>
    <row r="182" spans="1:5" ht="16.2" x14ac:dyDescent="0.25">
      <c r="A182" s="80" t="s">
        <v>687</v>
      </c>
      <c r="B182" s="145" t="s">
        <v>517</v>
      </c>
      <c r="C182" s="14" t="s">
        <v>426</v>
      </c>
      <c r="D182" s="80" t="s">
        <v>688</v>
      </c>
      <c r="E182" s="14" t="s">
        <v>316</v>
      </c>
    </row>
    <row r="183" spans="1:5" x14ac:dyDescent="0.25">
      <c r="A183" s="14" t="s">
        <v>689</v>
      </c>
      <c r="B183" s="67" t="s">
        <v>470</v>
      </c>
      <c r="C183" s="14" t="s">
        <v>426</v>
      </c>
      <c r="D183" s="2" t="s">
        <v>690</v>
      </c>
      <c r="E183" s="14" t="s">
        <v>316</v>
      </c>
    </row>
    <row r="184" spans="1:5" x14ac:dyDescent="0.25">
      <c r="A184" s="14" t="s">
        <v>691</v>
      </c>
      <c r="B184" s="67" t="s">
        <v>692</v>
      </c>
      <c r="C184" s="14" t="s">
        <v>426</v>
      </c>
      <c r="D184" s="2" t="s">
        <v>693</v>
      </c>
      <c r="E184" s="14" t="s">
        <v>316</v>
      </c>
    </row>
    <row r="185" spans="1:5" x14ac:dyDescent="0.25">
      <c r="A185" s="14" t="s">
        <v>694</v>
      </c>
      <c r="B185" s="67" t="s">
        <v>695</v>
      </c>
      <c r="C185" s="14" t="s">
        <v>426</v>
      </c>
      <c r="D185" s="2" t="s">
        <v>696</v>
      </c>
      <c r="E185" s="14" t="s">
        <v>316</v>
      </c>
    </row>
    <row r="186" spans="1:5" x14ac:dyDescent="0.25">
      <c r="A186" s="14" t="s">
        <v>697</v>
      </c>
      <c r="B186" s="67" t="s">
        <v>473</v>
      </c>
      <c r="C186" s="14" t="s">
        <v>426</v>
      </c>
      <c r="D186" s="2" t="s">
        <v>551</v>
      </c>
      <c r="E186" s="14" t="s">
        <v>316</v>
      </c>
    </row>
    <row r="187" spans="1:5" ht="16.2" x14ac:dyDescent="0.25">
      <c r="A187" s="14" t="s">
        <v>698</v>
      </c>
      <c r="B187" s="67" t="s">
        <v>699</v>
      </c>
      <c r="C187" s="14" t="s">
        <v>426</v>
      </c>
      <c r="D187" s="2" t="s">
        <v>700</v>
      </c>
      <c r="E187" s="14" t="s">
        <v>316</v>
      </c>
    </row>
    <row r="188" spans="1:5" x14ac:dyDescent="0.25">
      <c r="A188" s="2" t="s">
        <v>701</v>
      </c>
      <c r="B188" s="67" t="s">
        <v>702</v>
      </c>
      <c r="D188" s="2" t="s">
        <v>703</v>
      </c>
    </row>
    <row r="189" spans="1:5" x14ac:dyDescent="0.25">
      <c r="A189" s="2" t="s">
        <v>704</v>
      </c>
      <c r="B189" s="67" t="s">
        <v>705</v>
      </c>
      <c r="D189" s="2" t="s">
        <v>706</v>
      </c>
    </row>
    <row r="190" spans="1:5" x14ac:dyDescent="0.25">
      <c r="A190" s="2" t="s">
        <v>707</v>
      </c>
      <c r="B190" s="67" t="s">
        <v>530</v>
      </c>
      <c r="C190" s="14" t="s">
        <v>426</v>
      </c>
      <c r="D190" s="2" t="s">
        <v>708</v>
      </c>
      <c r="E190" s="14" t="s">
        <v>316</v>
      </c>
    </row>
    <row r="191" spans="1:5" x14ac:dyDescent="0.25">
      <c r="A191" s="2" t="s">
        <v>709</v>
      </c>
      <c r="B191" s="67" t="s">
        <v>710</v>
      </c>
      <c r="C191" s="14" t="s">
        <v>426</v>
      </c>
      <c r="D191" s="2" t="s">
        <v>711</v>
      </c>
      <c r="E191" s="14" t="s">
        <v>316</v>
      </c>
    </row>
    <row r="192" spans="1:5" x14ac:dyDescent="0.25">
      <c r="A192" s="2" t="s">
        <v>712</v>
      </c>
      <c r="B192" s="67" t="s">
        <v>602</v>
      </c>
      <c r="D192" s="2" t="s">
        <v>713</v>
      </c>
    </row>
    <row r="193" spans="1:14" x14ac:dyDescent="0.25">
      <c r="A193" s="2" t="s">
        <v>714</v>
      </c>
      <c r="B193" s="67" t="s">
        <v>715</v>
      </c>
      <c r="D193" s="2" t="s">
        <v>716</v>
      </c>
    </row>
    <row r="194" spans="1:14" x14ac:dyDescent="0.25">
      <c r="A194" s="2" t="s">
        <v>717</v>
      </c>
      <c r="B194" s="67" t="s">
        <v>718</v>
      </c>
      <c r="D194" s="2" t="s">
        <v>719</v>
      </c>
    </row>
    <row r="195" spans="1:14" x14ac:dyDescent="0.25">
      <c r="A195" s="2" t="s">
        <v>720</v>
      </c>
      <c r="B195" s="67" t="s">
        <v>721</v>
      </c>
      <c r="D195" s="2" t="s">
        <v>722</v>
      </c>
    </row>
    <row r="196" spans="1:14" x14ac:dyDescent="0.25">
      <c r="A196" s="2" t="s">
        <v>723</v>
      </c>
      <c r="B196" s="67" t="s">
        <v>344</v>
      </c>
      <c r="D196" s="2" t="s">
        <v>724</v>
      </c>
    </row>
    <row r="197" spans="1:14" x14ac:dyDescent="0.25">
      <c r="A197" s="2" t="s">
        <v>725</v>
      </c>
      <c r="B197" s="67" t="s">
        <v>592</v>
      </c>
      <c r="D197" s="2" t="s">
        <v>726</v>
      </c>
    </row>
    <row r="198" spans="1:14" x14ac:dyDescent="0.25">
      <c r="A198" s="2" t="s">
        <v>727</v>
      </c>
      <c r="B198" s="67" t="s">
        <v>592</v>
      </c>
      <c r="D198" s="2" t="s">
        <v>728</v>
      </c>
    </row>
    <row r="199" spans="1:14" x14ac:dyDescent="0.25">
      <c r="A199" s="2" t="s">
        <v>729</v>
      </c>
      <c r="B199" s="67" t="s">
        <v>364</v>
      </c>
      <c r="D199" s="2" t="s">
        <v>730</v>
      </c>
    </row>
    <row r="200" spans="1:14" x14ac:dyDescent="0.25">
      <c r="A200" s="2" t="s">
        <v>731</v>
      </c>
      <c r="B200" s="67" t="s">
        <v>623</v>
      </c>
      <c r="D200" s="2" t="s">
        <v>732</v>
      </c>
    </row>
    <row r="201" spans="1:14" x14ac:dyDescent="0.25">
      <c r="A201" s="2" t="s">
        <v>733</v>
      </c>
      <c r="B201" s="67" t="s">
        <v>385</v>
      </c>
      <c r="D201" s="2" t="s">
        <v>734</v>
      </c>
    </row>
    <row r="202" spans="1:14" x14ac:dyDescent="0.25">
      <c r="A202" s="2" t="s">
        <v>735</v>
      </c>
      <c r="B202" s="67" t="s">
        <v>457</v>
      </c>
      <c r="D202" s="2" t="s">
        <v>736</v>
      </c>
    </row>
    <row r="203" spans="1:14" x14ac:dyDescent="0.25">
      <c r="A203" s="2" t="s">
        <v>737</v>
      </c>
      <c r="B203" s="2">
        <f>INDEX('炮解锁|CannonUnlock'!A:A,MATCH(MAX('炮解锁|CannonUnlock'!A:A),'炮解锁|CannonUnlock'!A:A,),1)</f>
        <v>500000</v>
      </c>
      <c r="D203" s="2" t="s">
        <v>738</v>
      </c>
    </row>
    <row r="204" spans="1:14" x14ac:dyDescent="0.25">
      <c r="A204" s="2" t="s">
        <v>739</v>
      </c>
      <c r="B204" s="67" t="s">
        <v>740</v>
      </c>
      <c r="C204" s="14" t="s">
        <v>426</v>
      </c>
      <c r="D204" s="2" t="s">
        <v>741</v>
      </c>
      <c r="E204" s="14" t="s">
        <v>316</v>
      </c>
      <c r="K204" s="2" t="s">
        <v>742</v>
      </c>
      <c r="L204" s="2" t="s">
        <v>743</v>
      </c>
      <c r="M204" s="2" t="s">
        <v>744</v>
      </c>
      <c r="N204" s="2" t="s">
        <v>745</v>
      </c>
    </row>
    <row r="205" spans="1:14" x14ac:dyDescent="0.25">
      <c r="A205" s="2" t="s">
        <v>746</v>
      </c>
      <c r="B205" s="67" t="s">
        <v>747</v>
      </c>
      <c r="C205" s="14" t="s">
        <v>426</v>
      </c>
      <c r="D205" s="2" t="s">
        <v>748</v>
      </c>
      <c r="E205" s="14" t="s">
        <v>316</v>
      </c>
      <c r="K205" s="120">
        <v>0.1</v>
      </c>
      <c r="L205" s="120">
        <v>1</v>
      </c>
      <c r="M205" s="208">
        <f>K205*L205*2+K205*(1-L205)</f>
        <v>0.2</v>
      </c>
      <c r="N205" s="208">
        <f>K205*L205*3+K205*(1-L205)</f>
        <v>0.30000000000000004</v>
      </c>
    </row>
    <row r="206" spans="1:14" x14ac:dyDescent="0.25">
      <c r="A206" s="2" t="s">
        <v>749</v>
      </c>
      <c r="B206" s="67" t="s">
        <v>750</v>
      </c>
      <c r="D206" s="2" t="s">
        <v>751</v>
      </c>
      <c r="K206" s="120">
        <v>0.2</v>
      </c>
      <c r="L206" s="120">
        <v>0.9</v>
      </c>
      <c r="M206" s="208">
        <f t="shared" ref="M206:M217" si="3">K206*L206*2+K206*(1-L206)</f>
        <v>0.38000000000000006</v>
      </c>
      <c r="N206" s="208">
        <f t="shared" ref="N206:N217" si="4">K206*L206*3+K206*(1-L206)</f>
        <v>0.56000000000000005</v>
      </c>
    </row>
    <row r="207" spans="1:14" x14ac:dyDescent="0.25">
      <c r="A207" s="2" t="s">
        <v>752</v>
      </c>
      <c r="B207" s="67" t="s">
        <v>583</v>
      </c>
      <c r="D207" s="2" t="s">
        <v>753</v>
      </c>
      <c r="K207" s="120">
        <v>0.3</v>
      </c>
      <c r="L207" s="120">
        <v>0.8</v>
      </c>
      <c r="M207" s="208">
        <f t="shared" si="3"/>
        <v>0.53999999999999992</v>
      </c>
      <c r="N207" s="208">
        <f t="shared" si="4"/>
        <v>0.77999999999999992</v>
      </c>
    </row>
    <row r="208" spans="1:14" x14ac:dyDescent="0.25">
      <c r="A208" s="2" t="s">
        <v>754</v>
      </c>
      <c r="B208" s="67" t="s">
        <v>504</v>
      </c>
      <c r="D208" s="2" t="s">
        <v>755</v>
      </c>
      <c r="K208" s="120">
        <v>0.4</v>
      </c>
      <c r="L208" s="120">
        <v>0.7</v>
      </c>
      <c r="M208" s="208">
        <f t="shared" si="3"/>
        <v>0.67999999999999994</v>
      </c>
      <c r="N208" s="208">
        <f t="shared" si="4"/>
        <v>0.95999999999999985</v>
      </c>
    </row>
    <row r="209" spans="1:14" x14ac:dyDescent="0.25">
      <c r="A209" s="2" t="s">
        <v>756</v>
      </c>
      <c r="B209" s="67" t="s">
        <v>473</v>
      </c>
      <c r="D209" s="2" t="s">
        <v>757</v>
      </c>
      <c r="K209" s="120">
        <v>0.5</v>
      </c>
      <c r="L209" s="120">
        <v>0.6</v>
      </c>
      <c r="M209" s="208">
        <f t="shared" si="3"/>
        <v>0.8</v>
      </c>
      <c r="N209" s="208">
        <f t="shared" si="4"/>
        <v>1.0999999999999999</v>
      </c>
    </row>
    <row r="210" spans="1:14" x14ac:dyDescent="0.25">
      <c r="A210" s="2" t="s">
        <v>758</v>
      </c>
      <c r="B210" s="67" t="s">
        <v>333</v>
      </c>
      <c r="D210" s="2" t="s">
        <v>759</v>
      </c>
      <c r="K210" s="120">
        <v>0.6</v>
      </c>
      <c r="L210" s="120">
        <v>0.5</v>
      </c>
      <c r="M210" s="208">
        <f t="shared" si="3"/>
        <v>0.89999999999999991</v>
      </c>
      <c r="N210" s="208">
        <f t="shared" si="4"/>
        <v>1.2</v>
      </c>
    </row>
    <row r="211" spans="1:14" ht="16.2" x14ac:dyDescent="0.25">
      <c r="A211" s="2" t="s">
        <v>760</v>
      </c>
      <c r="B211" s="166">
        <v>86400</v>
      </c>
      <c r="D211" s="2" t="s">
        <v>761</v>
      </c>
      <c r="E211" s="2">
        <f>60*60*24</f>
        <v>86400</v>
      </c>
      <c r="K211" s="120">
        <v>0.7</v>
      </c>
      <c r="L211" s="120">
        <v>0.4</v>
      </c>
      <c r="M211" s="208">
        <f t="shared" si="3"/>
        <v>0.98</v>
      </c>
      <c r="N211" s="208">
        <f t="shared" si="4"/>
        <v>1.2599999999999998</v>
      </c>
    </row>
    <row r="212" spans="1:14" x14ac:dyDescent="0.25">
      <c r="A212" s="2" t="s">
        <v>762</v>
      </c>
      <c r="B212" s="67" t="s">
        <v>364</v>
      </c>
      <c r="D212" s="2" t="s">
        <v>763</v>
      </c>
      <c r="K212" s="120">
        <v>0.8</v>
      </c>
      <c r="L212" s="120">
        <v>0.3</v>
      </c>
      <c r="M212" s="208">
        <f t="shared" si="3"/>
        <v>1.04</v>
      </c>
      <c r="N212" s="208">
        <f t="shared" si="4"/>
        <v>1.2799999999999998</v>
      </c>
    </row>
    <row r="213" spans="1:14" x14ac:dyDescent="0.25">
      <c r="A213" s="2" t="s">
        <v>764</v>
      </c>
      <c r="B213" s="67" t="s">
        <v>470</v>
      </c>
      <c r="D213" s="2" t="s">
        <v>765</v>
      </c>
      <c r="K213" s="120">
        <v>0.9</v>
      </c>
      <c r="L213" s="120">
        <v>0.2</v>
      </c>
      <c r="M213" s="208">
        <f t="shared" si="3"/>
        <v>1.08</v>
      </c>
      <c r="N213" s="208">
        <f t="shared" si="4"/>
        <v>1.2600000000000002</v>
      </c>
    </row>
    <row r="214" spans="1:14" x14ac:dyDescent="0.25">
      <c r="A214" s="2" t="s">
        <v>766</v>
      </c>
      <c r="B214" s="67" t="s">
        <v>364</v>
      </c>
      <c r="D214" s="2" t="s">
        <v>767</v>
      </c>
      <c r="K214" s="120">
        <v>1</v>
      </c>
      <c r="L214" s="120">
        <v>0.1</v>
      </c>
      <c r="M214" s="208">
        <f t="shared" si="3"/>
        <v>1.1000000000000001</v>
      </c>
      <c r="N214" s="208">
        <f t="shared" si="4"/>
        <v>1.2000000000000002</v>
      </c>
    </row>
    <row r="215" spans="1:14" x14ac:dyDescent="0.35">
      <c r="A215" s="2" t="s">
        <v>768</v>
      </c>
      <c r="B215" s="24">
        <v>10</v>
      </c>
      <c r="C215" s="14" t="s">
        <v>426</v>
      </c>
      <c r="D215" s="2" t="s">
        <v>769</v>
      </c>
      <c r="K215" s="120">
        <v>1.1000000000000001</v>
      </c>
      <c r="L215" s="120">
        <v>0</v>
      </c>
      <c r="M215" s="208">
        <f t="shared" si="3"/>
        <v>1.1000000000000001</v>
      </c>
      <c r="N215" s="208">
        <f t="shared" si="4"/>
        <v>1.1000000000000001</v>
      </c>
    </row>
    <row r="216" spans="1:14" x14ac:dyDescent="0.25">
      <c r="A216" s="2" t="s">
        <v>770</v>
      </c>
      <c r="B216" s="67" t="s">
        <v>555</v>
      </c>
      <c r="D216" s="2" t="s">
        <v>771</v>
      </c>
      <c r="K216" s="120">
        <v>1.2</v>
      </c>
      <c r="L216" s="120">
        <v>0</v>
      </c>
      <c r="M216" s="208">
        <f t="shared" si="3"/>
        <v>1.2</v>
      </c>
      <c r="N216" s="208">
        <f t="shared" si="4"/>
        <v>1.2</v>
      </c>
    </row>
    <row r="217" spans="1:14" x14ac:dyDescent="0.25">
      <c r="A217" s="2" t="s">
        <v>772</v>
      </c>
      <c r="B217" s="67" t="s">
        <v>517</v>
      </c>
      <c r="D217" s="2" t="s">
        <v>773</v>
      </c>
      <c r="K217" s="120">
        <v>1.3</v>
      </c>
      <c r="L217" s="120">
        <v>0</v>
      </c>
      <c r="M217" s="208">
        <f t="shared" si="3"/>
        <v>1.3</v>
      </c>
      <c r="N217" s="208">
        <f t="shared" si="4"/>
        <v>1.3</v>
      </c>
    </row>
    <row r="218" spans="1:14" x14ac:dyDescent="0.25">
      <c r="A218" s="2" t="s">
        <v>774</v>
      </c>
      <c r="B218" s="121">
        <f>10*60</f>
        <v>600</v>
      </c>
      <c r="D218" s="2" t="s">
        <v>775</v>
      </c>
    </row>
    <row r="219" spans="1:14" ht="16.2" x14ac:dyDescent="0.25">
      <c r="A219" s="2" t="s">
        <v>776</v>
      </c>
      <c r="B219" s="145" t="s">
        <v>777</v>
      </c>
      <c r="D219" s="2" t="s">
        <v>778</v>
      </c>
    </row>
    <row r="220" spans="1:14" x14ac:dyDescent="0.25">
      <c r="A220" s="2" t="s">
        <v>779</v>
      </c>
      <c r="B220" s="67" t="s">
        <v>653</v>
      </c>
      <c r="D220" s="2" t="s">
        <v>780</v>
      </c>
    </row>
    <row r="221" spans="1:14" x14ac:dyDescent="0.25">
      <c r="A221" s="2" t="s">
        <v>781</v>
      </c>
      <c r="B221" s="67" t="s">
        <v>530</v>
      </c>
      <c r="D221" s="2" t="s">
        <v>782</v>
      </c>
    </row>
    <row r="222" spans="1:14" ht="16.2" x14ac:dyDescent="0.25">
      <c r="A222" s="2" t="s">
        <v>783</v>
      </c>
      <c r="B222" s="80">
        <v>15</v>
      </c>
      <c r="D222" s="2" t="s">
        <v>784</v>
      </c>
      <c r="E222" s="80">
        <v>15</v>
      </c>
    </row>
    <row r="223" spans="1:14" x14ac:dyDescent="0.25">
      <c r="A223" s="2" t="s">
        <v>785</v>
      </c>
      <c r="B223" s="67" t="s">
        <v>530</v>
      </c>
      <c r="D223" s="2" t="s">
        <v>786</v>
      </c>
    </row>
    <row r="224" spans="1:14" x14ac:dyDescent="0.25">
      <c r="A224" s="2" t="s">
        <v>787</v>
      </c>
      <c r="B224" s="67" t="s">
        <v>504</v>
      </c>
      <c r="D224" s="2" t="s">
        <v>788</v>
      </c>
    </row>
    <row r="225" spans="1:5" x14ac:dyDescent="0.25">
      <c r="A225" s="2" t="s">
        <v>789</v>
      </c>
      <c r="B225" s="204" t="s">
        <v>333</v>
      </c>
      <c r="C225" s="14" t="s">
        <v>426</v>
      </c>
      <c r="D225" s="2" t="s">
        <v>790</v>
      </c>
      <c r="E225" s="14"/>
    </row>
    <row r="226" spans="1:5" ht="16.2" x14ac:dyDescent="0.25">
      <c r="A226" s="2" t="s">
        <v>791</v>
      </c>
      <c r="B226" s="204" t="s">
        <v>792</v>
      </c>
      <c r="C226" s="14" t="s">
        <v>426</v>
      </c>
      <c r="D226" s="143" t="s">
        <v>793</v>
      </c>
      <c r="E226" s="14"/>
    </row>
    <row r="227" spans="1:5" x14ac:dyDescent="0.25">
      <c r="A227" s="2" t="s">
        <v>794</v>
      </c>
      <c r="B227" s="204" t="s">
        <v>795</v>
      </c>
      <c r="C227" s="14" t="s">
        <v>426</v>
      </c>
      <c r="D227" s="2" t="s">
        <v>796</v>
      </c>
      <c r="E227" s="14"/>
    </row>
    <row r="228" spans="1:5" ht="16.2" x14ac:dyDescent="0.25">
      <c r="A228" s="2" t="s">
        <v>797</v>
      </c>
      <c r="B228" s="205" t="s">
        <v>798</v>
      </c>
      <c r="C228" s="14" t="s">
        <v>426</v>
      </c>
      <c r="D228" s="2" t="s">
        <v>799</v>
      </c>
      <c r="E228" s="14"/>
    </row>
    <row r="229" spans="1:5" x14ac:dyDescent="0.25">
      <c r="A229" s="2" t="s">
        <v>800</v>
      </c>
      <c r="B229" s="204" t="s">
        <v>344</v>
      </c>
      <c r="C229" s="14" t="s">
        <v>426</v>
      </c>
      <c r="D229" s="2" t="s">
        <v>801</v>
      </c>
      <c r="E229" s="14"/>
    </row>
    <row r="230" spans="1:5" ht="16.2" x14ac:dyDescent="0.25">
      <c r="A230" s="2" t="s">
        <v>802</v>
      </c>
      <c r="B230" s="204" t="s">
        <v>803</v>
      </c>
      <c r="C230" s="14" t="s">
        <v>426</v>
      </c>
      <c r="D230" s="2" t="s">
        <v>804</v>
      </c>
      <c r="E230" s="14"/>
    </row>
    <row r="231" spans="1:5" x14ac:dyDescent="0.25">
      <c r="A231" s="2" t="s">
        <v>805</v>
      </c>
      <c r="B231" s="204" t="s">
        <v>517</v>
      </c>
      <c r="C231" s="14" t="s">
        <v>426</v>
      </c>
      <c r="D231" s="2" t="s">
        <v>806</v>
      </c>
      <c r="E231" s="14"/>
    </row>
    <row r="232" spans="1:5" ht="16.2" x14ac:dyDescent="0.25">
      <c r="A232" s="2" t="s">
        <v>807</v>
      </c>
      <c r="B232" s="204" t="s">
        <v>808</v>
      </c>
      <c r="C232" s="14" t="s">
        <v>426</v>
      </c>
      <c r="D232" s="2" t="s">
        <v>809</v>
      </c>
      <c r="E232" s="14"/>
    </row>
    <row r="233" spans="1:5" x14ac:dyDescent="0.25">
      <c r="A233" s="2" t="s">
        <v>810</v>
      </c>
      <c r="B233" s="204" t="s">
        <v>517</v>
      </c>
      <c r="C233" s="14" t="s">
        <v>426</v>
      </c>
      <c r="D233" s="2" t="s">
        <v>811</v>
      </c>
      <c r="E233" s="14"/>
    </row>
    <row r="234" spans="1:5" ht="16.2" x14ac:dyDescent="0.25">
      <c r="A234" s="2" t="s">
        <v>812</v>
      </c>
      <c r="B234" s="204" t="s">
        <v>813</v>
      </c>
      <c r="C234" s="14" t="s">
        <v>426</v>
      </c>
      <c r="D234" s="2" t="s">
        <v>814</v>
      </c>
      <c r="E234" s="14"/>
    </row>
    <row r="235" spans="1:5" x14ac:dyDescent="0.25">
      <c r="A235" s="2" t="s">
        <v>815</v>
      </c>
      <c r="B235" s="204" t="s">
        <v>816</v>
      </c>
      <c r="C235" s="14" t="s">
        <v>426</v>
      </c>
      <c r="D235" s="2" t="s">
        <v>817</v>
      </c>
      <c r="E235" s="14"/>
    </row>
    <row r="236" spans="1:5" x14ac:dyDescent="0.25">
      <c r="A236" s="2" t="s">
        <v>818</v>
      </c>
      <c r="B236" s="204" t="s">
        <v>819</v>
      </c>
      <c r="C236" s="14" t="s">
        <v>426</v>
      </c>
      <c r="D236" s="2" t="s">
        <v>820</v>
      </c>
      <c r="E236" s="14"/>
    </row>
    <row r="237" spans="1:5" x14ac:dyDescent="0.25">
      <c r="A237" s="2" t="s">
        <v>821</v>
      </c>
      <c r="B237" s="67" t="s">
        <v>822</v>
      </c>
      <c r="D237" s="2" t="s">
        <v>823</v>
      </c>
    </row>
    <row r="238" spans="1:5" x14ac:dyDescent="0.25">
      <c r="A238" s="2" t="s">
        <v>824</v>
      </c>
      <c r="B238" s="67" t="s">
        <v>699</v>
      </c>
      <c r="C238" s="14" t="s">
        <v>426</v>
      </c>
      <c r="D238" s="2" t="s">
        <v>825</v>
      </c>
    </row>
    <row r="239" spans="1:5" x14ac:dyDescent="0.25">
      <c r="A239" s="2" t="s">
        <v>826</v>
      </c>
      <c r="B239" s="67" t="s">
        <v>827</v>
      </c>
      <c r="D239" s="2" t="s">
        <v>828</v>
      </c>
    </row>
    <row r="240" spans="1:5" x14ac:dyDescent="0.25">
      <c r="A240" s="2" t="s">
        <v>829</v>
      </c>
      <c r="B240" s="67" t="s">
        <v>830</v>
      </c>
      <c r="D240" s="2" t="s">
        <v>831</v>
      </c>
    </row>
    <row r="241" spans="1:17" x14ac:dyDescent="0.25">
      <c r="A241" s="2" t="s">
        <v>832</v>
      </c>
      <c r="B241" s="67" t="s">
        <v>370</v>
      </c>
      <c r="D241" s="2" t="s">
        <v>833</v>
      </c>
    </row>
    <row r="242" spans="1:17" x14ac:dyDescent="0.25">
      <c r="A242" s="2" t="s">
        <v>834</v>
      </c>
      <c r="B242" s="67" t="s">
        <v>517</v>
      </c>
      <c r="D242" s="2" t="s">
        <v>835</v>
      </c>
    </row>
    <row r="243" spans="1:17" x14ac:dyDescent="0.25">
      <c r="A243" s="2" t="s">
        <v>836</v>
      </c>
      <c r="B243" s="67" t="s">
        <v>837</v>
      </c>
      <c r="D243" s="2" t="s">
        <v>838</v>
      </c>
    </row>
    <row r="244" spans="1:17" x14ac:dyDescent="0.25">
      <c r="A244" s="2" t="s">
        <v>839</v>
      </c>
      <c r="B244" s="206" t="s">
        <v>840</v>
      </c>
      <c r="D244" s="2" t="s">
        <v>841</v>
      </c>
    </row>
    <row r="245" spans="1:17" x14ac:dyDescent="0.25">
      <c r="A245" s="2" t="s">
        <v>842</v>
      </c>
      <c r="B245" s="206" t="s">
        <v>843</v>
      </c>
      <c r="C245" s="14" t="s">
        <v>426</v>
      </c>
      <c r="D245" s="2" t="s">
        <v>844</v>
      </c>
    </row>
    <row r="246" spans="1:17" x14ac:dyDescent="0.25">
      <c r="A246" s="2" t="s">
        <v>845</v>
      </c>
      <c r="B246" s="121">
        <v>5000</v>
      </c>
      <c r="C246" s="14" t="s">
        <v>426</v>
      </c>
      <c r="D246" s="2" t="s">
        <v>846</v>
      </c>
    </row>
    <row r="247" spans="1:17" x14ac:dyDescent="0.25">
      <c r="A247" s="2" t="s">
        <v>847</v>
      </c>
      <c r="B247" s="67" t="s">
        <v>558</v>
      </c>
      <c r="D247" s="2" t="s">
        <v>848</v>
      </c>
    </row>
    <row r="248" spans="1:17" x14ac:dyDescent="0.25">
      <c r="A248" s="2" t="s">
        <v>849</v>
      </c>
      <c r="B248" s="67" t="s">
        <v>504</v>
      </c>
      <c r="D248" s="2" t="s">
        <v>850</v>
      </c>
    </row>
    <row r="249" spans="1:17" x14ac:dyDescent="0.25">
      <c r="A249" s="2" t="s">
        <v>851</v>
      </c>
      <c r="B249" s="67" t="s">
        <v>852</v>
      </c>
      <c r="D249" s="2" t="s">
        <v>853</v>
      </c>
    </row>
    <row r="250" spans="1:17" x14ac:dyDescent="0.25">
      <c r="A250" s="2" t="s">
        <v>854</v>
      </c>
      <c r="B250" s="67" t="s">
        <v>855</v>
      </c>
      <c r="D250" s="2" t="s">
        <v>856</v>
      </c>
    </row>
    <row r="251" spans="1:17" x14ac:dyDescent="0.25">
      <c r="A251" s="2" t="s">
        <v>857</v>
      </c>
      <c r="B251" s="67" t="s">
        <v>454</v>
      </c>
      <c r="D251" s="2" t="s">
        <v>858</v>
      </c>
    </row>
    <row r="252" spans="1:17" x14ac:dyDescent="0.25">
      <c r="A252" s="2" t="s">
        <v>859</v>
      </c>
      <c r="B252" s="67" t="s">
        <v>344</v>
      </c>
      <c r="D252" s="2" t="s">
        <v>860</v>
      </c>
    </row>
    <row r="253" spans="1:17" x14ac:dyDescent="0.25">
      <c r="A253" s="2" t="s">
        <v>861</v>
      </c>
      <c r="B253" s="67" t="s">
        <v>862</v>
      </c>
      <c r="D253" s="2" t="s">
        <v>860</v>
      </c>
    </row>
    <row r="254" spans="1:17" ht="16.2" x14ac:dyDescent="0.25">
      <c r="A254" s="92" t="s">
        <v>863</v>
      </c>
      <c r="B254" s="67" t="s">
        <v>454</v>
      </c>
      <c r="D254" s="2" t="s">
        <v>864</v>
      </c>
      <c r="L254" s="165"/>
      <c r="M254" s="165"/>
      <c r="N254" s="165"/>
      <c r="O254" s="165"/>
      <c r="P254" s="165"/>
      <c r="Q254" s="165"/>
    </row>
    <row r="255" spans="1:17" ht="16.2" x14ac:dyDescent="0.25">
      <c r="A255" s="92" t="s">
        <v>865</v>
      </c>
      <c r="B255" s="207">
        <v>2000</v>
      </c>
      <c r="D255" s="2" t="s">
        <v>866</v>
      </c>
      <c r="L255" s="165"/>
      <c r="M255" s="165"/>
      <c r="N255" s="165"/>
      <c r="O255" s="165"/>
      <c r="P255" s="165"/>
      <c r="Q255" s="165"/>
    </row>
    <row r="256" spans="1:17" ht="16.2" x14ac:dyDescent="0.25">
      <c r="A256" s="92" t="s">
        <v>867</v>
      </c>
      <c r="B256" s="207">
        <f>B255*9</f>
        <v>18000</v>
      </c>
      <c r="D256" s="2" t="s">
        <v>866</v>
      </c>
      <c r="G256" s="2" t="s">
        <v>868</v>
      </c>
      <c r="L256" s="165"/>
      <c r="M256" s="165"/>
      <c r="N256" s="165"/>
      <c r="O256" s="165"/>
      <c r="P256" s="165"/>
      <c r="Q256" s="165"/>
    </row>
    <row r="257" spans="1:24" x14ac:dyDescent="0.25">
      <c r="A257" s="2" t="s">
        <v>869</v>
      </c>
      <c r="B257" s="67" t="s">
        <v>870</v>
      </c>
      <c r="D257" s="2" t="s">
        <v>871</v>
      </c>
      <c r="L257" s="67"/>
    </row>
    <row r="258" spans="1:24" x14ac:dyDescent="0.25">
      <c r="A258" s="2" t="s">
        <v>872</v>
      </c>
      <c r="B258" s="67" t="s">
        <v>873</v>
      </c>
      <c r="C258" s="14" t="s">
        <v>426</v>
      </c>
      <c r="D258" s="2" t="s">
        <v>874</v>
      </c>
    </row>
    <row r="259" spans="1:24" x14ac:dyDescent="0.25">
      <c r="A259" s="2" t="s">
        <v>875</v>
      </c>
      <c r="B259" s="121">
        <f>8*60*60*6*7</f>
        <v>1209600</v>
      </c>
      <c r="D259" s="2" t="s">
        <v>876</v>
      </c>
    </row>
    <row r="260" spans="1:24" x14ac:dyDescent="0.25">
      <c r="A260" s="2" t="s">
        <v>877</v>
      </c>
      <c r="B260" s="67" t="s">
        <v>454</v>
      </c>
      <c r="D260" s="2" t="s">
        <v>878</v>
      </c>
    </row>
    <row r="261" spans="1:24" x14ac:dyDescent="0.25">
      <c r="A261" s="2" t="s">
        <v>879</v>
      </c>
      <c r="B261" s="121">
        <f>5%*1000</f>
        <v>50</v>
      </c>
      <c r="D261" s="2" t="s">
        <v>880</v>
      </c>
    </row>
    <row r="262" spans="1:24" x14ac:dyDescent="0.25">
      <c r="A262" s="2" t="s">
        <v>881</v>
      </c>
      <c r="B262" s="67" t="s">
        <v>882</v>
      </c>
      <c r="D262" s="2" t="s">
        <v>883</v>
      </c>
    </row>
    <row r="263" spans="1:24" x14ac:dyDescent="0.25">
      <c r="A263" s="2" t="s">
        <v>884</v>
      </c>
      <c r="B263" s="67" t="s">
        <v>885</v>
      </c>
      <c r="D263" s="2" t="s">
        <v>886</v>
      </c>
    </row>
    <row r="264" spans="1:24" x14ac:dyDescent="0.25">
      <c r="A264" s="2" t="s">
        <v>887</v>
      </c>
      <c r="B264" s="67" t="s">
        <v>888</v>
      </c>
      <c r="D264" s="2" t="s">
        <v>889</v>
      </c>
    </row>
    <row r="265" spans="1:24" x14ac:dyDescent="0.25">
      <c r="A265" s="2" t="s">
        <v>890</v>
      </c>
      <c r="B265" s="67" t="s">
        <v>592</v>
      </c>
      <c r="C265" s="14" t="s">
        <v>426</v>
      </c>
      <c r="D265" s="2" t="s">
        <v>891</v>
      </c>
    </row>
    <row r="266" spans="1:24" x14ac:dyDescent="0.25">
      <c r="A266" s="2" t="s">
        <v>892</v>
      </c>
      <c r="B266" s="121">
        <f>50%*10000</f>
        <v>5000</v>
      </c>
      <c r="C266" s="14" t="s">
        <v>426</v>
      </c>
      <c r="D266" s="2" t="s">
        <v>893</v>
      </c>
    </row>
    <row r="267" spans="1:24" x14ac:dyDescent="0.25">
      <c r="A267" s="2" t="s">
        <v>894</v>
      </c>
      <c r="B267" s="121">
        <f>2%*10000</f>
        <v>200</v>
      </c>
      <c r="C267" s="14" t="s">
        <v>426</v>
      </c>
      <c r="D267" s="2" t="s">
        <v>895</v>
      </c>
      <c r="K267" s="157"/>
      <c r="L267" s="158"/>
      <c r="M267" s="158"/>
      <c r="N267" s="158"/>
      <c r="O267" s="158"/>
      <c r="P267" s="158"/>
      <c r="Q267" s="158"/>
      <c r="R267" s="158"/>
      <c r="S267" s="158" t="s">
        <v>896</v>
      </c>
      <c r="T267" s="224">
        <v>25000000</v>
      </c>
      <c r="U267" s="224"/>
      <c r="V267" s="158"/>
      <c r="W267" s="158"/>
      <c r="X267" s="159"/>
    </row>
    <row r="268" spans="1:24" ht="16.2" x14ac:dyDescent="0.25">
      <c r="A268" s="2" t="s">
        <v>897</v>
      </c>
      <c r="B268" s="121">
        <f>648*10*100000</f>
        <v>648000000</v>
      </c>
      <c r="D268" s="2" t="s">
        <v>898</v>
      </c>
      <c r="K268" s="160"/>
      <c r="L268" s="59"/>
      <c r="M268" s="59"/>
      <c r="N268" s="59"/>
      <c r="O268" s="59"/>
      <c r="P268" s="59"/>
      <c r="Q268" s="59"/>
      <c r="R268" s="59"/>
      <c r="S268" s="225" t="s">
        <v>899</v>
      </c>
      <c r="T268" s="226">
        <f>'道具|Item'!E38</f>
        <v>100000</v>
      </c>
      <c r="U268" s="227" t="s">
        <v>900</v>
      </c>
      <c r="V268" s="59"/>
      <c r="W268" s="59"/>
      <c r="X268" s="161"/>
    </row>
    <row r="269" spans="1:24" x14ac:dyDescent="0.25">
      <c r="A269" s="2" t="s">
        <v>901</v>
      </c>
      <c r="B269" s="121">
        <f>T267</f>
        <v>25000000</v>
      </c>
      <c r="D269" s="2" t="s">
        <v>896</v>
      </c>
      <c r="E269" s="209"/>
      <c r="F269" s="210"/>
      <c r="G269" s="210"/>
      <c r="H269" s="1"/>
      <c r="K269" s="160"/>
      <c r="L269" s="59" t="s">
        <v>902</v>
      </c>
      <c r="M269" s="59"/>
      <c r="N269" s="59"/>
      <c r="O269" s="59"/>
      <c r="P269" s="59"/>
      <c r="Q269" s="59"/>
      <c r="R269" s="59"/>
      <c r="S269" s="59" t="s">
        <v>903</v>
      </c>
      <c r="T269" s="59">
        <f>'道具|Item'!V38</f>
        <v>10</v>
      </c>
      <c r="U269" s="59"/>
      <c r="V269" s="59"/>
      <c r="W269" s="225" t="s">
        <v>904</v>
      </c>
      <c r="X269" s="161"/>
    </row>
    <row r="270" spans="1:24" ht="16.2" x14ac:dyDescent="0.25">
      <c r="A270" s="2" t="s">
        <v>905</v>
      </c>
      <c r="B270" s="67" t="s">
        <v>906</v>
      </c>
      <c r="D270" s="2" t="s">
        <v>907</v>
      </c>
      <c r="K270" s="160"/>
      <c r="L270" s="218" t="s">
        <v>908</v>
      </c>
      <c r="M270" s="218"/>
      <c r="N270" s="218"/>
      <c r="O270" s="218" t="s">
        <v>909</v>
      </c>
      <c r="P270" s="218"/>
      <c r="Q270" s="218"/>
      <c r="R270" s="59"/>
      <c r="S270" s="59"/>
      <c r="T270" s="228" t="s">
        <v>910</v>
      </c>
      <c r="U270" s="228" t="s">
        <v>911</v>
      </c>
      <c r="V270" s="59" t="s">
        <v>140</v>
      </c>
      <c r="W270" s="226" t="s">
        <v>912</v>
      </c>
      <c r="X270" s="229" t="s">
        <v>913</v>
      </c>
    </row>
    <row r="271" spans="1:24" ht="16.2" x14ac:dyDescent="0.35">
      <c r="A271" s="2" t="s">
        <v>914</v>
      </c>
      <c r="B271" s="31" t="str">
        <f>"[["&amp;L272&amp;","&amp;M272&amp;"]]"</f>
        <v>[[57500,67500]]</v>
      </c>
      <c r="D271" s="2" t="s">
        <v>915</v>
      </c>
      <c r="K271" s="219" t="s">
        <v>916</v>
      </c>
      <c r="L271" s="220" t="s">
        <v>917</v>
      </c>
      <c r="M271" s="220" t="s">
        <v>918</v>
      </c>
      <c r="N271" s="220" t="s">
        <v>919</v>
      </c>
      <c r="O271" s="221" t="s">
        <v>917</v>
      </c>
      <c r="P271" s="221" t="s">
        <v>918</v>
      </c>
      <c r="Q271" s="221" t="s">
        <v>919</v>
      </c>
      <c r="R271" s="59"/>
      <c r="S271" s="228" t="s">
        <v>908</v>
      </c>
      <c r="T271" s="59">
        <f>$T$267/N272</f>
        <v>400</v>
      </c>
      <c r="U271" s="59">
        <f>T271*T269</f>
        <v>4000</v>
      </c>
      <c r="V271" s="59">
        <f>T271*$T$268</f>
        <v>40000000</v>
      </c>
      <c r="W271" s="393">
        <v>5000000</v>
      </c>
      <c r="X271" s="230">
        <f>W271/V271</f>
        <v>0.125</v>
      </c>
    </row>
    <row r="272" spans="1:24" ht="16.2" x14ac:dyDescent="0.35">
      <c r="A272" s="2" t="s">
        <v>920</v>
      </c>
      <c r="B272" s="31" t="str">
        <f>"[["&amp;O272&amp;","&amp;P272&amp;"]]"</f>
        <v>[[575000,675000]]</v>
      </c>
      <c r="D272" s="2" t="s">
        <v>921</v>
      </c>
      <c r="K272" s="162">
        <v>1</v>
      </c>
      <c r="L272" s="222">
        <v>57500</v>
      </c>
      <c r="M272" s="222">
        <v>67500</v>
      </c>
      <c r="N272" s="222">
        <f>AVERAGE(L272:M272)</f>
        <v>62500</v>
      </c>
      <c r="O272" s="222">
        <f>L272*10</f>
        <v>575000</v>
      </c>
      <c r="P272" s="222">
        <f>M272*10</f>
        <v>675000</v>
      </c>
      <c r="Q272" s="222">
        <f>AVERAGE(O272:P272)</f>
        <v>625000</v>
      </c>
      <c r="R272" s="163"/>
      <c r="S272" s="231" t="s">
        <v>909</v>
      </c>
      <c r="T272" s="163">
        <f>$T$267/Q272</f>
        <v>40</v>
      </c>
      <c r="U272" s="163">
        <f>T272*T269*10*0.9</f>
        <v>3600</v>
      </c>
      <c r="V272" s="163">
        <f>T272*$T$268*10*0.9</f>
        <v>36000000</v>
      </c>
      <c r="W272" s="394"/>
      <c r="X272" s="232">
        <f>W271/V272</f>
        <v>0.1388888888888889</v>
      </c>
    </row>
    <row r="273" spans="1:17" x14ac:dyDescent="0.25">
      <c r="A273" s="2" t="s">
        <v>922</v>
      </c>
      <c r="B273" s="67" t="s">
        <v>923</v>
      </c>
      <c r="D273" s="2" t="s">
        <v>924</v>
      </c>
      <c r="L273" s="165"/>
      <c r="M273" s="165"/>
      <c r="N273" s="165"/>
      <c r="O273" s="165"/>
      <c r="P273" s="165"/>
      <c r="Q273" s="165"/>
    </row>
    <row r="274" spans="1:17" x14ac:dyDescent="0.25">
      <c r="A274" s="2" t="s">
        <v>925</v>
      </c>
      <c r="B274" s="67" t="s">
        <v>592</v>
      </c>
      <c r="D274" s="2" t="s">
        <v>926</v>
      </c>
      <c r="L274" s="165"/>
      <c r="M274" s="165"/>
      <c r="N274" s="165"/>
      <c r="O274" s="165"/>
      <c r="P274" s="165"/>
      <c r="Q274" s="165"/>
    </row>
    <row r="275" spans="1:17" x14ac:dyDescent="0.25">
      <c r="A275" s="2" t="s">
        <v>927</v>
      </c>
      <c r="B275" s="67" t="s">
        <v>928</v>
      </c>
      <c r="D275" s="2" t="s">
        <v>929</v>
      </c>
      <c r="L275" s="165"/>
      <c r="M275" s="165"/>
      <c r="N275" s="165"/>
      <c r="O275" s="165"/>
      <c r="P275" s="165"/>
      <c r="Q275" s="165"/>
    </row>
    <row r="276" spans="1:17" x14ac:dyDescent="0.25">
      <c r="A276" s="2" t="s">
        <v>930</v>
      </c>
      <c r="B276" s="67" t="s">
        <v>364</v>
      </c>
      <c r="C276" s="165" t="s">
        <v>931</v>
      </c>
      <c r="D276" s="2" t="s">
        <v>932</v>
      </c>
      <c r="L276" s="165"/>
      <c r="M276" s="165"/>
      <c r="N276" s="165"/>
      <c r="O276" s="165"/>
      <c r="P276" s="165"/>
      <c r="Q276" s="165"/>
    </row>
    <row r="277" spans="1:17" x14ac:dyDescent="0.25">
      <c r="A277" s="2" t="s">
        <v>933</v>
      </c>
      <c r="B277" s="67" t="s">
        <v>934</v>
      </c>
      <c r="C277" s="165" t="s">
        <v>935</v>
      </c>
      <c r="L277" s="165"/>
      <c r="M277" s="165"/>
      <c r="N277" s="165"/>
      <c r="O277" s="165"/>
      <c r="P277" s="165"/>
      <c r="Q277" s="165"/>
    </row>
    <row r="278" spans="1:17" ht="16.2" x14ac:dyDescent="0.25">
      <c r="A278" s="2" t="s">
        <v>936</v>
      </c>
      <c r="B278" s="202" t="s">
        <v>623</v>
      </c>
      <c r="D278" s="2" t="s">
        <v>937</v>
      </c>
      <c r="L278" s="165"/>
      <c r="M278" s="165"/>
      <c r="N278" s="165"/>
      <c r="O278" s="165"/>
      <c r="P278" s="165"/>
      <c r="Q278" s="165"/>
    </row>
    <row r="279" spans="1:17" x14ac:dyDescent="0.25">
      <c r="A279" s="2" t="s">
        <v>938</v>
      </c>
      <c r="B279" s="121">
        <v>60</v>
      </c>
      <c r="D279" s="2" t="s">
        <v>939</v>
      </c>
      <c r="L279" s="165"/>
      <c r="M279" s="165"/>
      <c r="N279" s="165"/>
      <c r="O279" s="165"/>
      <c r="P279" s="165"/>
      <c r="Q279" s="165"/>
    </row>
    <row r="280" spans="1:17" ht="16.2" x14ac:dyDescent="0.25">
      <c r="A280" s="80" t="s">
        <v>940</v>
      </c>
      <c r="B280" s="207" t="s">
        <v>941</v>
      </c>
      <c r="D280" s="2" t="s">
        <v>942</v>
      </c>
      <c r="L280" s="165"/>
      <c r="M280" s="165"/>
      <c r="N280" s="165"/>
      <c r="O280" s="165"/>
      <c r="P280" s="165"/>
      <c r="Q280" s="165"/>
    </row>
    <row r="281" spans="1:17" x14ac:dyDescent="0.25">
      <c r="A281" s="2" t="s">
        <v>943</v>
      </c>
      <c r="B281" s="67" t="s">
        <v>517</v>
      </c>
      <c r="D281" s="2" t="s">
        <v>944</v>
      </c>
      <c r="L281" s="165"/>
      <c r="M281" s="165"/>
      <c r="N281" s="165"/>
      <c r="O281" s="165"/>
      <c r="P281" s="165"/>
      <c r="Q281" s="165"/>
    </row>
    <row r="282" spans="1:17" ht="16.2" x14ac:dyDescent="0.25">
      <c r="A282" s="80" t="s">
        <v>945</v>
      </c>
      <c r="B282" s="166" t="s">
        <v>946</v>
      </c>
      <c r="D282" s="2" t="s">
        <v>947</v>
      </c>
      <c r="L282" s="165"/>
      <c r="M282" s="165"/>
      <c r="N282" s="165"/>
      <c r="O282" s="165"/>
      <c r="P282" s="165"/>
      <c r="Q282" s="165"/>
    </row>
    <row r="283" spans="1:17" x14ac:dyDescent="0.25">
      <c r="A283" s="2" t="s">
        <v>948</v>
      </c>
      <c r="B283" s="67" t="s">
        <v>499</v>
      </c>
      <c r="D283" s="2" t="s">
        <v>949</v>
      </c>
      <c r="L283" s="165"/>
      <c r="M283" s="165"/>
      <c r="N283" s="165"/>
      <c r="O283" s="165"/>
      <c r="P283" s="165"/>
      <c r="Q283" s="165"/>
    </row>
    <row r="284" spans="1:17" x14ac:dyDescent="0.25">
      <c r="A284" s="2" t="s">
        <v>950</v>
      </c>
      <c r="B284" s="67" t="s">
        <v>855</v>
      </c>
      <c r="D284" s="2" t="s">
        <v>951</v>
      </c>
    </row>
    <row r="285" spans="1:17" x14ac:dyDescent="0.25">
      <c r="A285" s="2" t="s">
        <v>952</v>
      </c>
      <c r="B285" s="211" t="str">
        <f>"["&amp;J285&amp;","&amp;J286&amp;","&amp;J287&amp;","&amp;J288&amp;","&amp;J289&amp;","&amp;J290&amp;","&amp;J291&amp;","&amp;J292&amp;","&amp;J293&amp;","&amp;J294&amp;","&amp;J295&amp;","&amp;J296&amp;","&amp;J297&amp;","&amp;J298&amp;","&amp;J299&amp;","&amp;J300&amp;","&amp;J301&amp;","&amp;J302&amp;","&amp;J303&amp;","&amp;J304&amp;"]"</f>
        <v>[50,30,50,30,50,30,10,30,50,30,50,0,10,60,10,0,70,10,0,80]</v>
      </c>
      <c r="D285" s="2" t="s">
        <v>953</v>
      </c>
      <c r="I285" s="2">
        <v>1</v>
      </c>
      <c r="J285" s="223">
        <v>50</v>
      </c>
      <c r="K285" s="2">
        <v>1</v>
      </c>
    </row>
    <row r="286" spans="1:17" x14ac:dyDescent="0.25">
      <c r="A286" s="2" t="s">
        <v>954</v>
      </c>
      <c r="B286" s="211" t="str">
        <f>"["&amp;K285&amp;","&amp;K286&amp;","&amp;K287&amp;","&amp;K288&amp;","&amp;K289&amp;","&amp;K290&amp;","&amp;K291&amp;","&amp;K292&amp;","&amp;K293&amp;","&amp;K294&amp;","&amp;K295&amp;","&amp;K296&amp;","&amp;K297&amp;","&amp;K298&amp;","&amp;K299&amp;","&amp;K300&amp;","&amp;K301&amp;","&amp;K302&amp;","&amp;K303&amp;","&amp;K304&amp;"]"</f>
        <v>[1,0,1,0,1,0,1,0,1,0,1,0,1,0,1,0,0,1,0,0]</v>
      </c>
      <c r="D286" s="2" t="s">
        <v>955</v>
      </c>
      <c r="I286" s="2">
        <v>2</v>
      </c>
      <c r="J286" s="223">
        <v>30</v>
      </c>
      <c r="K286" s="2">
        <v>0</v>
      </c>
    </row>
    <row r="287" spans="1:17" x14ac:dyDescent="0.25">
      <c r="A287" s="2" t="s">
        <v>956</v>
      </c>
      <c r="B287" s="67" t="s">
        <v>957</v>
      </c>
      <c r="D287" s="2" t="s">
        <v>958</v>
      </c>
      <c r="I287" s="2">
        <v>3</v>
      </c>
      <c r="J287" s="2">
        <v>50</v>
      </c>
      <c r="K287" s="2">
        <v>1</v>
      </c>
    </row>
    <row r="288" spans="1:17" ht="16.2" x14ac:dyDescent="0.25">
      <c r="A288" s="2" t="s">
        <v>959</v>
      </c>
      <c r="B288" s="202">
        <v>1250</v>
      </c>
      <c r="D288" s="2" t="s">
        <v>960</v>
      </c>
      <c r="G288" s="2">
        <v>1250</v>
      </c>
      <c r="I288" s="2">
        <v>4</v>
      </c>
      <c r="J288" s="2">
        <v>30</v>
      </c>
      <c r="K288" s="2">
        <v>0</v>
      </c>
    </row>
    <row r="289" spans="1:11" x14ac:dyDescent="0.35">
      <c r="A289" s="24" t="s">
        <v>961</v>
      </c>
      <c r="B289" s="212" t="s">
        <v>962</v>
      </c>
      <c r="D289" s="24" t="s">
        <v>963</v>
      </c>
      <c r="E289" s="24"/>
      <c r="I289" s="2">
        <v>5</v>
      </c>
      <c r="J289" s="2">
        <v>50</v>
      </c>
      <c r="K289" s="2">
        <v>1</v>
      </c>
    </row>
    <row r="290" spans="1:11" x14ac:dyDescent="0.35">
      <c r="A290" s="24" t="s">
        <v>964</v>
      </c>
      <c r="B290" s="213" t="str">
        <f>ROUND(B289*0.95,0)&amp;","&amp;ROUND(B289*1.05,0)</f>
        <v>147250000,162750000</v>
      </c>
      <c r="D290" s="24" t="s">
        <v>965</v>
      </c>
      <c r="E290" s="24"/>
      <c r="I290" s="2">
        <v>6</v>
      </c>
      <c r="J290" s="2">
        <v>30</v>
      </c>
      <c r="K290" s="2">
        <v>0</v>
      </c>
    </row>
    <row r="291" spans="1:11" x14ac:dyDescent="0.35">
      <c r="A291" s="24" t="s">
        <v>966</v>
      </c>
      <c r="B291" s="213" t="str">
        <f>1&amp;","&amp;ROUND(B289*(1/0.72/100000),0)</f>
        <v>1,2153</v>
      </c>
      <c r="D291" s="24" t="s">
        <v>967</v>
      </c>
      <c r="E291" s="24"/>
      <c r="I291" s="2">
        <v>7</v>
      </c>
      <c r="J291" s="223">
        <v>10</v>
      </c>
      <c r="K291" s="2">
        <v>1</v>
      </c>
    </row>
    <row r="292" spans="1:11" x14ac:dyDescent="0.35">
      <c r="A292" s="24" t="s">
        <v>968</v>
      </c>
      <c r="B292" s="214" t="s">
        <v>344</v>
      </c>
      <c r="D292" s="24" t="s">
        <v>969</v>
      </c>
      <c r="E292" s="24"/>
      <c r="I292" s="2">
        <v>8</v>
      </c>
      <c r="J292" s="223">
        <v>30</v>
      </c>
      <c r="K292" s="2">
        <v>0</v>
      </c>
    </row>
    <row r="293" spans="1:11" x14ac:dyDescent="0.35">
      <c r="A293" s="24" t="s">
        <v>970</v>
      </c>
      <c r="B293" s="212" t="s">
        <v>971</v>
      </c>
      <c r="D293" s="24"/>
      <c r="E293" s="24"/>
      <c r="I293" s="2">
        <v>9</v>
      </c>
      <c r="J293" s="223">
        <v>50</v>
      </c>
      <c r="K293" s="2">
        <v>1</v>
      </c>
    </row>
    <row r="294" spans="1:11" x14ac:dyDescent="0.35">
      <c r="A294" s="24" t="s">
        <v>972</v>
      </c>
      <c r="B294" s="214" t="s">
        <v>517</v>
      </c>
      <c r="D294" s="24" t="s">
        <v>973</v>
      </c>
      <c r="E294" s="24"/>
      <c r="I294" s="2">
        <v>10</v>
      </c>
      <c r="J294" s="223">
        <v>30</v>
      </c>
      <c r="K294" s="2">
        <v>0</v>
      </c>
    </row>
    <row r="295" spans="1:11" x14ac:dyDescent="0.35">
      <c r="A295" s="24" t="s">
        <v>974</v>
      </c>
      <c r="B295" s="212" t="s">
        <v>975</v>
      </c>
      <c r="D295" s="24"/>
      <c r="E295" s="24"/>
      <c r="I295" s="2">
        <v>11</v>
      </c>
      <c r="J295" s="223">
        <v>50</v>
      </c>
      <c r="K295" s="2">
        <v>1</v>
      </c>
    </row>
    <row r="296" spans="1:11" x14ac:dyDescent="0.35">
      <c r="A296" s="24" t="s">
        <v>976</v>
      </c>
      <c r="B296" s="214" t="s">
        <v>517</v>
      </c>
      <c r="D296" s="24" t="s">
        <v>977</v>
      </c>
      <c r="E296" s="24"/>
      <c r="I296" s="2">
        <v>12</v>
      </c>
      <c r="J296" s="2">
        <v>0</v>
      </c>
      <c r="K296" s="2">
        <v>0</v>
      </c>
    </row>
    <row r="297" spans="1:11" x14ac:dyDescent="0.35">
      <c r="A297" s="24" t="s">
        <v>978</v>
      </c>
      <c r="B297" s="212" t="s">
        <v>979</v>
      </c>
      <c r="C297" s="24"/>
      <c r="D297" s="24"/>
      <c r="E297" s="24"/>
      <c r="I297" s="2">
        <v>13</v>
      </c>
      <c r="J297" s="2">
        <v>10</v>
      </c>
      <c r="K297" s="2">
        <v>1</v>
      </c>
    </row>
    <row r="298" spans="1:11" x14ac:dyDescent="0.25">
      <c r="A298" s="2" t="s">
        <v>980</v>
      </c>
      <c r="B298" s="67" t="s">
        <v>602</v>
      </c>
      <c r="D298" s="2" t="s">
        <v>981</v>
      </c>
      <c r="I298" s="2">
        <v>14</v>
      </c>
      <c r="J298" s="2">
        <v>60</v>
      </c>
      <c r="K298" s="2">
        <v>0</v>
      </c>
    </row>
    <row r="299" spans="1:11" x14ac:dyDescent="0.25">
      <c r="A299" s="2" t="s">
        <v>982</v>
      </c>
      <c r="B299" s="67" t="s">
        <v>983</v>
      </c>
      <c r="D299" s="2" t="s">
        <v>984</v>
      </c>
      <c r="I299" s="2">
        <v>15</v>
      </c>
      <c r="J299" s="2">
        <v>10</v>
      </c>
      <c r="K299" s="2">
        <v>1</v>
      </c>
    </row>
    <row r="300" spans="1:11" x14ac:dyDescent="0.25">
      <c r="A300" s="2" t="s">
        <v>985</v>
      </c>
      <c r="B300" s="121">
        <v>7200000</v>
      </c>
      <c r="D300" s="2" t="s">
        <v>986</v>
      </c>
      <c r="I300" s="2">
        <v>16</v>
      </c>
      <c r="J300" s="2">
        <v>0</v>
      </c>
      <c r="K300" s="2">
        <v>0</v>
      </c>
    </row>
    <row r="301" spans="1:11" x14ac:dyDescent="0.25">
      <c r="A301" s="2" t="s">
        <v>987</v>
      </c>
      <c r="B301" s="67" t="s">
        <v>988</v>
      </c>
      <c r="C301" s="14"/>
      <c r="D301" s="14" t="s">
        <v>989</v>
      </c>
      <c r="I301" s="2">
        <v>17</v>
      </c>
      <c r="J301" s="2">
        <v>70</v>
      </c>
      <c r="K301" s="2">
        <v>0</v>
      </c>
    </row>
    <row r="302" spans="1:11" x14ac:dyDescent="0.25">
      <c r="A302" s="2" t="s">
        <v>990</v>
      </c>
      <c r="B302" s="67" t="s">
        <v>517</v>
      </c>
      <c r="D302" s="2" t="s">
        <v>991</v>
      </c>
      <c r="I302" s="2">
        <v>18</v>
      </c>
      <c r="J302" s="2">
        <v>10</v>
      </c>
      <c r="K302" s="2">
        <v>1</v>
      </c>
    </row>
    <row r="303" spans="1:11" x14ac:dyDescent="0.25">
      <c r="A303" s="2" t="s">
        <v>992</v>
      </c>
      <c r="B303" s="67" t="s">
        <v>473</v>
      </c>
      <c r="D303" s="2" t="s">
        <v>993</v>
      </c>
      <c r="I303" s="2">
        <v>19</v>
      </c>
      <c r="J303" s="2">
        <v>0</v>
      </c>
      <c r="K303" s="2">
        <v>0</v>
      </c>
    </row>
    <row r="304" spans="1:11" x14ac:dyDescent="0.25">
      <c r="A304" s="2" t="s">
        <v>994</v>
      </c>
      <c r="B304" s="215" t="s">
        <v>995</v>
      </c>
      <c r="C304" s="216" t="s">
        <v>996</v>
      </c>
      <c r="D304" s="21" t="s">
        <v>997</v>
      </c>
      <c r="I304" s="2">
        <v>20</v>
      </c>
      <c r="J304" s="2">
        <v>80</v>
      </c>
      <c r="K304" s="2">
        <v>0</v>
      </c>
    </row>
    <row r="305" spans="1:33" x14ac:dyDescent="0.25">
      <c r="A305" s="2" t="s">
        <v>998</v>
      </c>
      <c r="B305" s="215" t="s">
        <v>999</v>
      </c>
      <c r="D305" s="2" t="s">
        <v>1000</v>
      </c>
      <c r="J305" s="2">
        <f>SUM(J285:J304)</f>
        <v>650</v>
      </c>
      <c r="K305" s="2">
        <v>500</v>
      </c>
    </row>
    <row r="306" spans="1:33" x14ac:dyDescent="0.25">
      <c r="A306" s="2" t="s">
        <v>1001</v>
      </c>
      <c r="B306" s="217" t="s">
        <v>1002</v>
      </c>
      <c r="D306" s="2" t="s">
        <v>1003</v>
      </c>
    </row>
    <row r="307" spans="1:33" x14ac:dyDescent="0.25">
      <c r="A307" s="2" t="s">
        <v>1004</v>
      </c>
      <c r="B307" s="67" t="s">
        <v>1005</v>
      </c>
      <c r="D307" s="21" t="s">
        <v>1006</v>
      </c>
    </row>
    <row r="308" spans="1:33" x14ac:dyDescent="0.25">
      <c r="A308" s="2" t="s">
        <v>1007</v>
      </c>
      <c r="B308" s="67" t="s">
        <v>256</v>
      </c>
      <c r="D308" s="2" t="s">
        <v>1008</v>
      </c>
    </row>
    <row r="309" spans="1:33" x14ac:dyDescent="0.25">
      <c r="A309" s="2" t="s">
        <v>1009</v>
      </c>
      <c r="B309" s="67" t="s">
        <v>1010</v>
      </c>
      <c r="C309" s="14" t="s">
        <v>426</v>
      </c>
      <c r="D309" s="2" t="s">
        <v>1011</v>
      </c>
      <c r="E309" s="2" t="s">
        <v>1012</v>
      </c>
    </row>
    <row r="310" spans="1:33" x14ac:dyDescent="0.25">
      <c r="A310" s="2" t="s">
        <v>1013</v>
      </c>
      <c r="B310" s="67" t="s">
        <v>1014</v>
      </c>
      <c r="C310" s="14" t="s">
        <v>426</v>
      </c>
      <c r="D310" s="2" t="s">
        <v>1015</v>
      </c>
    </row>
    <row r="311" spans="1:33" x14ac:dyDescent="0.25">
      <c r="A311" s="2" t="s">
        <v>1016</v>
      </c>
      <c r="B311" s="67" t="s">
        <v>1017</v>
      </c>
      <c r="C311" s="14" t="s">
        <v>426</v>
      </c>
      <c r="D311" s="2" t="s">
        <v>1018</v>
      </c>
    </row>
    <row r="312" spans="1:33" x14ac:dyDescent="0.25">
      <c r="A312" s="2" t="s">
        <v>1019</v>
      </c>
      <c r="B312" s="67" t="s">
        <v>1020</v>
      </c>
      <c r="C312" s="14" t="s">
        <v>426</v>
      </c>
      <c r="D312" s="2" t="s">
        <v>1021</v>
      </c>
    </row>
    <row r="313" spans="1:33" x14ac:dyDescent="0.25">
      <c r="A313" s="2" t="s">
        <v>1022</v>
      </c>
      <c r="B313" s="67" t="s">
        <v>1023</v>
      </c>
      <c r="C313" s="14" t="s">
        <v>426</v>
      </c>
      <c r="D313" s="2" t="s">
        <v>1024</v>
      </c>
    </row>
    <row r="314" spans="1:33" x14ac:dyDescent="0.25">
      <c r="A314" s="2" t="s">
        <v>1025</v>
      </c>
      <c r="B314" s="67" t="s">
        <v>1026</v>
      </c>
      <c r="C314" s="14" t="s">
        <v>426</v>
      </c>
      <c r="D314" s="2" t="s">
        <v>1027</v>
      </c>
    </row>
    <row r="315" spans="1:33" x14ac:dyDescent="0.25">
      <c r="A315" s="2" t="s">
        <v>1028</v>
      </c>
      <c r="B315" s="67" t="s">
        <v>1029</v>
      </c>
      <c r="C315" s="14" t="s">
        <v>426</v>
      </c>
      <c r="D315" s="2" t="s">
        <v>1030</v>
      </c>
    </row>
    <row r="316" spans="1:33" x14ac:dyDescent="0.25">
      <c r="A316" s="2" t="s">
        <v>1031</v>
      </c>
      <c r="B316" s="67" t="s">
        <v>1032</v>
      </c>
      <c r="C316" s="14" t="s">
        <v>426</v>
      </c>
      <c r="D316" s="2" t="s">
        <v>1033</v>
      </c>
      <c r="E316" s="2" t="s">
        <v>1034</v>
      </c>
    </row>
    <row r="317" spans="1:33" x14ac:dyDescent="0.25">
      <c r="A317" s="2" t="s">
        <v>1035</v>
      </c>
      <c r="B317" s="67" t="s">
        <v>1036</v>
      </c>
      <c r="C317" s="14" t="s">
        <v>426</v>
      </c>
      <c r="D317" s="2" t="s">
        <v>1037</v>
      </c>
      <c r="E317" s="2" t="s">
        <v>1038</v>
      </c>
    </row>
    <row r="318" spans="1:33" x14ac:dyDescent="0.25">
      <c r="A318" s="2" t="s">
        <v>1039</v>
      </c>
      <c r="B318" s="67" t="s">
        <v>1040</v>
      </c>
      <c r="C318" s="14" t="s">
        <v>426</v>
      </c>
      <c r="D318" s="2" t="s">
        <v>1041</v>
      </c>
    </row>
    <row r="319" spans="1:33" x14ac:dyDescent="0.25">
      <c r="A319" s="2" t="s">
        <v>1042</v>
      </c>
      <c r="B319" s="67" t="s">
        <v>1043</v>
      </c>
      <c r="C319" s="14" t="s">
        <v>426</v>
      </c>
      <c r="D319" s="2" t="s">
        <v>1044</v>
      </c>
    </row>
    <row r="320" spans="1:33" ht="15.6" customHeight="1" x14ac:dyDescent="0.25">
      <c r="A320" s="2" t="s">
        <v>1045</v>
      </c>
      <c r="B320" s="67" t="s">
        <v>1040</v>
      </c>
      <c r="C320" s="14" t="s">
        <v>426</v>
      </c>
      <c r="D320" s="2" t="s">
        <v>1046</v>
      </c>
      <c r="H320" s="157"/>
      <c r="I320" s="391" t="s">
        <v>1047</v>
      </c>
      <c r="J320" s="158"/>
      <c r="K320" s="158"/>
      <c r="L320" s="158"/>
      <c r="M320" s="158" t="s">
        <v>1048</v>
      </c>
      <c r="N320" s="158"/>
      <c r="O320" s="158"/>
      <c r="P320" s="158"/>
      <c r="Q320" s="158"/>
      <c r="R320" s="158"/>
      <c r="S320" s="158"/>
      <c r="T320" s="158"/>
      <c r="U320" s="158"/>
      <c r="V320" s="158"/>
      <c r="W320" s="158"/>
      <c r="X320" s="158"/>
      <c r="Y320" s="158"/>
      <c r="Z320" s="158"/>
      <c r="AA320" s="158"/>
      <c r="AB320" s="158"/>
      <c r="AC320" s="158"/>
      <c r="AD320" s="158"/>
      <c r="AE320" s="159"/>
      <c r="AF320" s="395" t="s">
        <v>1049</v>
      </c>
      <c r="AG320" s="397" t="s">
        <v>1050</v>
      </c>
    </row>
    <row r="321" spans="1:34" x14ac:dyDescent="0.25">
      <c r="A321" s="2" t="s">
        <v>1051</v>
      </c>
      <c r="B321" s="67" t="s">
        <v>1052</v>
      </c>
      <c r="C321" s="14" t="s">
        <v>426</v>
      </c>
      <c r="D321" s="2" t="s">
        <v>1053</v>
      </c>
      <c r="E321" s="2" t="s">
        <v>1054</v>
      </c>
      <c r="H321" s="160" t="s">
        <v>1055</v>
      </c>
      <c r="I321" s="392"/>
      <c r="J321" s="59" t="s">
        <v>1056</v>
      </c>
      <c r="K321" s="59" t="s">
        <v>1057</v>
      </c>
      <c r="L321" s="59" t="s">
        <v>1058</v>
      </c>
      <c r="M321" s="59" t="s">
        <v>1057</v>
      </c>
      <c r="N321" s="59" t="s">
        <v>1059</v>
      </c>
      <c r="O321" s="59" t="s">
        <v>1057</v>
      </c>
      <c r="P321" s="59" t="s">
        <v>1060</v>
      </c>
      <c r="Q321" s="59" t="s">
        <v>1057</v>
      </c>
      <c r="R321" s="59" t="s">
        <v>1061</v>
      </c>
      <c r="S321" s="59" t="s">
        <v>1057</v>
      </c>
      <c r="T321" s="59" t="s">
        <v>1062</v>
      </c>
      <c r="U321" s="59" t="s">
        <v>1057</v>
      </c>
      <c r="V321" s="59" t="s">
        <v>1063</v>
      </c>
      <c r="W321" s="59" t="s">
        <v>1057</v>
      </c>
      <c r="X321" s="59" t="s">
        <v>1064</v>
      </c>
      <c r="Y321" s="59" t="s">
        <v>1057</v>
      </c>
      <c r="Z321" s="59" t="s">
        <v>1065</v>
      </c>
      <c r="AA321" s="59" t="s">
        <v>1057</v>
      </c>
      <c r="AB321" s="59" t="s">
        <v>1066</v>
      </c>
      <c r="AC321" s="59" t="s">
        <v>1057</v>
      </c>
      <c r="AD321" s="59" t="s">
        <v>1067</v>
      </c>
      <c r="AE321" s="161" t="s">
        <v>1057</v>
      </c>
      <c r="AF321" s="396"/>
      <c r="AG321" s="397"/>
      <c r="AH321" s="2" t="s">
        <v>919</v>
      </c>
    </row>
    <row r="322" spans="1:34" x14ac:dyDescent="0.25">
      <c r="A322" s="2" t="s">
        <v>1068</v>
      </c>
      <c r="B322" s="67" t="s">
        <v>1069</v>
      </c>
      <c r="C322" s="14" t="s">
        <v>426</v>
      </c>
      <c r="D322" s="2" t="s">
        <v>1070</v>
      </c>
      <c r="G322" s="206" t="str">
        <f>"["&amp;H322&amp;",["&amp;J322&amp;","&amp;K322&amp;"],["&amp;L322&amp;","&amp;M322&amp;"],["&amp;N322&amp;","&amp;O322&amp;"],["&amp;P322&amp;","&amp;Q322&amp;"],["&amp;R322&amp;","&amp;S322&amp;"],["&amp;T322&amp;","&amp;U322&amp;"],["&amp;V322&amp;","&amp;W322&amp;"],["&amp;X322&amp;","&amp;Y322&amp;"],["&amp;Z322&amp;","&amp;AA322&amp;"],["&amp;AB322&amp;","&amp;AC322&amp;"],["&amp;AD322&amp;","&amp;AE322&amp;"]]"</f>
        <v>[6,[0,6644],[50000,4200],[100000,3000],[200000,2300],[300000,1500],[400000,1500],[600000,1200],[800000,600],[1000000,500],[1200000,400],[1500000,300]]</v>
      </c>
      <c r="H322" s="160">
        <v>6</v>
      </c>
      <c r="I322" s="238">
        <f>K322/SUM(K322+M322+O322+Q322+S322+U322+W322+Y322+AA322+AC322+AE322)</f>
        <v>0.30003612716763006</v>
      </c>
      <c r="J322" s="239">
        <v>0</v>
      </c>
      <c r="K322" s="240">
        <v>6644</v>
      </c>
      <c r="L322" s="239">
        <v>50000</v>
      </c>
      <c r="M322" s="241">
        <v>4200</v>
      </c>
      <c r="N322" s="241">
        <v>100000</v>
      </c>
      <c r="O322" s="241">
        <v>3000</v>
      </c>
      <c r="P322" s="241">
        <v>200000</v>
      </c>
      <c r="Q322" s="241">
        <v>2300</v>
      </c>
      <c r="R322" s="241">
        <v>300000</v>
      </c>
      <c r="S322" s="241">
        <v>1500</v>
      </c>
      <c r="T322" s="241">
        <v>400000</v>
      </c>
      <c r="U322" s="241">
        <v>1500</v>
      </c>
      <c r="V322" s="241">
        <v>600000</v>
      </c>
      <c r="W322" s="241">
        <v>1200</v>
      </c>
      <c r="X322" s="241">
        <v>800000</v>
      </c>
      <c r="Y322" s="241">
        <v>600</v>
      </c>
      <c r="Z322" s="241">
        <v>1000000</v>
      </c>
      <c r="AA322" s="241">
        <v>500</v>
      </c>
      <c r="AB322" s="241">
        <v>1200000</v>
      </c>
      <c r="AC322" s="241">
        <v>400</v>
      </c>
      <c r="AD322" s="241">
        <v>1500000</v>
      </c>
      <c r="AE322" s="241">
        <v>300</v>
      </c>
      <c r="AF322" s="248">
        <f>(J322*K322+L322*M322+N322*O322+P322*Q322+R322*S322+T322*U322+V322*W322+X322*Y322+Z322*AA322+AB322*AC322+AD322*AE322)/SUM(K322+M322+O322+Q322+S322+U322+W322+Y322+AA322+AC322+AE322)</f>
        <v>209989.16184971097</v>
      </c>
      <c r="AG322" s="21">
        <f>(L322*M322+N322*O322+P322*Q322+R322*S322+T322*U322+V322*W322+X322*Y322+Z322*AA322+AB322*AC322+AD322*AE322)/SUM(M322+O322+Q322+S322+U322+W322+Y322+AA322+AC322+AE322)</f>
        <v>300000</v>
      </c>
      <c r="AH322" s="21">
        <v>300000</v>
      </c>
    </row>
    <row r="323" spans="1:34" x14ac:dyDescent="0.25">
      <c r="A323" s="2" t="s">
        <v>1071</v>
      </c>
      <c r="B323" s="67" t="s">
        <v>1072</v>
      </c>
      <c r="D323" s="2" t="s">
        <v>1073</v>
      </c>
      <c r="G323" s="206" t="str">
        <f>"["&amp;H323&amp;",["&amp;J323&amp;","&amp;K323&amp;"],["&amp;L323&amp;","&amp;M323&amp;"],["&amp;N323&amp;","&amp;O323&amp;"],["&amp;P323&amp;","&amp;Q323&amp;"],["&amp;R323&amp;","&amp;S323&amp;"],["&amp;T323&amp;","&amp;U323&amp;"],["&amp;V323&amp;","&amp;W323&amp;"],["&amp;X323&amp;","&amp;Y323&amp;"],["&amp;Z323&amp;","&amp;AA323&amp;"],["&amp;AB323&amp;","&amp;AC323&amp;"],["&amp;AD323&amp;","&amp;AE323&amp;"]]"</f>
        <v>[7,[0,6644],[250000,4200],[500000,3000],[1000000,2300],[1500000,1500],[2000000,1500],[3000000,1200],[4000000,600],[5000000,500],[6000000,400],[7500000,300]]</v>
      </c>
      <c r="H323" s="160">
        <v>7</v>
      </c>
      <c r="I323" s="238">
        <f>K323/SUM(K323+M323+O323+Q323+S323+U323+W323+Y323+AA323+AC323+AE323)</f>
        <v>0.30003612716763006</v>
      </c>
      <c r="J323" s="131">
        <f>J322*5</f>
        <v>0</v>
      </c>
      <c r="K323" s="242">
        <f>K322</f>
        <v>6644</v>
      </c>
      <c r="L323" s="131">
        <f>L322*5</f>
        <v>250000</v>
      </c>
      <c r="M323" s="243">
        <f>M322</f>
        <v>4200</v>
      </c>
      <c r="N323" s="131">
        <f>N322*5</f>
        <v>500000</v>
      </c>
      <c r="O323" s="243">
        <f>O322</f>
        <v>3000</v>
      </c>
      <c r="P323" s="131">
        <f>P322*5</f>
        <v>1000000</v>
      </c>
      <c r="Q323" s="243">
        <f>Q322</f>
        <v>2300</v>
      </c>
      <c r="R323" s="131">
        <f>R322*5</f>
        <v>1500000</v>
      </c>
      <c r="S323" s="243">
        <f>S322</f>
        <v>1500</v>
      </c>
      <c r="T323" s="131">
        <f>T322*5</f>
        <v>2000000</v>
      </c>
      <c r="U323" s="243">
        <f>U322</f>
        <v>1500</v>
      </c>
      <c r="V323" s="131">
        <f>V322*5</f>
        <v>3000000</v>
      </c>
      <c r="W323" s="243">
        <f>W322</f>
        <v>1200</v>
      </c>
      <c r="X323" s="131">
        <f>X322*5</f>
        <v>4000000</v>
      </c>
      <c r="Y323" s="243">
        <f>Y322</f>
        <v>600</v>
      </c>
      <c r="Z323" s="131">
        <f>Z322*5</f>
        <v>5000000</v>
      </c>
      <c r="AA323" s="243">
        <f>AA322</f>
        <v>500</v>
      </c>
      <c r="AB323" s="131">
        <f>AB322*5</f>
        <v>6000000</v>
      </c>
      <c r="AC323" s="243">
        <f>AC322</f>
        <v>400</v>
      </c>
      <c r="AD323" s="131">
        <f>AD322*5</f>
        <v>7500000</v>
      </c>
      <c r="AE323" s="243">
        <f>AE322</f>
        <v>300</v>
      </c>
      <c r="AF323" s="249">
        <f>(J323*K323+L323*M323+N323*O323+P323*Q323+R323*S323+T323*U323+V323*W323+X323*Y323+Z323*AA323+AB323*AC323+AD323*AE323)/SUM(K323+M323+O323+Q323+S323+U323+W323+Y323+AA323+AC323+AE323)</f>
        <v>1049945.809248555</v>
      </c>
      <c r="AG323" s="21">
        <f>(L323*M323+N323*O323+P323*Q323+R323*S323+T323*U323+V323*W323+X323*Y323+Z323*AA323+AB323*AC323+AD323*AE323)/SUM(M323+O323+Q323+S323+U323+W323+Y323+AA323+AC323+AE323)</f>
        <v>1500000</v>
      </c>
      <c r="AH323" s="21">
        <v>1500000</v>
      </c>
    </row>
    <row r="324" spans="1:34" x14ac:dyDescent="0.25">
      <c r="A324" s="2" t="s">
        <v>1074</v>
      </c>
      <c r="B324" s="206" t="str">
        <f>"["&amp;G322&amp;","&amp;G323&amp;","&amp;G324&amp;"]"</f>
        <v>[[6,[0,6644],[50000,4200],[100000,3000],[200000,2300],[300000,1500],[400000,1500],[600000,1200],[800000,600],[1000000,500],[1200000,400],[1500000,300]],[7,[0,6644],[250000,4200],[500000,3000],[1000000,2300],[1500000,1500],[2000000,1500],[3000000,1200],[4000000,600],[5000000,500],[6000000,400],[7500000,300]],[8,[0,6644],[500000,4200],[1000000,3000],[2000000,2300],[3000000,1500],[4000000,1500],[6000000,1200],[8000000,600],[10000000,500],[12000000,400],[15000000,300]]]</v>
      </c>
      <c r="C324" s="21"/>
      <c r="D324" s="2" t="s">
        <v>1075</v>
      </c>
      <c r="G324" s="206" t="str">
        <f>"["&amp;H324&amp;",["&amp;J324&amp;","&amp;K324&amp;"],["&amp;L324&amp;","&amp;M324&amp;"],["&amp;N324&amp;","&amp;O324&amp;"],["&amp;P324&amp;","&amp;Q324&amp;"],["&amp;R324&amp;","&amp;S324&amp;"],["&amp;T324&amp;","&amp;U324&amp;"],["&amp;V324&amp;","&amp;W324&amp;"],["&amp;X324&amp;","&amp;Y324&amp;"],["&amp;Z324&amp;","&amp;AA324&amp;"],["&amp;AB324&amp;","&amp;AC324&amp;"],["&amp;AD324&amp;","&amp;AE324&amp;"]]"</f>
        <v>[8,[0,6644],[500000,4200],[1000000,3000],[2000000,2300],[3000000,1500],[4000000,1500],[6000000,1200],[8000000,600],[10000000,500],[12000000,400],[15000000,300]]</v>
      </c>
      <c r="H324" s="162">
        <v>8</v>
      </c>
      <c r="I324" s="244">
        <f>K324/SUM(K324+M324+O324+Q324+S324+U324+W324+Y324+AA324+AC324+AE324)</f>
        <v>0.30003612716763006</v>
      </c>
      <c r="J324" s="135">
        <f>J322*10</f>
        <v>0</v>
      </c>
      <c r="K324" s="245">
        <f>K323</f>
        <v>6644</v>
      </c>
      <c r="L324" s="135">
        <f>L322*10</f>
        <v>500000</v>
      </c>
      <c r="M324" s="246">
        <f>M323</f>
        <v>4200</v>
      </c>
      <c r="N324" s="135">
        <f>N322*10</f>
        <v>1000000</v>
      </c>
      <c r="O324" s="246">
        <f>O323</f>
        <v>3000</v>
      </c>
      <c r="P324" s="135">
        <f>P322*10</f>
        <v>2000000</v>
      </c>
      <c r="Q324" s="246">
        <f>Q323</f>
        <v>2300</v>
      </c>
      <c r="R324" s="135">
        <f>R322*10</f>
        <v>3000000</v>
      </c>
      <c r="S324" s="246">
        <f>S323</f>
        <v>1500</v>
      </c>
      <c r="T324" s="135">
        <f>T322*10</f>
        <v>4000000</v>
      </c>
      <c r="U324" s="246">
        <f>U323</f>
        <v>1500</v>
      </c>
      <c r="V324" s="135">
        <f>V322*10</f>
        <v>6000000</v>
      </c>
      <c r="W324" s="246">
        <f>W323</f>
        <v>1200</v>
      </c>
      <c r="X324" s="135">
        <f>X322*10</f>
        <v>8000000</v>
      </c>
      <c r="Y324" s="246">
        <f>Y323</f>
        <v>600</v>
      </c>
      <c r="Z324" s="135">
        <f>Z322*10</f>
        <v>10000000</v>
      </c>
      <c r="AA324" s="246">
        <f>AA323</f>
        <v>500</v>
      </c>
      <c r="AB324" s="135">
        <f>AB322*10</f>
        <v>12000000</v>
      </c>
      <c r="AC324" s="246">
        <f>AC323</f>
        <v>400</v>
      </c>
      <c r="AD324" s="135">
        <f>AD322*10</f>
        <v>15000000</v>
      </c>
      <c r="AE324" s="246">
        <f>AE323</f>
        <v>300</v>
      </c>
      <c r="AF324" s="250">
        <f>(J324*K324+L324*M324+N324*O324+P324*Q324+R324*S324+T324*U324+V324*W324+X324*Y324+Z324*AA324+AB324*AC324+AD324*AE324)/SUM(K324+M324+O324+Q324+S324+U324+W324+Y324+AA324+AC324+AE324)</f>
        <v>2099891.61849711</v>
      </c>
      <c r="AG324" s="21">
        <f>(L324*M324+N324*O324+P324*Q324+R324*S324+T324*U324+V324*W324+X324*Y324+Z324*AA324+AB324*AC324+AD324*AE324)/SUM(M324+O324+Q324+S324+U324+W324+Y324+AA324+AC324+AE324)</f>
        <v>3000000</v>
      </c>
      <c r="AH324" s="21">
        <v>3000000</v>
      </c>
    </row>
    <row r="325" spans="1:34" x14ac:dyDescent="0.25">
      <c r="A325" s="122" t="s">
        <v>1076</v>
      </c>
      <c r="B325" s="67" t="s">
        <v>530</v>
      </c>
      <c r="D325" s="2" t="s">
        <v>1077</v>
      </c>
      <c r="K325" s="2">
        <f>K322/SUM(K322+M322+O322+Q322+S322+U322+W322+Y322+AA322+AC322+AE322)</f>
        <v>0.30003612716763006</v>
      </c>
      <c r="M325" s="2">
        <f>M322/SUM(K322+M322+O322+Q322+S322+U322+W322+Y322+AA322+AC322+AE322)</f>
        <v>0.18966763005780346</v>
      </c>
      <c r="O325" s="2">
        <f>O322/SUM(K322+M322+O322+Q322+S322+U322+W322+Y322+AA322+AC322+AE322)</f>
        <v>0.13547687861271676</v>
      </c>
      <c r="Q325" s="2">
        <f>Q322/SUM(K322+M322+O322+Q322+S322+U322+W322+Y322+AA322+AC322+AE322)</f>
        <v>0.10386560693641618</v>
      </c>
      <c r="S325" s="2">
        <f>S322/SUM(K322+M322+O322+Q322+S322+U322+W322+Y322+AA322+AC322+AE322)</f>
        <v>6.7738439306358381E-2</v>
      </c>
      <c r="U325" s="2">
        <f>U322/SUM(K322+M322+O322+Q322+S322+U322+W322+Y322+AA322+AC322+AE322)</f>
        <v>6.7738439306358381E-2</v>
      </c>
      <c r="W325" s="2">
        <f>W322/SUM(K322+M322+O322+Q322+S322+U322+W322+Y322+AA322+AC322+AE322)</f>
        <v>5.4190751445086706E-2</v>
      </c>
      <c r="Y325" s="251">
        <f>Y322/SUM(K322+M322+O322+Q322+S322+U322+W322+Y322+AA322+AC322+AE322)</f>
        <v>2.7095375722543353E-2</v>
      </c>
      <c r="Z325" s="252"/>
      <c r="AA325" s="251">
        <f>AA322/SUM(K322+M322+O322+Q322+S322+U322+W322+Y322+AA322+AC322+AE322)</f>
        <v>2.2579479768786128E-2</v>
      </c>
      <c r="AB325" s="252"/>
      <c r="AC325" s="251">
        <f>AC322/SUM(K322+M322+O322+Q322+S322+U322+W322+Y322+AA322+AC322+AE322)</f>
        <v>1.8063583815028903E-2</v>
      </c>
      <c r="AE325" s="2">
        <f>AE322/SUM(K322+M322+O322+Q322+S322+U322+W322+Y322+AA322+AC322+AE322)</f>
        <v>1.3547687861271676E-2</v>
      </c>
    </row>
    <row r="326" spans="1:34" x14ac:dyDescent="0.25">
      <c r="A326" s="114" t="s">
        <v>1078</v>
      </c>
      <c r="B326" s="67" t="s">
        <v>1079</v>
      </c>
      <c r="C326" s="2" t="s">
        <v>1080</v>
      </c>
      <c r="D326" s="2" t="s">
        <v>1081</v>
      </c>
      <c r="K326" s="247">
        <f>1-K325</f>
        <v>0.69996387283236994</v>
      </c>
    </row>
    <row r="327" spans="1:34" x14ac:dyDescent="0.25">
      <c r="A327" s="114" t="s">
        <v>1082</v>
      </c>
      <c r="B327" s="67" t="s">
        <v>1083</v>
      </c>
      <c r="C327" s="2" t="s">
        <v>1080</v>
      </c>
      <c r="D327" s="2" t="s">
        <v>1084</v>
      </c>
      <c r="K327" s="2" t="s">
        <v>1085</v>
      </c>
      <c r="L327" s="2" t="s">
        <v>1086</v>
      </c>
      <c r="M327" s="2" t="s">
        <v>1087</v>
      </c>
      <c r="N327" s="2" t="s">
        <v>1088</v>
      </c>
      <c r="O327" s="2" t="s">
        <v>1089</v>
      </c>
    </row>
    <row r="328" spans="1:34" ht="16.2" x14ac:dyDescent="0.25">
      <c r="A328" s="114" t="s">
        <v>1090</v>
      </c>
      <c r="B328" s="166" t="s">
        <v>1091</v>
      </c>
      <c r="C328" s="2" t="s">
        <v>1080</v>
      </c>
      <c r="D328" s="2" t="s">
        <v>1092</v>
      </c>
      <c r="K328" s="2">
        <f>$K$326^0*(1-$K$326)^4*1</f>
        <v>8.1039024389536404E-3</v>
      </c>
      <c r="L328" s="2">
        <f>$K$326*(1-$K$326)^3*4</f>
        <v>7.5623412284034575E-2</v>
      </c>
      <c r="M328" s="2">
        <f>$K$326^2*(1-$K$326)^2*6</f>
        <v>0.26463641414867611</v>
      </c>
      <c r="N328" s="2">
        <f>$K$326^3*(1-$K$326)^1*4</f>
        <v>0.41158583376524976</v>
      </c>
      <c r="O328" s="2">
        <f>$K$326^4*(1-$K$326)^0*1</f>
        <v>0.24005043736308596</v>
      </c>
    </row>
    <row r="329" spans="1:34" x14ac:dyDescent="0.25">
      <c r="A329" s="114" t="s">
        <v>1093</v>
      </c>
      <c r="B329" s="67" t="s">
        <v>1094</v>
      </c>
      <c r="C329" s="2" t="s">
        <v>1080</v>
      </c>
      <c r="D329" s="2" t="s">
        <v>1095</v>
      </c>
    </row>
    <row r="330" spans="1:34" x14ac:dyDescent="0.25">
      <c r="A330" s="114" t="s">
        <v>1096</v>
      </c>
      <c r="B330" s="67" t="s">
        <v>592</v>
      </c>
      <c r="C330" s="2" t="s">
        <v>1080</v>
      </c>
      <c r="D330" s="2" t="s">
        <v>1097</v>
      </c>
    </row>
    <row r="331" spans="1:34" x14ac:dyDescent="0.25">
      <c r="A331" s="114" t="s">
        <v>1098</v>
      </c>
      <c r="B331" s="233" t="s">
        <v>1099</v>
      </c>
      <c r="D331" s="234" t="s">
        <v>1100</v>
      </c>
    </row>
    <row r="332" spans="1:34" x14ac:dyDescent="0.25">
      <c r="A332" s="114" t="s">
        <v>1101</v>
      </c>
      <c r="B332" s="67" t="s">
        <v>705</v>
      </c>
      <c r="C332" s="2" t="s">
        <v>1080</v>
      </c>
      <c r="D332" s="2" t="s">
        <v>1102</v>
      </c>
    </row>
    <row r="333" spans="1:34" x14ac:dyDescent="0.25">
      <c r="A333" s="114" t="s">
        <v>1103</v>
      </c>
      <c r="B333" s="67" t="s">
        <v>1104</v>
      </c>
      <c r="C333" s="2" t="s">
        <v>1080</v>
      </c>
      <c r="D333" s="2" t="s">
        <v>1105</v>
      </c>
    </row>
    <row r="334" spans="1:34" x14ac:dyDescent="0.25">
      <c r="A334" s="114" t="s">
        <v>1106</v>
      </c>
      <c r="B334" s="67" t="s">
        <v>473</v>
      </c>
      <c r="C334" s="2" t="s">
        <v>1080</v>
      </c>
      <c r="D334" s="2" t="s">
        <v>1107</v>
      </c>
    </row>
    <row r="335" spans="1:34" x14ac:dyDescent="0.25">
      <c r="A335" s="114" t="s">
        <v>1108</v>
      </c>
      <c r="B335" s="67" t="s">
        <v>364</v>
      </c>
      <c r="C335" s="2" t="s">
        <v>1080</v>
      </c>
      <c r="D335" s="2" t="s">
        <v>1109</v>
      </c>
    </row>
    <row r="336" spans="1:34" x14ac:dyDescent="0.25">
      <c r="A336" s="114" t="s">
        <v>1110</v>
      </c>
      <c r="B336" s="67" t="s">
        <v>1111</v>
      </c>
      <c r="C336" s="2" t="s">
        <v>1080</v>
      </c>
      <c r="D336" s="2" t="s">
        <v>1112</v>
      </c>
    </row>
    <row r="337" spans="1:34" x14ac:dyDescent="0.25">
      <c r="A337" s="114" t="s">
        <v>1113</v>
      </c>
      <c r="B337" s="67" t="s">
        <v>1114</v>
      </c>
      <c r="C337" s="2" t="s">
        <v>1080</v>
      </c>
      <c r="D337" s="2" t="s">
        <v>1115</v>
      </c>
      <c r="AH337" s="21"/>
    </row>
    <row r="338" spans="1:34" x14ac:dyDescent="0.25">
      <c r="A338" s="114" t="s">
        <v>1116</v>
      </c>
      <c r="B338" s="67" t="s">
        <v>1117</v>
      </c>
      <c r="C338" s="2" t="s">
        <v>1080</v>
      </c>
      <c r="D338" s="2" t="s">
        <v>1118</v>
      </c>
      <c r="AH338" s="21"/>
    </row>
    <row r="339" spans="1:34" x14ac:dyDescent="0.25">
      <c r="A339" s="114" t="s">
        <v>1119</v>
      </c>
      <c r="B339" s="67" t="s">
        <v>262</v>
      </c>
      <c r="C339" s="2" t="s">
        <v>1080</v>
      </c>
      <c r="D339" s="2" t="s">
        <v>1120</v>
      </c>
      <c r="AH339" s="21"/>
    </row>
    <row r="340" spans="1:34" x14ac:dyDescent="0.25">
      <c r="A340" s="114" t="s">
        <v>1121</v>
      </c>
      <c r="B340" s="67" t="s">
        <v>1122</v>
      </c>
      <c r="C340" s="2" t="s">
        <v>1080</v>
      </c>
      <c r="D340" s="2" t="s">
        <v>1123</v>
      </c>
    </row>
    <row r="341" spans="1:34" x14ac:dyDescent="0.25">
      <c r="A341" s="114" t="s">
        <v>1124</v>
      </c>
      <c r="B341" s="67" t="s">
        <v>1125</v>
      </c>
      <c r="C341" s="2" t="s">
        <v>1080</v>
      </c>
      <c r="D341" s="2" t="s">
        <v>1126</v>
      </c>
    </row>
    <row r="342" spans="1:34" x14ac:dyDescent="0.25">
      <c r="A342" s="114" t="s">
        <v>1127</v>
      </c>
      <c r="B342" s="121">
        <f>30*60</f>
        <v>1800</v>
      </c>
      <c r="C342" s="2" t="s">
        <v>1080</v>
      </c>
      <c r="D342" s="2" t="s">
        <v>1128</v>
      </c>
    </row>
    <row r="343" spans="1:34" x14ac:dyDescent="0.25">
      <c r="A343" s="114" t="s">
        <v>1129</v>
      </c>
      <c r="B343" s="67" t="s">
        <v>364</v>
      </c>
      <c r="C343" s="2" t="s">
        <v>1080</v>
      </c>
      <c r="D343" s="2" t="s">
        <v>1130</v>
      </c>
    </row>
    <row r="344" spans="1:34" x14ac:dyDescent="0.25">
      <c r="A344" s="114" t="s">
        <v>1131</v>
      </c>
      <c r="B344" s="78" t="s">
        <v>1132</v>
      </c>
      <c r="C344" s="2" t="s">
        <v>1080</v>
      </c>
      <c r="D344" s="2" t="s">
        <v>1133</v>
      </c>
    </row>
    <row r="345" spans="1:34" x14ac:dyDescent="0.25">
      <c r="A345" s="114" t="s">
        <v>1134</v>
      </c>
      <c r="B345" s="67" t="s">
        <v>1135</v>
      </c>
      <c r="C345" s="2" t="s">
        <v>1080</v>
      </c>
      <c r="D345" s="2" t="s">
        <v>1136</v>
      </c>
    </row>
    <row r="346" spans="1:34" x14ac:dyDescent="0.25">
      <c r="A346" s="114" t="s">
        <v>1137</v>
      </c>
      <c r="B346" s="67" t="s">
        <v>1138</v>
      </c>
      <c r="C346" s="2" t="s">
        <v>1080</v>
      </c>
      <c r="D346" s="2" t="s">
        <v>1139</v>
      </c>
    </row>
    <row r="347" spans="1:34" x14ac:dyDescent="0.25">
      <c r="A347" s="2" t="s">
        <v>1140</v>
      </c>
      <c r="B347" s="206" t="s">
        <v>1141</v>
      </c>
      <c r="D347" s="2" t="s">
        <v>1142</v>
      </c>
    </row>
    <row r="348" spans="1:34" x14ac:dyDescent="0.25">
      <c r="A348" s="2" t="s">
        <v>1143</v>
      </c>
      <c r="B348" s="206" t="s">
        <v>1144</v>
      </c>
      <c r="D348" s="2" t="s">
        <v>1145</v>
      </c>
    </row>
    <row r="349" spans="1:34" x14ac:dyDescent="0.25">
      <c r="A349" s="114" t="s">
        <v>1146</v>
      </c>
      <c r="B349" s="67" t="s">
        <v>530</v>
      </c>
      <c r="C349" s="2" t="s">
        <v>1080</v>
      </c>
      <c r="D349" s="2" t="s">
        <v>1147</v>
      </c>
    </row>
    <row r="350" spans="1:34" x14ac:dyDescent="0.25">
      <c r="A350" t="s">
        <v>1148</v>
      </c>
      <c r="B350" s="67" t="s">
        <v>1149</v>
      </c>
      <c r="D350" t="s">
        <v>1150</v>
      </c>
      <c r="H350" s="2" t="s">
        <v>1151</v>
      </c>
      <c r="I350" s="2" t="s">
        <v>1057</v>
      </c>
    </row>
    <row r="351" spans="1:34" x14ac:dyDescent="0.25">
      <c r="A351" s="2" t="s">
        <v>1152</v>
      </c>
      <c r="B351" s="67" t="s">
        <v>1153</v>
      </c>
      <c r="D351" s="2" t="s">
        <v>1154</v>
      </c>
      <c r="H351" s="2">
        <v>1</v>
      </c>
      <c r="I351" s="2">
        <v>1</v>
      </c>
      <c r="J351" s="2">
        <f>H351*I351/SUM($I$351:$I$353)</f>
        <v>0.33333333333333331</v>
      </c>
      <c r="K351" s="2">
        <f>H351*$J$355</f>
        <v>10</v>
      </c>
    </row>
    <row r="352" spans="1:34" x14ac:dyDescent="0.25">
      <c r="A352" s="2" t="s">
        <v>1155</v>
      </c>
      <c r="B352" s="113">
        <v>51</v>
      </c>
      <c r="D352" s="2" t="s">
        <v>1156</v>
      </c>
      <c r="H352" s="2">
        <v>2</v>
      </c>
      <c r="I352" s="2">
        <v>1</v>
      </c>
      <c r="J352" s="2">
        <f>H352*I352/SUM($I$351:$I$353)</f>
        <v>0.66666666666666663</v>
      </c>
      <c r="K352" s="2">
        <f>H352*$J$355</f>
        <v>20</v>
      </c>
    </row>
    <row r="353" spans="1:11" x14ac:dyDescent="0.25">
      <c r="A353" s="2" t="s">
        <v>1157</v>
      </c>
      <c r="B353" s="67" t="s">
        <v>1158</v>
      </c>
      <c r="D353" s="2" t="s">
        <v>1159</v>
      </c>
      <c r="H353" s="2">
        <v>3</v>
      </c>
      <c r="I353" s="2">
        <v>1</v>
      </c>
      <c r="J353" s="2">
        <f>H353*I353/SUM($I$351:$I$353)</f>
        <v>1</v>
      </c>
      <c r="K353" s="2">
        <f>H353*$J$355</f>
        <v>30</v>
      </c>
    </row>
    <row r="354" spans="1:11" x14ac:dyDescent="0.25">
      <c r="A354" s="2" t="s">
        <v>1160</v>
      </c>
      <c r="B354" s="67" t="s">
        <v>1161</v>
      </c>
      <c r="D354" s="2" t="s">
        <v>1162</v>
      </c>
      <c r="I354" s="21" t="s">
        <v>1163</v>
      </c>
      <c r="J354" s="169">
        <f>J356/SUM(J351:J353)</f>
        <v>200</v>
      </c>
    </row>
    <row r="355" spans="1:11" x14ac:dyDescent="0.25">
      <c r="A355" s="2" t="s">
        <v>1164</v>
      </c>
      <c r="B355" s="67" t="s">
        <v>1165</v>
      </c>
      <c r="D355" s="2" t="s">
        <v>1166</v>
      </c>
      <c r="I355" s="21" t="s">
        <v>1167</v>
      </c>
      <c r="J355" s="121">
        <v>10</v>
      </c>
    </row>
    <row r="356" spans="1:11" x14ac:dyDescent="0.25">
      <c r="A356" s="2" t="s">
        <v>1168</v>
      </c>
      <c r="B356" s="206" t="s">
        <v>1169</v>
      </c>
      <c r="D356" s="2" t="s">
        <v>1170</v>
      </c>
      <c r="I356" s="2" t="s">
        <v>1171</v>
      </c>
      <c r="J356" s="169">
        <f>'[1]鱼属性|FishAttribute'!E61</f>
        <v>400</v>
      </c>
    </row>
    <row r="357" spans="1:11" x14ac:dyDescent="0.25">
      <c r="A357" s="2" t="s">
        <v>1172</v>
      </c>
      <c r="B357" s="67" t="s">
        <v>653</v>
      </c>
      <c r="D357" s="2" t="s">
        <v>1173</v>
      </c>
    </row>
    <row r="358" spans="1:11" x14ac:dyDescent="0.25">
      <c r="A358" s="2" t="s">
        <v>1174</v>
      </c>
      <c r="B358" s="67" t="s">
        <v>1138</v>
      </c>
      <c r="D358" s="2" t="s">
        <v>1175</v>
      </c>
    </row>
    <row r="359" spans="1:11" x14ac:dyDescent="0.25">
      <c r="A359" s="2" t="s">
        <v>1176</v>
      </c>
      <c r="B359" s="67" t="s">
        <v>1177</v>
      </c>
      <c r="D359" s="2" t="s">
        <v>1178</v>
      </c>
    </row>
    <row r="360" spans="1:11" x14ac:dyDescent="0.25">
      <c r="A360" s="2" t="s">
        <v>1179</v>
      </c>
      <c r="B360" s="67" t="s">
        <v>1180</v>
      </c>
      <c r="C360" s="14" t="s">
        <v>1181</v>
      </c>
      <c r="D360" s="2" t="s">
        <v>1182</v>
      </c>
    </row>
    <row r="361" spans="1:11" x14ac:dyDescent="0.25">
      <c r="A361" s="2" t="s">
        <v>1183</v>
      </c>
      <c r="B361" s="2" t="s">
        <v>1184</v>
      </c>
      <c r="D361" s="2" t="s">
        <v>1185</v>
      </c>
    </row>
    <row r="362" spans="1:11" x14ac:dyDescent="0.25">
      <c r="A362" s="2" t="s">
        <v>1186</v>
      </c>
      <c r="B362" s="67" t="s">
        <v>646</v>
      </c>
      <c r="D362" s="2" t="s">
        <v>1187</v>
      </c>
    </row>
    <row r="363" spans="1:11" x14ac:dyDescent="0.25">
      <c r="A363" s="2" t="s">
        <v>1188</v>
      </c>
      <c r="B363" s="67" t="s">
        <v>277</v>
      </c>
      <c r="D363" s="2" t="s">
        <v>1189</v>
      </c>
    </row>
    <row r="364" spans="1:11" x14ac:dyDescent="0.25">
      <c r="A364" s="2" t="s">
        <v>1190</v>
      </c>
      <c r="B364" s="67" t="s">
        <v>364</v>
      </c>
      <c r="D364" s="2" t="s">
        <v>1191</v>
      </c>
    </row>
    <row r="365" spans="1:11" x14ac:dyDescent="0.25">
      <c r="A365" s="2" t="s">
        <v>1192</v>
      </c>
      <c r="B365" s="67" t="s">
        <v>646</v>
      </c>
      <c r="D365" s="2" t="s">
        <v>1193</v>
      </c>
    </row>
    <row r="366" spans="1:11" x14ac:dyDescent="0.25">
      <c r="A366" s="2" t="s">
        <v>1194</v>
      </c>
      <c r="B366" s="67" t="s">
        <v>473</v>
      </c>
      <c r="D366" s="2" t="s">
        <v>1195</v>
      </c>
    </row>
    <row r="367" spans="1:11" x14ac:dyDescent="0.25">
      <c r="A367" s="2" t="s">
        <v>1196</v>
      </c>
      <c r="B367" s="67" t="s">
        <v>1197</v>
      </c>
      <c r="D367" s="2" t="s">
        <v>1198</v>
      </c>
    </row>
    <row r="368" spans="1:11" x14ac:dyDescent="0.25">
      <c r="A368" s="2" t="s">
        <v>40</v>
      </c>
      <c r="B368" s="235">
        <f>'炮解锁|CannonUnlock'!EU29</f>
        <v>2700000</v>
      </c>
      <c r="C368" s="236" t="s">
        <v>1199</v>
      </c>
      <c r="D368" s="2" t="s">
        <v>1200</v>
      </c>
    </row>
    <row r="369" spans="1:7" x14ac:dyDescent="0.25">
      <c r="A369" s="2" t="s">
        <v>1201</v>
      </c>
      <c r="B369" s="67" t="s">
        <v>1197</v>
      </c>
      <c r="D369" s="2" t="s">
        <v>1202</v>
      </c>
    </row>
    <row r="370" spans="1:7" x14ac:dyDescent="0.25">
      <c r="A370" s="2" t="s">
        <v>1203</v>
      </c>
      <c r="B370" s="67" t="s">
        <v>1197</v>
      </c>
      <c r="D370" s="2" t="s">
        <v>1204</v>
      </c>
    </row>
    <row r="371" spans="1:7" x14ac:dyDescent="0.25">
      <c r="A371" s="2" t="s">
        <v>1205</v>
      </c>
      <c r="B371" s="67" t="s">
        <v>1206</v>
      </c>
      <c r="D371" s="2" t="s">
        <v>1207</v>
      </c>
    </row>
    <row r="372" spans="1:7" x14ac:dyDescent="0.25">
      <c r="A372" s="2" t="s">
        <v>1208</v>
      </c>
      <c r="B372" s="67" t="s">
        <v>1209</v>
      </c>
      <c r="D372" s="2" t="s">
        <v>1210</v>
      </c>
    </row>
    <row r="373" spans="1:7" x14ac:dyDescent="0.25">
      <c r="A373" s="2" t="s">
        <v>1211</v>
      </c>
      <c r="B373" s="67" t="s">
        <v>1197</v>
      </c>
      <c r="D373" s="2" t="s">
        <v>1212</v>
      </c>
    </row>
    <row r="374" spans="1:7" x14ac:dyDescent="0.25">
      <c r="A374" s="2" t="s">
        <v>1213</v>
      </c>
      <c r="B374" s="67" t="s">
        <v>1214</v>
      </c>
      <c r="D374" s="2" t="s">
        <v>1215</v>
      </c>
    </row>
    <row r="375" spans="1:7" x14ac:dyDescent="0.25">
      <c r="A375" s="2" t="s">
        <v>1216</v>
      </c>
      <c r="B375" s="67" t="s">
        <v>1217</v>
      </c>
      <c r="D375" s="2" t="s">
        <v>1218</v>
      </c>
    </row>
    <row r="376" spans="1:7" ht="16.2" x14ac:dyDescent="0.25">
      <c r="A376" s="2" t="s">
        <v>1219</v>
      </c>
      <c r="B376" s="166" t="s">
        <v>473</v>
      </c>
      <c r="D376" s="2" t="s">
        <v>1220</v>
      </c>
      <c r="F376" s="67" t="s">
        <v>473</v>
      </c>
    </row>
    <row r="377" spans="1:7" ht="16.2" x14ac:dyDescent="0.25">
      <c r="A377" s="2" t="s">
        <v>1221</v>
      </c>
      <c r="B377" s="166" t="s">
        <v>517</v>
      </c>
      <c r="D377" s="2" t="s">
        <v>1222</v>
      </c>
      <c r="F377" s="67" t="s">
        <v>517</v>
      </c>
    </row>
    <row r="378" spans="1:7" x14ac:dyDescent="0.25">
      <c r="A378" s="2" t="s">
        <v>1223</v>
      </c>
      <c r="B378" s="67" t="s">
        <v>1224</v>
      </c>
      <c r="D378" s="2" t="s">
        <v>1225</v>
      </c>
    </row>
    <row r="379" spans="1:7" x14ac:dyDescent="0.25">
      <c r="A379" s="234" t="s">
        <v>1226</v>
      </c>
      <c r="B379" s="237" t="s">
        <v>1227</v>
      </c>
      <c r="C379" s="234"/>
      <c r="D379" s="234" t="s">
        <v>1228</v>
      </c>
      <c r="E379" s="234"/>
      <c r="F379" s="234"/>
      <c r="G379" s="234"/>
    </row>
    <row r="380" spans="1:7" x14ac:dyDescent="0.25">
      <c r="A380" s="234" t="s">
        <v>1229</v>
      </c>
      <c r="B380" s="237" t="s">
        <v>1230</v>
      </c>
      <c r="C380" s="234"/>
      <c r="D380" s="234" t="s">
        <v>1231</v>
      </c>
      <c r="E380" s="234"/>
      <c r="F380" s="234"/>
      <c r="G380" s="234"/>
    </row>
    <row r="381" spans="1:7" x14ac:dyDescent="0.25">
      <c r="A381" s="234" t="s">
        <v>1232</v>
      </c>
      <c r="B381" s="233" t="s">
        <v>1233</v>
      </c>
      <c r="C381" s="234"/>
      <c r="D381" s="234" t="s">
        <v>1234</v>
      </c>
      <c r="E381" s="234"/>
      <c r="F381" s="234"/>
      <c r="G381" s="234"/>
    </row>
    <row r="382" spans="1:7" x14ac:dyDescent="0.25">
      <c r="A382" s="234" t="s">
        <v>1235</v>
      </c>
      <c r="B382" s="233" t="s">
        <v>1209</v>
      </c>
      <c r="C382" s="234"/>
      <c r="D382" s="234" t="s">
        <v>1236</v>
      </c>
      <c r="E382" s="234"/>
      <c r="F382" s="234"/>
      <c r="G382" s="234"/>
    </row>
    <row r="383" spans="1:7" x14ac:dyDescent="0.25">
      <c r="A383" s="234" t="s">
        <v>1237</v>
      </c>
      <c r="B383" s="233" t="s">
        <v>1238</v>
      </c>
      <c r="C383" s="234"/>
      <c r="D383" s="234" t="s">
        <v>1239</v>
      </c>
      <c r="E383" s="234"/>
      <c r="F383" s="234"/>
      <c r="G383" s="234"/>
    </row>
    <row r="384" spans="1:7" x14ac:dyDescent="0.25">
      <c r="A384" s="234" t="s">
        <v>1240</v>
      </c>
      <c r="B384" s="233" t="s">
        <v>270</v>
      </c>
      <c r="C384" s="234"/>
      <c r="D384" s="234" t="s">
        <v>1241</v>
      </c>
      <c r="E384" s="234"/>
      <c r="F384" s="234"/>
      <c r="G384" s="234"/>
    </row>
    <row r="385" spans="1:7" x14ac:dyDescent="0.25">
      <c r="A385" s="234" t="s">
        <v>1242</v>
      </c>
      <c r="B385" s="233" t="s">
        <v>344</v>
      </c>
      <c r="C385" s="234"/>
      <c r="D385" s="234" t="s">
        <v>1243</v>
      </c>
      <c r="E385" s="234"/>
      <c r="F385" s="234"/>
      <c r="G385" s="234"/>
    </row>
    <row r="386" spans="1:7" x14ac:dyDescent="0.25">
      <c r="A386" s="234" t="s">
        <v>1244</v>
      </c>
      <c r="B386" s="233" t="s">
        <v>341</v>
      </c>
      <c r="C386" s="234"/>
      <c r="D386" s="234" t="s">
        <v>1245</v>
      </c>
      <c r="E386" s="234"/>
      <c r="F386" s="234"/>
      <c r="G386" s="234"/>
    </row>
    <row r="387" spans="1:7" s="13" customFormat="1" x14ac:dyDescent="0.25">
      <c r="A387" s="234" t="s">
        <v>1246</v>
      </c>
      <c r="B387" s="233" t="s">
        <v>1247</v>
      </c>
      <c r="C387" s="234"/>
      <c r="D387" s="234" t="s">
        <v>1248</v>
      </c>
      <c r="E387" s="234"/>
      <c r="F387" s="234"/>
      <c r="G387" s="234"/>
    </row>
    <row r="388" spans="1:7" s="13" customFormat="1" x14ac:dyDescent="0.25">
      <c r="A388" s="234" t="s">
        <v>1249</v>
      </c>
      <c r="B388" s="233" t="s">
        <v>1250</v>
      </c>
      <c r="C388" s="234"/>
      <c r="D388" s="234" t="s">
        <v>1248</v>
      </c>
      <c r="E388" s="234"/>
      <c r="F388" s="234"/>
      <c r="G388" s="234"/>
    </row>
    <row r="389" spans="1:7" s="13" customFormat="1" x14ac:dyDescent="0.25">
      <c r="A389" s="234" t="s">
        <v>1251</v>
      </c>
      <c r="B389" s="233" t="s">
        <v>1252</v>
      </c>
      <c r="C389" s="234"/>
      <c r="D389" s="234" t="s">
        <v>1248</v>
      </c>
      <c r="E389" s="234"/>
      <c r="F389" s="234"/>
      <c r="G389" s="234"/>
    </row>
    <row r="390" spans="1:7" x14ac:dyDescent="0.25">
      <c r="A390" s="2" t="s">
        <v>1253</v>
      </c>
      <c r="B390" s="67" t="s">
        <v>1254</v>
      </c>
      <c r="D390" s="2" t="s">
        <v>1255</v>
      </c>
    </row>
    <row r="391" spans="1:7" x14ac:dyDescent="0.25">
      <c r="A391" s="13" t="s">
        <v>1256</v>
      </c>
      <c r="B391" s="67" t="s">
        <v>1257</v>
      </c>
      <c r="D391" s="2" t="s">
        <v>1258</v>
      </c>
    </row>
    <row r="392" spans="1:7" x14ac:dyDescent="0.25">
      <c r="A392" s="13" t="s">
        <v>1259</v>
      </c>
      <c r="B392" s="67" t="s">
        <v>1260</v>
      </c>
      <c r="D392" s="2" t="s">
        <v>1261</v>
      </c>
    </row>
    <row r="393" spans="1:7" x14ac:dyDescent="0.25">
      <c r="A393" s="2" t="s">
        <v>1262</v>
      </c>
      <c r="B393" s="253" t="s">
        <v>1263</v>
      </c>
      <c r="D393" s="2" t="s">
        <v>1264</v>
      </c>
    </row>
    <row r="394" spans="1:7" x14ac:dyDescent="0.25">
      <c r="A394" s="2" t="s">
        <v>1265</v>
      </c>
      <c r="B394" s="67" t="s">
        <v>1266</v>
      </c>
      <c r="D394" s="2" t="s">
        <v>1267</v>
      </c>
    </row>
    <row r="395" spans="1:7" x14ac:dyDescent="0.25">
      <c r="A395" s="2" t="s">
        <v>1268</v>
      </c>
      <c r="B395" s="67" t="s">
        <v>1269</v>
      </c>
      <c r="D395" s="2" t="s">
        <v>1270</v>
      </c>
    </row>
    <row r="396" spans="1:7" x14ac:dyDescent="0.25">
      <c r="A396" s="2" t="s">
        <v>1271</v>
      </c>
      <c r="B396" s="67" t="s">
        <v>1272</v>
      </c>
      <c r="D396" t="s">
        <v>1273</v>
      </c>
    </row>
    <row r="397" spans="1:7" x14ac:dyDescent="0.25">
      <c r="A397" s="2" t="s">
        <v>1274</v>
      </c>
      <c r="B397" s="67" t="s">
        <v>1275</v>
      </c>
      <c r="D397" s="2" t="s">
        <v>1276</v>
      </c>
    </row>
    <row r="398" spans="1:7" x14ac:dyDescent="0.25">
      <c r="A398" s="2" t="s">
        <v>1277</v>
      </c>
      <c r="B398" s="67" t="s">
        <v>530</v>
      </c>
      <c r="D398" t="s">
        <v>1278</v>
      </c>
    </row>
    <row r="399" spans="1:7" x14ac:dyDescent="0.25">
      <c r="A399" s="2" t="s">
        <v>1279</v>
      </c>
      <c r="B399" s="254" t="s">
        <v>602</v>
      </c>
      <c r="D399" s="2" t="s">
        <v>1280</v>
      </c>
    </row>
    <row r="400" spans="1:7" x14ac:dyDescent="0.25">
      <c r="A400" s="2" t="s">
        <v>1281</v>
      </c>
      <c r="B400" s="254" t="s">
        <v>555</v>
      </c>
      <c r="D400" s="2" t="s">
        <v>1282</v>
      </c>
    </row>
    <row r="401" spans="1:4" x14ac:dyDescent="0.25">
      <c r="A401" s="2" t="s">
        <v>1283</v>
      </c>
      <c r="B401" s="254" t="s">
        <v>602</v>
      </c>
      <c r="D401" s="2" t="s">
        <v>1284</v>
      </c>
    </row>
    <row r="402" spans="1:4" x14ac:dyDescent="0.25">
      <c r="A402" s="2" t="s">
        <v>1285</v>
      </c>
      <c r="B402" s="67" t="s">
        <v>1286</v>
      </c>
      <c r="D402" s="2" t="s">
        <v>1287</v>
      </c>
    </row>
    <row r="403" spans="1:4" x14ac:dyDescent="0.25">
      <c r="A403" s="2" t="s">
        <v>1288</v>
      </c>
      <c r="B403" s="67" t="s">
        <v>473</v>
      </c>
      <c r="D403" s="2" t="s">
        <v>1289</v>
      </c>
    </row>
    <row r="404" spans="1:4" ht="16.2" x14ac:dyDescent="0.25">
      <c r="A404" s="2" t="s">
        <v>1971</v>
      </c>
      <c r="B404" s="166" t="s">
        <v>1972</v>
      </c>
      <c r="C404" s="2" t="s">
        <v>1985</v>
      </c>
      <c r="D404" s="2" t="s">
        <v>1974</v>
      </c>
    </row>
    <row r="405" spans="1:4" ht="16.2" x14ac:dyDescent="0.25">
      <c r="A405" s="2" t="s">
        <v>1981</v>
      </c>
      <c r="B405" s="166" t="s">
        <v>1973</v>
      </c>
      <c r="C405" s="2" t="s">
        <v>1985</v>
      </c>
      <c r="D405" s="2" t="s">
        <v>1975</v>
      </c>
    </row>
    <row r="406" spans="1:4" x14ac:dyDescent="0.25">
      <c r="A406" s="2" t="s">
        <v>1982</v>
      </c>
      <c r="B406" s="67" t="s">
        <v>1983</v>
      </c>
      <c r="C406" s="2" t="s">
        <v>1985</v>
      </c>
      <c r="D406" s="2" t="s">
        <v>1984</v>
      </c>
    </row>
  </sheetData>
  <mergeCells count="5">
    <mergeCell ref="I320:I321"/>
    <mergeCell ref="L39:L40"/>
    <mergeCell ref="W271:W272"/>
    <mergeCell ref="AF320:AF321"/>
    <mergeCell ref="AG320:AG321"/>
  </mergeCells>
  <phoneticPr fontId="55" type="noConversion"/>
  <conditionalFormatting sqref="B26">
    <cfRule type="containsText" dxfId="990" priority="150" operator="containsText" text=".">
      <formula>NOT(ISERROR(SEARCH(".",B26)))</formula>
    </cfRule>
    <cfRule type="containsText" dxfId="989" priority="151" operator="containsText" text=" ">
      <formula>NOT(ISERROR(SEARCH(" ",B26)))</formula>
    </cfRule>
  </conditionalFormatting>
  <conditionalFormatting sqref="B52">
    <cfRule type="containsText" dxfId="988" priority="215" operator="containsText" text=".">
      <formula>NOT(ISERROR(SEARCH(".",B52)))</formula>
    </cfRule>
    <cfRule type="containsText" dxfId="987" priority="216" operator="containsText" text=" ">
      <formula>NOT(ISERROR(SEARCH(" ",B52)))</formula>
    </cfRule>
  </conditionalFormatting>
  <conditionalFormatting sqref="B54">
    <cfRule type="containsText" dxfId="986" priority="161" operator="containsText" text=".">
      <formula>NOT(ISERROR(SEARCH(".",B54)))</formula>
    </cfRule>
    <cfRule type="containsText" dxfId="985" priority="162" operator="containsText" text=" ">
      <formula>NOT(ISERROR(SEARCH(" ",B54)))</formula>
    </cfRule>
  </conditionalFormatting>
  <conditionalFormatting sqref="B55">
    <cfRule type="containsText" dxfId="984" priority="158" operator="containsText" text=".">
      <formula>NOT(ISERROR(SEARCH(".",B55)))</formula>
    </cfRule>
    <cfRule type="containsText" dxfId="983" priority="159" operator="containsText" text=" ">
      <formula>NOT(ISERROR(SEARCH(" ",B55)))</formula>
    </cfRule>
  </conditionalFormatting>
  <conditionalFormatting sqref="E132">
    <cfRule type="containsText" dxfId="982" priority="142" operator="containsText" text=" ">
      <formula>NOT(ISERROR(SEARCH(" ",E132)))</formula>
    </cfRule>
  </conditionalFormatting>
  <conditionalFormatting sqref="A135">
    <cfRule type="containsText" dxfId="981" priority="239" operator="containsText" text=" ">
      <formula>NOT(ISERROR(SEARCH(" ",A135)))</formula>
    </cfRule>
  </conditionalFormatting>
  <conditionalFormatting sqref="B137">
    <cfRule type="containsText" dxfId="980" priority="200" operator="containsText" text=".">
      <formula>NOT(ISERROR(SEARCH(".",B137)))</formula>
    </cfRule>
    <cfRule type="containsText" dxfId="979" priority="201" operator="containsText" text=" ">
      <formula>NOT(ISERROR(SEARCH(" ",B137)))</formula>
    </cfRule>
  </conditionalFormatting>
  <conditionalFormatting sqref="F137:H137">
    <cfRule type="containsText" dxfId="978" priority="213" operator="containsText" text=" ">
      <formula>NOT(ISERROR(SEARCH(" ",F137)))</formula>
    </cfRule>
  </conditionalFormatting>
  <conditionalFormatting sqref="B138">
    <cfRule type="containsText" dxfId="977" priority="206" operator="containsText" text=".">
      <formula>NOT(ISERROR(SEARCH(".",B138)))</formula>
    </cfRule>
    <cfRule type="containsText" dxfId="976" priority="207" operator="containsText" text=" ">
      <formula>NOT(ISERROR(SEARCH(" ",B138)))</formula>
    </cfRule>
  </conditionalFormatting>
  <conditionalFormatting sqref="B139">
    <cfRule type="containsText" dxfId="975" priority="198" operator="containsText" text=".">
      <formula>NOT(ISERROR(SEARCH(".",B139)))</formula>
    </cfRule>
    <cfRule type="containsText" dxfId="974" priority="199" operator="containsText" text=" ">
      <formula>NOT(ISERROR(SEARCH(" ",B139)))</formula>
    </cfRule>
  </conditionalFormatting>
  <conditionalFormatting sqref="B151">
    <cfRule type="containsText" dxfId="973" priority="209" operator="containsText" text=" ">
      <formula>NOT(ISERROR(SEARCH(" ",B151)))</formula>
    </cfRule>
  </conditionalFormatting>
  <conditionalFormatting sqref="B152">
    <cfRule type="containsText" dxfId="972" priority="210" operator="containsText" text=" ">
      <formula>NOT(ISERROR(SEARCH(" ",B152)))</formula>
    </cfRule>
  </conditionalFormatting>
  <conditionalFormatting sqref="A154:B154">
    <cfRule type="containsText" dxfId="971" priority="231" operator="containsText" text=" ">
      <formula>NOT(ISERROR(SEARCH(" ",A154)))</formula>
    </cfRule>
  </conditionalFormatting>
  <conditionalFormatting sqref="D154">
    <cfRule type="containsText" dxfId="970" priority="232" operator="containsText" text=" ">
      <formula>NOT(ISERROR(SEARCH(" ",D154)))</formula>
    </cfRule>
  </conditionalFormatting>
  <conditionalFormatting sqref="E190">
    <cfRule type="containsText" dxfId="969" priority="145" operator="containsText" text=" ">
      <formula>NOT(ISERROR(SEARCH(" ",E190)))</formula>
    </cfRule>
  </conditionalFormatting>
  <conditionalFormatting sqref="E191">
    <cfRule type="containsText" dxfId="968" priority="146" operator="containsText" text=" ">
      <formula>NOT(ISERROR(SEARCH(" ",E191)))</formula>
    </cfRule>
  </conditionalFormatting>
  <conditionalFormatting sqref="N204">
    <cfRule type="containsText" dxfId="967" priority="191" operator="containsText" text=" ">
      <formula>NOT(ISERROR(SEARCH(" ",N204)))</formula>
    </cfRule>
  </conditionalFormatting>
  <conditionalFormatting sqref="C215">
    <cfRule type="containsText" dxfId="966" priority="14" operator="containsText" text=" ">
      <formula>NOT(ISERROR(SEARCH(" ",C215)))</formula>
    </cfRule>
  </conditionalFormatting>
  <conditionalFormatting sqref="D226">
    <cfRule type="containsText" dxfId="965" priority="190" operator="containsText" text=" ">
      <formula>NOT(ISERROR(SEARCH(" ",D226)))</formula>
    </cfRule>
  </conditionalFormatting>
  <conditionalFormatting sqref="A229">
    <cfRule type="containsText" dxfId="964" priority="187" operator="containsText" text=" ">
      <formula>NOT(ISERROR(SEARCH(" ",A229)))</formula>
    </cfRule>
  </conditionalFormatting>
  <conditionalFormatting sqref="A231">
    <cfRule type="containsText" dxfId="963" priority="184" operator="containsText" text=" ">
      <formula>NOT(ISERROR(SEARCH(" ",A231)))</formula>
    </cfRule>
  </conditionalFormatting>
  <conditionalFormatting sqref="A232:B232">
    <cfRule type="containsText" dxfId="962" priority="186" operator="containsText" text=" ">
      <formula>NOT(ISERROR(SEARCH(" ",A232)))</formula>
    </cfRule>
  </conditionalFormatting>
  <conditionalFormatting sqref="B232">
    <cfRule type="containsText" dxfId="961" priority="185" operator="containsText" text=".">
      <formula>NOT(ISERROR(SEARCH(".",B232)))</formula>
    </cfRule>
  </conditionalFormatting>
  <conditionalFormatting sqref="A233">
    <cfRule type="containsText" dxfId="960" priority="180" operator="containsText" text=" ">
      <formula>NOT(ISERROR(SEARCH(" ",A233)))</formula>
    </cfRule>
  </conditionalFormatting>
  <conditionalFormatting sqref="D233">
    <cfRule type="containsText" dxfId="959" priority="183" operator="containsText" text=" ">
      <formula>NOT(ISERROR(SEARCH(" ",D233)))</formula>
    </cfRule>
  </conditionalFormatting>
  <conditionalFormatting sqref="A234">
    <cfRule type="containsText" dxfId="958" priority="182" operator="containsText" text=" ">
      <formula>NOT(ISERROR(SEARCH(" ",A234)))</formula>
    </cfRule>
  </conditionalFormatting>
  <conditionalFormatting sqref="B234">
    <cfRule type="containsText" dxfId="957" priority="175" operator="containsText" text=".">
      <formula>NOT(ISERROR(SEARCH(".",B234)))</formula>
    </cfRule>
    <cfRule type="containsText" dxfId="956" priority="176" operator="containsText" text=" ">
      <formula>NOT(ISERROR(SEARCH(" ",B234)))</formula>
    </cfRule>
  </conditionalFormatting>
  <conditionalFormatting sqref="A235">
    <cfRule type="containsText" dxfId="955" priority="168" operator="containsText" text=" ">
      <formula>NOT(ISERROR(SEARCH(" ",A235)))</formula>
    </cfRule>
  </conditionalFormatting>
  <conditionalFormatting sqref="D235">
    <cfRule type="containsText" dxfId="954" priority="173" operator="containsText" text=" ">
      <formula>NOT(ISERROR(SEARCH(" ",D235)))</formula>
    </cfRule>
  </conditionalFormatting>
  <conditionalFormatting sqref="A236">
    <cfRule type="containsText" dxfId="953" priority="167" operator="containsText" text=" ">
      <formula>NOT(ISERROR(SEARCH(" ",A236)))</formula>
    </cfRule>
  </conditionalFormatting>
  <conditionalFormatting sqref="B236">
    <cfRule type="containsText" dxfId="952" priority="165" operator="containsText" text=".">
      <formula>NOT(ISERROR(SEARCH(".",B236)))</formula>
    </cfRule>
    <cfRule type="containsText" dxfId="951" priority="166" operator="containsText" text=" ">
      <formula>NOT(ISERROR(SEARCH(" ",B236)))</formula>
    </cfRule>
  </conditionalFormatting>
  <conditionalFormatting sqref="A237:XFD237">
    <cfRule type="containsText" dxfId="950" priority="179" operator="containsText" text=" ">
      <formula>NOT(ISERROR(SEARCH(" ",A237)))</formula>
    </cfRule>
  </conditionalFormatting>
  <conditionalFormatting sqref="A238">
    <cfRule type="containsText" dxfId="949" priority="177" operator="containsText" text=" ">
      <formula>NOT(ISERROR(SEARCH(" ",A238)))</formula>
    </cfRule>
  </conditionalFormatting>
  <conditionalFormatting sqref="C238">
    <cfRule type="containsText" dxfId="948" priority="112" operator="containsText" text=" ">
      <formula>NOT(ISERROR(SEARCH(" ",C238)))</formula>
    </cfRule>
  </conditionalFormatting>
  <conditionalFormatting sqref="G254:H254">
    <cfRule type="containsText" dxfId="947" priority="118" operator="containsText" text=" ">
      <formula>NOT(ISERROR(SEARCH(" ",G254)))</formula>
    </cfRule>
  </conditionalFormatting>
  <conditionalFormatting sqref="A260:F260">
    <cfRule type="containsText" dxfId="946" priority="152" operator="containsText" text=" ">
      <formula>NOT(ISERROR(SEARCH(" ",A260)))</formula>
    </cfRule>
  </conditionalFormatting>
  <conditionalFormatting sqref="O270">
    <cfRule type="containsText" dxfId="945" priority="127" operator="containsText" text=" ">
      <formula>NOT(ISERROR(SEARCH(" ",O270)))</formula>
    </cfRule>
  </conditionalFormatting>
  <conditionalFormatting sqref="L272:N272">
    <cfRule type="containsText" dxfId="944" priority="122" operator="containsText" text=" ">
      <formula>NOT(ISERROR(SEARCH(" ",L272)))</formula>
    </cfRule>
  </conditionalFormatting>
  <conditionalFormatting sqref="O272:P272">
    <cfRule type="containsText" dxfId="943" priority="123" operator="containsText" text=" ">
      <formula>NOT(ISERROR(SEARCH(" ",O272)))</formula>
    </cfRule>
  </conditionalFormatting>
  <conditionalFormatting sqref="Q272">
    <cfRule type="containsText" dxfId="942" priority="121" operator="containsText" text=" ">
      <formula>NOT(ISERROR(SEARCH(" ",Q272)))</formula>
    </cfRule>
  </conditionalFormatting>
  <conditionalFormatting sqref="V272">
    <cfRule type="containsText" dxfId="941" priority="125" operator="containsText" text=" ">
      <formula>NOT(ISERROR(SEARCH(" ",V272)))</formula>
    </cfRule>
  </conditionalFormatting>
  <conditionalFormatting sqref="X272">
    <cfRule type="containsText" dxfId="940" priority="124" operator="containsText" text=" ">
      <formula>NOT(ISERROR(SEARCH(" ",X272)))</formula>
    </cfRule>
  </conditionalFormatting>
  <conditionalFormatting sqref="B275">
    <cfRule type="containsText" dxfId="939" priority="119" operator="containsText" text=" ">
      <formula>NOT(ISERROR(SEARCH(" ",B275)))</formula>
    </cfRule>
    <cfRule type="containsText" dxfId="938" priority="120" operator="containsText" text=".">
      <formula>NOT(ISERROR(SEARCH(".",B275)))</formula>
    </cfRule>
  </conditionalFormatting>
  <conditionalFormatting sqref="A278:D278">
    <cfRule type="containsText" dxfId="937" priority="117" operator="containsText" text=" ">
      <formula>NOT(ISERROR(SEARCH(" ",A278)))</formula>
    </cfRule>
  </conditionalFormatting>
  <conditionalFormatting sqref="B278">
    <cfRule type="containsText" dxfId="936" priority="116" operator="containsText" text=".">
      <formula>NOT(ISERROR(SEARCH(".",B278)))</formula>
    </cfRule>
  </conditionalFormatting>
  <conditionalFormatting sqref="B282">
    <cfRule type="containsText" dxfId="935" priority="85" operator="containsText" text=".">
      <formula>NOT(ISERROR(SEARCH(".",B282)))</formula>
    </cfRule>
  </conditionalFormatting>
  <conditionalFormatting sqref="B284">
    <cfRule type="containsText" dxfId="934" priority="115" operator="containsText" text=".">
      <formula>NOT(ISERROR(SEARCH(".",B284)))</formula>
    </cfRule>
  </conditionalFormatting>
  <conditionalFormatting sqref="B293">
    <cfRule type="containsText" dxfId="933" priority="108" operator="containsText" text=" ">
      <formula>NOT(ISERROR(SEARCH(" ",B293)))</formula>
    </cfRule>
    <cfRule type="containsText" dxfId="932" priority="109" operator="containsText" text=".">
      <formula>NOT(ISERROR(SEARCH(".",B293)))</formula>
    </cfRule>
  </conditionalFormatting>
  <conditionalFormatting sqref="B295">
    <cfRule type="containsText" dxfId="931" priority="106" operator="containsText" text=".">
      <formula>NOT(ISERROR(SEARCH(".",B295)))</formula>
    </cfRule>
    <cfRule type="containsText" dxfId="930" priority="107" operator="containsText" text=" ">
      <formula>NOT(ISERROR(SEARCH(" ",B295)))</formula>
    </cfRule>
  </conditionalFormatting>
  <conditionalFormatting sqref="B297">
    <cfRule type="containsText" dxfId="929" priority="104" operator="containsText" text=".">
      <formula>NOT(ISERROR(SEARCH(".",B297)))</formula>
    </cfRule>
    <cfRule type="containsText" dxfId="928" priority="105" operator="containsText" text=" ">
      <formula>NOT(ISERROR(SEARCH(" ",B297)))</formula>
    </cfRule>
  </conditionalFormatting>
  <conditionalFormatting sqref="B300">
    <cfRule type="containsText" dxfId="927" priority="102" operator="containsText" text=".">
      <formula>NOT(ISERROR(SEARCH(".",B300)))</formula>
    </cfRule>
  </conditionalFormatting>
  <conditionalFormatting sqref="A308:D308">
    <cfRule type="containsText" dxfId="926" priority="100" operator="containsText" text=" ">
      <formula>NOT(ISERROR(SEARCH(" ",A308)))</formula>
    </cfRule>
  </conditionalFormatting>
  <conditionalFormatting sqref="B308">
    <cfRule type="containsText" dxfId="925" priority="101" operator="containsText" text=".">
      <formula>NOT(ISERROR(SEARCH(".",B308)))</formula>
    </cfRule>
  </conditionalFormatting>
  <conditionalFormatting sqref="B315">
    <cfRule type="containsText" dxfId="924" priority="96" operator="containsText" text=".">
      <formula>NOT(ISERROR(SEARCH(".",B315)))</formula>
    </cfRule>
    <cfRule type="containsText" dxfId="923" priority="97" operator="containsText" text=" ">
      <formula>NOT(ISERROR(SEARCH(" ",B315)))</formula>
    </cfRule>
  </conditionalFormatting>
  <conditionalFormatting sqref="AD321">
    <cfRule type="containsText" dxfId="922" priority="82" operator="containsText" text=" ">
      <formula>NOT(ISERROR(SEARCH(" ",AD321)))</formula>
    </cfRule>
  </conditionalFormatting>
  <conditionalFormatting sqref="B322">
    <cfRule type="containsText" dxfId="921" priority="92" operator="containsText" text=".">
      <formula>NOT(ISERROR(SEARCH(".",B322)))</formula>
    </cfRule>
    <cfRule type="containsText" dxfId="920" priority="93" operator="containsText" text=" ">
      <formula>NOT(ISERROR(SEARCH(" ",B322)))</formula>
    </cfRule>
  </conditionalFormatting>
  <conditionalFormatting sqref="G322">
    <cfRule type="containsText" dxfId="919" priority="60" operator="containsText" text=".">
      <formula>NOT(ISERROR(SEARCH(".",G322)))</formula>
    </cfRule>
    <cfRule type="containsText" dxfId="918" priority="61" operator="containsText" text=" ">
      <formula>NOT(ISERROR(SEARCH(" ",G322)))</formula>
    </cfRule>
  </conditionalFormatting>
  <conditionalFormatting sqref="Z322:AA322">
    <cfRule type="containsText" dxfId="917" priority="78" operator="containsText" text=" ">
      <formula>NOT(ISERROR(SEARCH(" ",Z322)))</formula>
    </cfRule>
  </conditionalFormatting>
  <conditionalFormatting sqref="AB322:AC322">
    <cfRule type="containsText" dxfId="916" priority="77" operator="containsText" text=" ">
      <formula>NOT(ISERROR(SEARCH(" ",AB322)))</formula>
    </cfRule>
  </conditionalFormatting>
  <conditionalFormatting sqref="AD322:AE322">
    <cfRule type="containsText" dxfId="915" priority="76" operator="containsText" text=" ">
      <formula>NOT(ISERROR(SEARCH(" ",AD322)))</formula>
    </cfRule>
  </conditionalFormatting>
  <conditionalFormatting sqref="B323">
    <cfRule type="containsText" dxfId="914" priority="88" operator="containsText" text=".">
      <formula>NOT(ISERROR(SEARCH(".",B323)))</formula>
    </cfRule>
    <cfRule type="containsText" dxfId="913" priority="89" operator="containsText" text=" ">
      <formula>NOT(ISERROR(SEARCH(" ",B323)))</formula>
    </cfRule>
  </conditionalFormatting>
  <conditionalFormatting sqref="G323">
    <cfRule type="containsText" dxfId="912" priority="58" operator="containsText" text=".">
      <formula>NOT(ISERROR(SEARCH(".",G323)))</formula>
    </cfRule>
    <cfRule type="containsText" dxfId="911" priority="59" operator="containsText" text=" ">
      <formula>NOT(ISERROR(SEARCH(" ",G323)))</formula>
    </cfRule>
  </conditionalFormatting>
  <conditionalFormatting sqref="B324">
    <cfRule type="containsText" dxfId="910" priority="62" operator="containsText" text=" ">
      <formula>NOT(ISERROR(SEARCH(" ",B324)))</formula>
    </cfRule>
    <cfRule type="containsText" dxfId="909" priority="63" operator="containsText" text=".">
      <formula>NOT(ISERROR(SEARCH(".",B324)))</formula>
    </cfRule>
    <cfRule type="containsText" dxfId="908" priority="64" operator="containsText" text=" ">
      <formula>NOT(ISERROR(SEARCH(" ",B324)))</formula>
    </cfRule>
  </conditionalFormatting>
  <conditionalFormatting sqref="G324">
    <cfRule type="containsText" dxfId="907" priority="56" operator="containsText" text=".">
      <formula>NOT(ISERROR(SEARCH(".",G324)))</formula>
    </cfRule>
    <cfRule type="containsText" dxfId="906" priority="57" operator="containsText" text=" ">
      <formula>NOT(ISERROR(SEARCH(" ",G324)))</formula>
    </cfRule>
  </conditionalFormatting>
  <conditionalFormatting sqref="B331">
    <cfRule type="containsText" dxfId="905" priority="50" operator="containsText" text=".">
      <formula>NOT(ISERROR(SEARCH(".",B331)))</formula>
    </cfRule>
    <cfRule type="containsText" dxfId="904" priority="51" operator="containsText" text=" ">
      <formula>NOT(ISERROR(SEARCH(" ",B331)))</formula>
    </cfRule>
  </conditionalFormatting>
  <conditionalFormatting sqref="A335">
    <cfRule type="containsText" dxfId="903" priority="49" operator="containsText" text=" ">
      <formula>NOT(ISERROR(SEARCH(" ",A335)))</formula>
    </cfRule>
  </conditionalFormatting>
  <conditionalFormatting sqref="AH335">
    <cfRule type="containsText" dxfId="902" priority="47" operator="containsText" text=" ">
      <formula>NOT(ISERROR(SEARCH(" ",AH335)))</formula>
    </cfRule>
  </conditionalFormatting>
  <conditionalFormatting sqref="D342">
    <cfRule type="containsText" dxfId="901" priority="23" operator="containsText" text=" ">
      <formula>NOT(ISERROR(SEARCH(" ",D342)))</formula>
    </cfRule>
  </conditionalFormatting>
  <conditionalFormatting sqref="D343">
    <cfRule type="containsText" dxfId="900" priority="20" operator="containsText" text=" ">
      <formula>NOT(ISERROR(SEARCH(" ",D343)))</formula>
    </cfRule>
  </conditionalFormatting>
  <conditionalFormatting sqref="D344">
    <cfRule type="containsText" dxfId="899" priority="21" operator="containsText" text=" ">
      <formula>NOT(ISERROR(SEARCH(" ",D344)))</formula>
    </cfRule>
  </conditionalFormatting>
  <conditionalFormatting sqref="B349">
    <cfRule type="containsText" dxfId="898" priority="17" operator="containsText" text=".">
      <formula>NOT(ISERROR(SEARCH(".",B349)))</formula>
    </cfRule>
  </conditionalFormatting>
  <conditionalFormatting sqref="C349">
    <cfRule type="containsText" dxfId="897" priority="18" operator="containsText" text=" ">
      <formula>NOT(ISERROR(SEARCH(" ",C349)))</formula>
    </cfRule>
  </conditionalFormatting>
  <conditionalFormatting sqref="J355">
    <cfRule type="containsText" dxfId="896" priority="10" operator="containsText" text=".">
      <formula>NOT(ISERROR(SEARCH(".",J355)))</formula>
    </cfRule>
    <cfRule type="containsText" dxfId="895" priority="11" operator="containsText" text=" ">
      <formula>NOT(ISERROR(SEARCH(" ",J355)))</formula>
    </cfRule>
  </conditionalFormatting>
  <conditionalFormatting sqref="A379">
    <cfRule type="duplicateValues" dxfId="894" priority="3"/>
  </conditionalFormatting>
  <conditionalFormatting sqref="A379:XFD379">
    <cfRule type="containsText" dxfId="893" priority="5" operator="containsText" text=" ">
      <formula>NOT(ISERROR(SEARCH(" ",A379)))</formula>
    </cfRule>
  </conditionalFormatting>
  <conditionalFormatting sqref="B379">
    <cfRule type="containsText" dxfId="892" priority="4" operator="containsText" text=".">
      <formula>NOT(ISERROR(SEARCH(".",B379)))</formula>
    </cfRule>
  </conditionalFormatting>
  <conditionalFormatting sqref="A67:A68">
    <cfRule type="containsText" dxfId="891" priority="254" operator="containsText" text=" ">
      <formula>NOT(ISERROR(SEARCH(" ",A67)))</formula>
    </cfRule>
  </conditionalFormatting>
  <conditionalFormatting sqref="A133:A134">
    <cfRule type="containsText" dxfId="890" priority="240" operator="containsText" text=" ">
      <formula>NOT(ISERROR(SEARCH(" ",A133)))</formula>
    </cfRule>
  </conditionalFormatting>
  <conditionalFormatting sqref="A336:A337">
    <cfRule type="containsText" dxfId="889" priority="48" operator="containsText" text=" ">
      <formula>NOT(ISERROR(SEARCH(" ",A336)))</formula>
    </cfRule>
  </conditionalFormatting>
  <conditionalFormatting sqref="B13:B15">
    <cfRule type="containsText" dxfId="888" priority="247" operator="containsText" text=" ">
      <formula>NOT(ISERROR(SEARCH(" ",B13)))</formula>
    </cfRule>
  </conditionalFormatting>
  <conditionalFormatting sqref="B60:B62">
    <cfRule type="containsText" dxfId="887" priority="256" operator="containsText" text=" ">
      <formula>NOT(ISERROR(SEARCH(" ",B60)))</formula>
    </cfRule>
  </conditionalFormatting>
  <conditionalFormatting sqref="B144:B147">
    <cfRule type="containsText" dxfId="886" priority="202" operator="containsText" text=".">
      <formula>NOT(ISERROR(SEARCH(".",B144)))</formula>
    </cfRule>
    <cfRule type="containsText" dxfId="885" priority="203" operator="containsText" text=" ">
      <formula>NOT(ISERROR(SEARCH(" ",B144)))</formula>
    </cfRule>
  </conditionalFormatting>
  <conditionalFormatting sqref="B149:B150">
    <cfRule type="containsText" dxfId="884" priority="204" operator="containsText" text=".">
      <formula>NOT(ISERROR(SEARCH(".",B149)))</formula>
    </cfRule>
    <cfRule type="containsText" dxfId="883" priority="205" operator="containsText" text=" ">
      <formula>NOT(ISERROR(SEARCH(" ",B149)))</formula>
    </cfRule>
  </conditionalFormatting>
  <conditionalFormatting sqref="B204:B205">
    <cfRule type="containsText" dxfId="882" priority="196" operator="containsText" text=".">
      <formula>NOT(ISERROR(SEARCH(".",B204)))</formula>
    </cfRule>
    <cfRule type="containsText" dxfId="881" priority="197" operator="containsText" text=" ">
      <formula>NOT(ISERROR(SEARCH(" ",B204)))</formula>
    </cfRule>
  </conditionalFormatting>
  <conditionalFormatting sqref="B289:B290">
    <cfRule type="containsText" dxfId="880" priority="110" operator="containsText" text=" ">
      <formula>NOT(ISERROR(SEARCH(" ",B289)))</formula>
    </cfRule>
    <cfRule type="containsText" dxfId="879" priority="111" operator="containsText" text=".">
      <formula>NOT(ISERROR(SEARCH(".",B289)))</formula>
    </cfRule>
  </conditionalFormatting>
  <conditionalFormatting sqref="B309:B314">
    <cfRule type="containsText" dxfId="878" priority="98" operator="containsText" text=".">
      <formula>NOT(ISERROR(SEARCH(".",B309)))</formula>
    </cfRule>
  </conditionalFormatting>
  <conditionalFormatting sqref="B399:B402">
    <cfRule type="containsText" dxfId="877" priority="1" operator="containsText" text=".">
      <formula>NOT(ISERROR(SEARCH(".",B399)))</formula>
    </cfRule>
    <cfRule type="containsText" dxfId="876" priority="2" operator="containsText" text=" ">
      <formula>NOT(ISERROR(SEARCH(" ",B399)))</formula>
    </cfRule>
  </conditionalFormatting>
  <conditionalFormatting sqref="C14:C15">
    <cfRule type="containsText" dxfId="875" priority="113" operator="containsText" text=" ">
      <formula>NOT(ISERROR(SEARCH(" ",C14)))</formula>
    </cfRule>
  </conditionalFormatting>
  <conditionalFormatting sqref="C132:C154">
    <cfRule type="containsText" dxfId="874" priority="140" operator="containsText" text=" ">
      <formula>NOT(ISERROR(SEARCH(" ",C132)))</formula>
    </cfRule>
  </conditionalFormatting>
  <conditionalFormatting sqref="C167:C170">
    <cfRule type="containsText" dxfId="873" priority="139" operator="containsText" text=" ">
      <formula>NOT(ISERROR(SEARCH(" ",C167)))</formula>
    </cfRule>
  </conditionalFormatting>
  <conditionalFormatting sqref="C180:C187">
    <cfRule type="containsText" dxfId="872" priority="138" operator="containsText" text=" ">
      <formula>NOT(ISERROR(SEARCH(" ",C180)))</formula>
    </cfRule>
  </conditionalFormatting>
  <conditionalFormatting sqref="C190:C191">
    <cfRule type="containsText" dxfId="871" priority="137" operator="containsText" text=" ">
      <formula>NOT(ISERROR(SEARCH(" ",C190)))</formula>
    </cfRule>
  </conditionalFormatting>
  <conditionalFormatting sqref="C204:C205">
    <cfRule type="containsText" dxfId="870" priority="136" operator="containsText" text=" ">
      <formula>NOT(ISERROR(SEARCH(" ",C204)))</formula>
    </cfRule>
  </conditionalFormatting>
  <conditionalFormatting sqref="C225:C236">
    <cfRule type="containsText" dxfId="869" priority="135" operator="containsText" text=" ">
      <formula>NOT(ISERROR(SEARCH(" ",C225)))</formula>
    </cfRule>
  </conditionalFormatting>
  <conditionalFormatting sqref="D122:D123">
    <cfRule type="containsText" dxfId="868" priority="225" operator="containsText" text=" ">
      <formula>NOT(ISERROR(SEARCH(" ",D122)))</formula>
    </cfRule>
  </conditionalFormatting>
  <conditionalFormatting sqref="E97:E122">
    <cfRule type="containsText" dxfId="867" priority="141" operator="containsText" text=" ">
      <formula>NOT(ISERROR(SEARCH(" ",E97)))</formula>
    </cfRule>
  </conditionalFormatting>
  <conditionalFormatting sqref="E124:E129">
    <cfRule type="containsText" dxfId="866" priority="143" operator="containsText" text=" ">
      <formula>NOT(ISERROR(SEARCH(" ",E124)))</formula>
    </cfRule>
  </conditionalFormatting>
  <conditionalFormatting sqref="E133:E154">
    <cfRule type="containsText" dxfId="865" priority="149" operator="containsText" text=" ">
      <formula>NOT(ISERROR(SEARCH(" ",E133)))</formula>
    </cfRule>
  </conditionalFormatting>
  <conditionalFormatting sqref="E167:E170">
    <cfRule type="containsText" dxfId="864" priority="148" operator="containsText" text=" ">
      <formula>NOT(ISERROR(SEARCH(" ",E167)))</formula>
    </cfRule>
  </conditionalFormatting>
  <conditionalFormatting sqref="E180:E187">
    <cfRule type="containsText" dxfId="863" priority="147" operator="containsText" text=" ">
      <formula>NOT(ISERROR(SEARCH(" ",E180)))</formula>
    </cfRule>
  </conditionalFormatting>
  <conditionalFormatting sqref="E204:E205">
    <cfRule type="containsText" dxfId="862" priority="144" operator="containsText" text=" ">
      <formula>NOT(ISERROR(SEARCH(" ",E204)))</formula>
    </cfRule>
  </conditionalFormatting>
  <conditionalFormatting sqref="F376:F377">
    <cfRule type="containsText" dxfId="861" priority="7" operator="containsText" text=".">
      <formula>NOT(ISERROR(SEARCH(".",F376)))</formula>
    </cfRule>
  </conditionalFormatting>
  <conditionalFormatting sqref="K351:K353">
    <cfRule type="containsText" dxfId="860" priority="13" operator="containsText" text=" ">
      <formula>NOT(ISERROR(SEARCH(" ",K351)))</formula>
    </cfRule>
  </conditionalFormatting>
  <conditionalFormatting sqref="P323:P324">
    <cfRule type="containsText" dxfId="859" priority="75" operator="containsText" text=" ">
      <formula>NOT(ISERROR(SEARCH(" ",P323)))</formula>
    </cfRule>
  </conditionalFormatting>
  <conditionalFormatting sqref="Q323:Q324">
    <cfRule type="containsText" dxfId="858" priority="70" operator="containsText" text=" ">
      <formula>NOT(ISERROR(SEARCH(" ",Q323)))</formula>
    </cfRule>
  </conditionalFormatting>
  <conditionalFormatting sqref="R323:R324">
    <cfRule type="containsText" dxfId="857" priority="74" operator="containsText" text=" ">
      <formula>NOT(ISERROR(SEARCH(" ",R323)))</formula>
    </cfRule>
  </conditionalFormatting>
  <conditionalFormatting sqref="S323:S324">
    <cfRule type="containsText" dxfId="856" priority="69" operator="containsText" text=" ">
      <formula>NOT(ISERROR(SEARCH(" ",S323)))</formula>
    </cfRule>
  </conditionalFormatting>
  <conditionalFormatting sqref="Z323:Z324">
    <cfRule type="containsText" dxfId="855" priority="73" operator="containsText" text=" ">
      <formula>NOT(ISERROR(SEARCH(" ",Z323)))</formula>
    </cfRule>
  </conditionalFormatting>
  <conditionalFormatting sqref="AA323:AA324">
    <cfRule type="containsText" dxfId="854" priority="68" operator="containsText" text=" ">
      <formula>NOT(ISERROR(SEARCH(" ",AA323)))</formula>
    </cfRule>
  </conditionalFormatting>
  <conditionalFormatting sqref="AB323:AB324">
    <cfRule type="containsText" dxfId="853" priority="72" operator="containsText" text=" ">
      <formula>NOT(ISERROR(SEARCH(" ",AB323)))</formula>
    </cfRule>
  </conditionalFormatting>
  <conditionalFormatting sqref="AC323:AC324">
    <cfRule type="containsText" dxfId="852" priority="67" operator="containsText" text=" ">
      <formula>NOT(ISERROR(SEARCH(" ",AC323)))</formula>
    </cfRule>
  </conditionalFormatting>
  <conditionalFormatting sqref="AD323:AD324">
    <cfRule type="containsText" dxfId="851" priority="71" operator="containsText" text=" ">
      <formula>NOT(ISERROR(SEARCH(" ",AD323)))</formula>
    </cfRule>
  </conditionalFormatting>
  <conditionalFormatting sqref="AE323:AE324">
    <cfRule type="containsText" dxfId="850" priority="66" operator="containsText" text=" ">
      <formula>NOT(ISERROR(SEARCH(" ",AE323)))</formula>
    </cfRule>
  </conditionalFormatting>
  <conditionalFormatting sqref="A1:A378 A380:A1048576">
    <cfRule type="duplicateValues" dxfId="849" priority="6"/>
  </conditionalFormatting>
  <conditionalFormatting sqref="D55 A1:XFD9 A11:XFD12 A10:D10 F10:XFD10">
    <cfRule type="containsText" dxfId="848" priority="157" operator="containsText" text=" ">
      <formula>NOT(ISERROR(SEARCH(" ",A1)))</formula>
    </cfRule>
  </conditionalFormatting>
  <conditionalFormatting sqref="B186:B187 B1:B20 B27:B38 B22:B25">
    <cfRule type="containsText" dxfId="847" priority="218" operator="containsText" text=".">
      <formula>NOT(ISERROR(SEARCH(".",B1)))</formula>
    </cfRule>
  </conditionalFormatting>
  <conditionalFormatting sqref="C13 L304:XFD304 K305 F295:XFD297 A302:XFD303 G301:XFD301 C299:XFD300 A299:A301 C304:J304 A304:A305">
    <cfRule type="containsText" dxfId="846" priority="114" operator="containsText" text=" ">
      <formula>NOT(ISERROR(SEARCH(" ",A13)))</formula>
    </cfRule>
  </conditionalFormatting>
  <conditionalFormatting sqref="A51 C51:XFD51 A56:XFD57 I89:XFD90 A89:G90 C91:XFD93 A91:A93 L14:XFD14 A13:A16 D13:XFD13 A38:C38 E38:XFD38 F120:XFD120 O29:XFD37 A60:A65 C60:XFD62 J63:XFD65 B63:H65 D121 A136 A125:B127 A130:H131 I128:XFD136 D151 A95:XFD96 E123:I123 A138:A151 A112 A72:XFD88 E52:XFD52 A113:B118 I138:XFD150 D138:D149 D136 K21:K24 M21:N24 K16:N18 Q26:XFD28 O16:XFD19 D98:D100 D103:D108 A59:XFD59 A58:D58 F58:XFD58 A27:J37 A26 C26:J26 F151:XFD151 F125:XFD127 A129:B129 F129:H129 A132:B132 F132:H132 A97:D97 F97:XFD109 F121:I122 D129 D125:D127 C112:C129 D132 D69 A69:B71 D70:XFD71 B66:XFD68 D14:J15 Q15:XFD15 A17:J20 A22:J25 L19:L24 O20:P25 Q22:Q23 R22:XFD25 Q20:XFD20 A46:XFD46 A50:XFD50 A47:C49 E47:XFD49">
    <cfRule type="containsText" dxfId="845" priority="258" operator="containsText" text=" ">
      <formula>NOT(ISERROR(SEARCH(" ",A13)))</formula>
    </cfRule>
  </conditionalFormatting>
  <conditionalFormatting sqref="C71 C16:E16 K15:P15 G16:J16">
    <cfRule type="containsText" dxfId="844" priority="131" operator="containsText" text=" ">
      <formula>NOT(ISERROR(SEARCH(" ",C15)))</formula>
    </cfRule>
  </conditionalFormatting>
  <conditionalFormatting sqref="B16 A153:B153 A152 A188:XFD189 A203:A205 K207 K209 K211 K213 K215 K217 N205:XFD205 O204:XFD204 M205:M217 N206:N217 A155:XFD166 F152:XFD154 A167:B169 F167:XFD169 A192:XFD202 A190:B191 F190:XFD191 D152:D153 D167:D169 D190:D191">
    <cfRule type="containsText" dxfId="843" priority="243" operator="containsText" text=" ">
      <formula>NOT(ISERROR(SEARCH(" ",A16)))</formula>
    </cfRule>
  </conditionalFormatting>
  <conditionalFormatting sqref="D38 F133:H136 D150 M121:XFD124 H120:L127 D124 F138:H150 F124:I124 M19:N20 K19:K20">
    <cfRule type="containsText" dxfId="842" priority="246" operator="containsText" text=" ">
      <formula>NOT(ISERROR(SEARCH(" ",D19)))</formula>
    </cfRule>
  </conditionalFormatting>
  <conditionalFormatting sqref="Q21:XFD21 A21:J21">
    <cfRule type="containsText" dxfId="841" priority="55" operator="containsText" text=" ">
      <formula>NOT(ISERROR(SEARCH(" ",A21)))</formula>
    </cfRule>
  </conditionalFormatting>
  <conditionalFormatting sqref="B21 B332:B334 B338">
    <cfRule type="containsText" dxfId="840" priority="53" operator="containsText" text=".">
      <formula>NOT(ISERROR(SEARCH(".",B21)))</formula>
    </cfRule>
  </conditionalFormatting>
  <conditionalFormatting sqref="L25 A98:C111 D110:D119 F110:XFD119">
    <cfRule type="containsText" dxfId="839" priority="154" operator="containsText" text=" ">
      <formula>NOT(ISERROR(SEARCH(" ",A25)))</formula>
    </cfRule>
  </conditionalFormatting>
  <conditionalFormatting sqref="K25 M25:N25 G260:XFD260 A271:A272 R272:U272 Y270:XFD272 E274:J274 A275 C275:J275 A257:XFD259 A307:XFD307 E308:E315 E317:E366 A355:D366 L351:XFD356 D245:XFD245 A316:A326 B317 A306 B321:B322 C306:XFD306 C305:J305 L305:XFD305 A284:XFD288 F289:XFD294 A246:XFD253 A245:B245 F324 B325:D326 C323:D324 F327:XFD332 F326:J326 L326:XFD326 D337 AI335:XFD339 AH340:XFD340 F333:F340 AH333:XFD334 A339:B341 D339:D341 B343:C344 B345:D346 C327:C342 A347:D348 F341:H366 I357:XFD366 C354:D354 I341:XFD350 A354 E374:XFD378 A367:XFD373 A376:D378 A380:XFD398 A399:A402 C399:XFD402 A403:XFD1048576">
    <cfRule type="containsText" dxfId="838" priority="156" operator="containsText" text=" ">
      <formula>NOT(ISERROR(SEARCH(" ",A25)))</formula>
    </cfRule>
  </conditionalFormatting>
  <conditionalFormatting sqref="B53 A39:D39 A41:D45">
    <cfRule type="containsText" dxfId="837" priority="248" operator="containsText" text=" ">
      <formula>NOT(ISERROR(SEARCH(" ",A39)))</formula>
    </cfRule>
  </conditionalFormatting>
  <conditionalFormatting sqref="B154 B39 B41:B45">
    <cfRule type="containsText" dxfId="836" priority="230" operator="containsText" text=".">
      <formula>NOT(ISERROR(SEARCH(".",B39)))</formula>
    </cfRule>
  </conditionalFormatting>
  <conditionalFormatting sqref="E39:XFD39 E41:XFD45 E40:K40 M40:XFD40">
    <cfRule type="containsText" dxfId="835" priority="195" operator="containsText" text=" ">
      <formula>NOT(ISERROR(SEARCH(" ",E39)))</formula>
    </cfRule>
  </conditionalFormatting>
  <conditionalFormatting sqref="A40 K69:XFD69 E69:I69">
    <cfRule type="containsText" dxfId="834" priority="164" operator="containsText" text=" ">
      <formula>NOT(ISERROR(SEARCH(" ",A40)))</formula>
    </cfRule>
  </conditionalFormatting>
  <conditionalFormatting sqref="B153 B53 B113:B132 B188:B202 B155:B169 B46:B51">
    <cfRule type="containsText" dxfId="833" priority="235" operator="containsText" text=".">
      <formula>NOT(ISERROR(SEARCH(".",B46)))</formula>
    </cfRule>
  </conditionalFormatting>
  <conditionalFormatting sqref="B51 F203:XFD203 B203:D203">
    <cfRule type="containsText" dxfId="832" priority="257" operator="containsText" text=" ">
      <formula>NOT(ISERROR(SEARCH(" ",B51)))</formula>
    </cfRule>
  </conditionalFormatting>
  <conditionalFormatting sqref="A52 C52:D52">
    <cfRule type="containsText" dxfId="831" priority="217" operator="containsText" text=" ">
      <formula>NOT(ISERROR(SEARCH(" ",A52)))</formula>
    </cfRule>
  </conditionalFormatting>
  <conditionalFormatting sqref="A53 C53:XFD53">
    <cfRule type="containsText" dxfId="830" priority="249" operator="containsText" text=" ">
      <formula>NOT(ISERROR(SEARCH(" ",A53)))</formula>
    </cfRule>
  </conditionalFormatting>
  <conditionalFormatting sqref="A54 C54:XFD54">
    <cfRule type="containsText" dxfId="829" priority="163" operator="containsText" text=" ">
      <formula>NOT(ISERROR(SEARCH(" ",A54)))</formula>
    </cfRule>
  </conditionalFormatting>
  <conditionalFormatting sqref="A55 C55 E55:XFD55">
    <cfRule type="containsText" dxfId="828" priority="160" operator="containsText" text=" ">
      <formula>NOT(ISERROR(SEARCH(" ",A55)))</formula>
    </cfRule>
  </conditionalFormatting>
  <conditionalFormatting sqref="B260 B56:B111">
    <cfRule type="containsText" dxfId="827" priority="153" operator="containsText" text=".">
      <formula>NOT(ISERROR(SEARCH(".",B56)))</formula>
    </cfRule>
  </conditionalFormatting>
  <conditionalFormatting sqref="A66 A170:B170 F170:XFD170 F180:XFD185 D170 A180:B185 D180:D185">
    <cfRule type="containsText" dxfId="826" priority="255" operator="containsText" text=" ">
      <formula>NOT(ISERROR(SEARCH(" ",A66)))</formula>
    </cfRule>
  </conditionalFormatting>
  <conditionalFormatting sqref="J68 B276:B277 B254:B256 B279:B281 B285:B288 B299 B302:B303 B307 B317 B321:B322 B325:B326 B283 B339:B341 B343:B348 B355:B373 B376:B378 B380:B398 B403:B1048576">
    <cfRule type="containsText" dxfId="825" priority="128" operator="containsText" text=".">
      <formula>NOT(ISERROR(SEARCH(".",B68)))</formula>
    </cfRule>
  </conditionalFormatting>
  <conditionalFormatting sqref="C69 L269:L270 K271:R271 R270 O269:R269 T271:W271 V269:V270 A261:XFD264 A265:J269 K267:X268 X270:X271 Y265:XFD269 W269:X269 C271:D272 E270:J273 A273:D274">
    <cfRule type="containsText" dxfId="824" priority="134" operator="containsText" text=" ">
      <formula>NOT(ISERROR(SEARCH(" ",A69)))</formula>
    </cfRule>
  </conditionalFormatting>
  <conditionalFormatting sqref="C70 A276:J277 A255:J256 L273:XFD281 L254:XFD256 A254:F254 I254:J254 E278:J278 A279:J281 A283:J283 L283:XFD283">
    <cfRule type="containsText" dxfId="823" priority="132" operator="containsText" text=" ">
      <formula>NOT(ISERROR(SEARCH(" ",A70)))</formula>
    </cfRule>
  </conditionalFormatting>
  <conditionalFormatting sqref="B91 B93">
    <cfRule type="containsText" dxfId="822" priority="253" operator="containsText" text=" ">
      <formula>NOT(ISERROR(SEARCH(" ",B91)))</formula>
    </cfRule>
  </conditionalFormatting>
  <conditionalFormatting sqref="B92 C301:F301 C298:XFD298 B299:B300 A298">
    <cfRule type="containsText" dxfId="821" priority="252" operator="containsText" text=" ">
      <formula>NOT(ISERROR(SEARCH(" ",A92)))</formula>
    </cfRule>
  </conditionalFormatting>
  <conditionalFormatting sqref="B94 A239:XFD243 A244:B244 D244:XFD244 C245">
    <cfRule type="containsText" dxfId="820" priority="250" operator="containsText" text=" ">
      <formula>NOT(ISERROR(SEARCH(" ",A94)))</formula>
    </cfRule>
  </conditionalFormatting>
  <conditionalFormatting sqref="C94:XFD94 A94">
    <cfRule type="containsText" dxfId="819" priority="251" operator="containsText" text=" ">
      <formula>NOT(ISERROR(SEARCH(" ",A94)))</formula>
    </cfRule>
  </conditionalFormatting>
  <conditionalFormatting sqref="D101 F308:XFD310 M320 P322:S322 F316:XFD319 F311:U315 X311:XFD315 P320:U320 AA320:AF320 AF322:AF324 N321 P321 R321 T321 V321 X321 Z321 AB321 AH320:XFD320 T322:Y324 AJ321:XFD324 F320:G321 F322:F323">
    <cfRule type="containsText" dxfId="818" priority="245" operator="containsText" text=" ">
      <formula>NOT(ISERROR(SEARCH(" ",D101)))</formula>
    </cfRule>
  </conditionalFormatting>
  <conditionalFormatting sqref="A119:B121 B122:B123">
    <cfRule type="containsText" dxfId="817" priority="244" operator="containsText" text=" ">
      <formula>NOT(ISERROR(SEARCH(" ",A119)))</formula>
    </cfRule>
  </conditionalFormatting>
  <conditionalFormatting sqref="A122 L321 L322:O324 H321:H324 F325:J325 L325:XFD325 K326">
    <cfRule type="containsText" dxfId="816" priority="224" operator="containsText" text=" ">
      <formula>NOT(ISERROR(SEARCH(" ",A122)))</formula>
    </cfRule>
  </conditionalFormatting>
  <conditionalFormatting sqref="A123 A332:B334 A338:B338 D338 D332:D334">
    <cfRule type="containsText" dxfId="815" priority="222" operator="containsText" text=" ">
      <formula>NOT(ISERROR(SEARCH(" ",A123)))</formula>
    </cfRule>
  </conditionalFormatting>
  <conditionalFormatting sqref="A124:B124 A350:D352">
    <cfRule type="containsText" dxfId="814" priority="241" operator="containsText" text=" ">
      <formula>NOT(ISERROR(SEARCH(" ",A124)))</formula>
    </cfRule>
  </conditionalFormatting>
  <conditionalFormatting sqref="A128 A171:XFD179">
    <cfRule type="containsText" dxfId="813" priority="237" operator="containsText" text=" ">
      <formula>NOT(ISERROR(SEARCH(" ",A128)))</formula>
    </cfRule>
  </conditionalFormatting>
  <conditionalFormatting sqref="B140:B143 B151:B152 B148 B133:B136">
    <cfRule type="containsText" dxfId="812" priority="208" operator="containsText" text=".">
      <formula>NOT(ISERROR(SEARCH(".",B133)))</formula>
    </cfRule>
  </conditionalFormatting>
  <conditionalFormatting sqref="B136 B140:B143 B148">
    <cfRule type="containsText" dxfId="811" priority="211" operator="containsText" text=" ">
      <formula>NOT(ISERROR(SEARCH(" ",B136)))</formula>
    </cfRule>
  </conditionalFormatting>
  <conditionalFormatting sqref="A137 I137:XFD137 D137">
    <cfRule type="containsText" dxfId="810" priority="214" operator="containsText" text=" ">
      <formula>NOT(ISERROR(SEARCH(" ",A137)))</formula>
    </cfRule>
  </conditionalFormatting>
  <conditionalFormatting sqref="L257 B170:B185">
    <cfRule type="containsText" dxfId="809" priority="130" operator="containsText" text=".">
      <formula>NOT(ISERROR(SEARCH(".",B170)))</formula>
    </cfRule>
  </conditionalFormatting>
  <conditionalFormatting sqref="A186:B187 F186:XFD187 D186:D187">
    <cfRule type="containsText" dxfId="808" priority="219" operator="containsText" text=" ">
      <formula>NOT(ISERROR(SEARCH(" ",A186)))</formula>
    </cfRule>
  </conditionalFormatting>
  <conditionalFormatting sqref="L205:L217 L204:M204 K204:K205 O206:XFD217 A215 E218:XFD218 D215 E215:H217 A206:H214 F226:XFD234 B238 A230:B230 E226:E236 D204:D205 F204:H205 A225:B227 D225:XFD225 D230:D231 D227 A219:XFD224 D238:XFD238">
    <cfRule type="containsText" dxfId="807" priority="194" operator="containsText" text=" ">
      <formula>NOT(ISERROR(SEARCH(" ",A204)))</formula>
    </cfRule>
  </conditionalFormatting>
  <conditionalFormatting sqref="B219:B227 B206:B214 B230">
    <cfRule type="containsText" dxfId="806" priority="193" operator="containsText" text=".">
      <formula>NOT(ISERROR(SEARCH(".",B206)))</formula>
    </cfRule>
  </conditionalFormatting>
  <conditionalFormatting sqref="K206 K208 K210 K212 K214 K216">
    <cfRule type="containsText" dxfId="805" priority="192" operator="containsText" text=" ">
      <formula>NOT(ISERROR(SEARCH(" ",K206)))</formula>
    </cfRule>
  </conditionalFormatting>
  <conditionalFormatting sqref="F235:XFD236">
    <cfRule type="containsText" dxfId="804" priority="174" operator="containsText" text=" ">
      <formula>NOT(ISERROR(SEARCH(" ",F235)))</formula>
    </cfRule>
  </conditionalFormatting>
  <conditionalFormatting sqref="B261:B269 B273:B274 B257:B259 B237:B253">
    <cfRule type="containsText" dxfId="803" priority="178" operator="containsText" text=".">
      <formula>NOT(ISERROR(SEARCH(".",B237)))</formula>
    </cfRule>
  </conditionalFormatting>
  <conditionalFormatting sqref="B257 B350:B352">
    <cfRule type="containsText" dxfId="802" priority="129" operator="containsText" text=".">
      <formula>NOT(ISERROR(SEARCH(".",B257)))</formula>
    </cfRule>
  </conditionalFormatting>
  <conditionalFormatting sqref="L282:XFD282 A282:J282">
    <cfRule type="containsText" dxfId="801" priority="86" operator="containsText" text=" ">
      <formula>NOT(ISERROR(SEARCH(" ",A282)))</formula>
    </cfRule>
  </conditionalFormatting>
  <conditionalFormatting sqref="A309:C309 D309:D312 A315 D314:D315 A310:B314 C310:C322">
    <cfRule type="containsText" dxfId="800" priority="99" operator="containsText" text=" ">
      <formula>NOT(ISERROR(SEARCH(" ",A309)))</formula>
    </cfRule>
  </conditionalFormatting>
  <conditionalFormatting sqref="D317:D319 D321:D322">
    <cfRule type="containsText" dxfId="799" priority="87" operator="containsText" text=" ">
      <formula>NOT(ISERROR(SEARCH(" ",D317)))</formula>
    </cfRule>
  </conditionalFormatting>
  <conditionalFormatting sqref="J321 J322:K324">
    <cfRule type="containsText" dxfId="798" priority="65" operator="containsText" text=" ">
      <formula>NOT(ISERROR(SEARCH(" ",J321)))</formula>
    </cfRule>
  </conditionalFormatting>
  <conditionalFormatting sqref="A331 D331">
    <cfRule type="containsText" dxfId="797" priority="52" operator="containsText" text=" ">
      <formula>NOT(ISERROR(SEARCH(" ",A331)))</formula>
    </cfRule>
  </conditionalFormatting>
  <conditionalFormatting sqref="G333:AG340">
    <cfRule type="containsText" dxfId="796" priority="24" operator="containsText" text=" ">
      <formula>NOT(ISERROR(SEARCH(" ",G333)))</formula>
    </cfRule>
  </conditionalFormatting>
  <conditionalFormatting sqref="A349:B349 D349">
    <cfRule type="containsText" dxfId="795" priority="19" operator="containsText" text=" ">
      <formula>NOT(ISERROR(SEARCH(" ",A349)))</formula>
    </cfRule>
  </conditionalFormatting>
  <conditionalFormatting sqref="I351:J354 I356:J356 K354:K356">
    <cfRule type="containsText" dxfId="794" priority="12" operator="containsText" text=" ">
      <formula>NOT(ISERROR(SEARCH(" ",I351)))</formula>
    </cfRule>
  </conditionalFormatting>
  <conditionalFormatting sqref="A374 C374:D374">
    <cfRule type="containsText" dxfId="793" priority="9" operator="containsText" text=" ">
      <formula>NOT(ISERROR(SEARCH(" ",A374)))</formula>
    </cfRule>
  </conditionalFormatting>
  <conditionalFormatting sqref="A375 C375:D375">
    <cfRule type="containsText" dxfId="792" priority="8" operator="containsText" text=" ">
      <formula>NOT(ISERROR(SEARCH(" ",A375)))</formula>
    </cfRule>
  </conditionalFormatting>
  <pageMargins left="0.69930555555555596" right="0.69930555555555596" top="0.75" bottom="0.75" header="0.3" footer="0.3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CQ32"/>
  <sheetViews>
    <sheetView zoomScale="90" zoomScaleNormal="90" workbookViewId="0">
      <pane xSplit="4" ySplit="4" topLeftCell="R5" activePane="bottomRight" state="frozen"/>
      <selection pane="topRight"/>
      <selection pane="bottomLeft"/>
      <selection pane="bottomRight" activeCell="W10" sqref="W10"/>
    </sheetView>
  </sheetViews>
  <sheetFormatPr defaultColWidth="9" defaultRowHeight="15.6" x14ac:dyDescent="0.25"/>
  <cols>
    <col min="1" max="1" width="8" style="2" customWidth="1"/>
    <col min="2" max="2" width="12.21875" style="2" customWidth="1"/>
    <col min="3" max="3" width="29.77734375" style="2" customWidth="1"/>
    <col min="4" max="4" width="12.21875" style="2" customWidth="1"/>
    <col min="5" max="5" width="16.77734375" style="2" customWidth="1"/>
    <col min="6" max="6" width="16.77734375" style="13" customWidth="1"/>
    <col min="7" max="7" width="14.77734375" style="13" customWidth="1"/>
    <col min="8" max="8" width="13.44140625" style="13" customWidth="1"/>
    <col min="9" max="13" width="8.77734375" style="13" customWidth="1"/>
    <col min="14" max="14" width="20" style="2" customWidth="1"/>
    <col min="15" max="16" width="15.77734375" style="2" customWidth="1"/>
    <col min="17" max="17" width="26.33203125" style="2" customWidth="1"/>
    <col min="18" max="18" width="33.109375" style="2" customWidth="1"/>
    <col min="19" max="19" width="53.109375" style="2" customWidth="1"/>
    <col min="20" max="22" width="16.88671875" style="2" customWidth="1"/>
    <col min="23" max="23" width="12.21875" style="2" customWidth="1"/>
    <col min="24" max="24" width="16.33203125" style="72" customWidth="1"/>
    <col min="25" max="25" width="18.6640625" style="2" customWidth="1"/>
    <col min="26" max="26" width="20.33203125" style="2" customWidth="1"/>
    <col min="27" max="27" width="9.77734375" style="2" customWidth="1"/>
    <col min="28" max="28" width="11.21875" style="2" customWidth="1"/>
    <col min="29" max="29" width="16.77734375" style="2" customWidth="1"/>
    <col min="30" max="30" width="11.21875" style="2" customWidth="1"/>
    <col min="31" max="31" width="72.44140625" style="2" customWidth="1"/>
    <col min="32" max="39" width="14.44140625" style="2" customWidth="1"/>
    <col min="40" max="40" width="12.33203125" style="2" customWidth="1"/>
    <col min="41" max="41" width="9.44140625" style="2" customWidth="1"/>
    <col min="42" max="42" width="13.109375" style="2" customWidth="1"/>
    <col min="43" max="43" width="10.44140625" style="2" customWidth="1"/>
    <col min="44" max="44" width="12.6640625" style="2" customWidth="1"/>
    <col min="45" max="45" width="10.44140625" style="2" customWidth="1"/>
    <col min="46" max="46" width="12.6640625" style="2" customWidth="1"/>
    <col min="47" max="47" width="10.44140625" style="2" customWidth="1"/>
    <col min="48" max="48" width="12.6640625" style="2" customWidth="1"/>
    <col min="49" max="49" width="10.44140625" style="2" customWidth="1"/>
    <col min="50" max="53" width="12.6640625" style="2" customWidth="1"/>
    <col min="54" max="54" width="16.21875" style="2" customWidth="1"/>
    <col min="55" max="55" width="15.6640625" style="2" customWidth="1"/>
    <col min="56" max="56" width="24" style="2" customWidth="1"/>
    <col min="57" max="57" width="31.109375" style="2" customWidth="1"/>
    <col min="58" max="58" width="24" style="2" customWidth="1"/>
    <col min="59" max="59" width="17.21875" style="2" customWidth="1"/>
    <col min="60" max="61" width="13.44140625" style="2" customWidth="1"/>
    <col min="62" max="62" width="17.21875" style="2" customWidth="1"/>
    <col min="63" max="64" width="13.44140625" style="2" customWidth="1"/>
    <col min="65" max="65" width="17.44140625" style="2" customWidth="1"/>
    <col min="66" max="68" width="20.44140625" style="2" customWidth="1"/>
    <col min="69" max="69" width="13.44140625" style="2" customWidth="1"/>
    <col min="70" max="70" width="12.6640625" style="2" customWidth="1"/>
    <col min="71" max="71" width="11.44140625" style="2" customWidth="1"/>
    <col min="72" max="73" width="9" style="2"/>
    <col min="80" max="16384" width="9" style="2"/>
  </cols>
  <sheetData>
    <row r="1" spans="1:95" x14ac:dyDescent="0.35">
      <c r="A1" s="3" t="s">
        <v>0</v>
      </c>
      <c r="B1" s="3" t="s">
        <v>0</v>
      </c>
      <c r="C1" s="3" t="s">
        <v>1290</v>
      </c>
      <c r="D1" s="73" t="s">
        <v>1290</v>
      </c>
      <c r="E1" s="3" t="s">
        <v>1290</v>
      </c>
      <c r="F1" s="74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1290</v>
      </c>
      <c r="O1" s="3" t="s">
        <v>1</v>
      </c>
      <c r="P1" s="3" t="s">
        <v>0</v>
      </c>
      <c r="Q1" s="3" t="s">
        <v>0</v>
      </c>
      <c r="R1" s="3" t="s">
        <v>0</v>
      </c>
      <c r="S1" s="3" t="s">
        <v>1</v>
      </c>
      <c r="T1" s="3" t="s">
        <v>1</v>
      </c>
      <c r="U1" s="3" t="s">
        <v>0</v>
      </c>
      <c r="V1" s="3" t="s">
        <v>0</v>
      </c>
      <c r="W1" s="82" t="s">
        <v>0</v>
      </c>
      <c r="X1" s="83" t="s">
        <v>0</v>
      </c>
      <c r="Y1" s="82" t="s">
        <v>0</v>
      </c>
      <c r="Z1" s="82" t="s">
        <v>0</v>
      </c>
      <c r="AA1" s="89" t="s">
        <v>0</v>
      </c>
      <c r="AB1" s="82" t="s">
        <v>0</v>
      </c>
      <c r="AC1" s="89" t="s">
        <v>0</v>
      </c>
      <c r="AD1" s="82" t="s">
        <v>0</v>
      </c>
      <c r="AE1" s="89" t="s">
        <v>1</v>
      </c>
      <c r="AF1" s="89" t="s">
        <v>0</v>
      </c>
      <c r="AG1" s="89" t="s">
        <v>0</v>
      </c>
      <c r="AH1" s="94" t="s">
        <v>0</v>
      </c>
      <c r="AI1" s="89" t="s">
        <v>0</v>
      </c>
      <c r="AJ1" s="89" t="s">
        <v>0</v>
      </c>
      <c r="AK1" s="89" t="s">
        <v>0</v>
      </c>
      <c r="AL1" s="37" t="s">
        <v>0</v>
      </c>
      <c r="AM1" s="37" t="s">
        <v>0</v>
      </c>
      <c r="AN1" s="95" t="s">
        <v>0</v>
      </c>
      <c r="AO1" s="95" t="s">
        <v>0</v>
      </c>
      <c r="AP1" s="98" t="s">
        <v>0</v>
      </c>
      <c r="AQ1" s="95" t="s">
        <v>0</v>
      </c>
      <c r="AR1" s="98" t="s">
        <v>0</v>
      </c>
      <c r="AS1" s="95" t="s">
        <v>0</v>
      </c>
      <c r="AT1" s="98" t="s">
        <v>0</v>
      </c>
      <c r="AU1" s="95" t="s">
        <v>0</v>
      </c>
      <c r="AV1" s="98" t="s">
        <v>0</v>
      </c>
      <c r="AW1" s="95" t="s">
        <v>0</v>
      </c>
      <c r="AX1" s="98" t="s">
        <v>0</v>
      </c>
      <c r="AY1" s="5" t="s">
        <v>0</v>
      </c>
      <c r="AZ1" s="94" t="s">
        <v>1</v>
      </c>
      <c r="BA1" s="94" t="s">
        <v>1</v>
      </c>
      <c r="BB1" s="94" t="s">
        <v>1</v>
      </c>
      <c r="BC1" s="94" t="s">
        <v>1</v>
      </c>
      <c r="BD1" s="94" t="s">
        <v>1</v>
      </c>
      <c r="BE1" s="94" t="s">
        <v>1</v>
      </c>
      <c r="BF1" s="94" t="s">
        <v>1</v>
      </c>
      <c r="BG1" s="94" t="s">
        <v>1</v>
      </c>
      <c r="BH1" s="94" t="s">
        <v>1</v>
      </c>
      <c r="BI1" s="94" t="s">
        <v>1</v>
      </c>
      <c r="BJ1" s="94" t="s">
        <v>1</v>
      </c>
      <c r="BK1" s="94" t="s">
        <v>1</v>
      </c>
      <c r="BL1" s="94" t="s">
        <v>1</v>
      </c>
      <c r="BM1" s="116" t="s">
        <v>1</v>
      </c>
      <c r="BN1" s="3" t="s">
        <v>0</v>
      </c>
      <c r="BO1" s="3" t="s">
        <v>0</v>
      </c>
      <c r="BP1" s="3" t="s">
        <v>0</v>
      </c>
      <c r="BQ1" s="116"/>
      <c r="BR1" s="116"/>
      <c r="BS1"/>
    </row>
    <row r="2" spans="1:95" x14ac:dyDescent="0.35">
      <c r="A2" s="3" t="s">
        <v>11</v>
      </c>
      <c r="B2" s="3" t="s">
        <v>11</v>
      </c>
      <c r="C2" s="3" t="s">
        <v>1291</v>
      </c>
      <c r="D2" s="73" t="s">
        <v>1291</v>
      </c>
      <c r="E2" s="3" t="s">
        <v>11</v>
      </c>
      <c r="F2" s="74" t="s">
        <v>11</v>
      </c>
      <c r="G2" s="3" t="s">
        <v>11</v>
      </c>
      <c r="H2" s="3" t="s">
        <v>11</v>
      </c>
      <c r="I2" s="3" t="s">
        <v>11</v>
      </c>
      <c r="J2" s="3" t="s">
        <v>11</v>
      </c>
      <c r="K2" s="3" t="s">
        <v>11</v>
      </c>
      <c r="L2" s="3" t="s">
        <v>11</v>
      </c>
      <c r="M2" s="3" t="s">
        <v>11</v>
      </c>
      <c r="N2" s="3" t="s">
        <v>14</v>
      </c>
      <c r="O2" s="3" t="s">
        <v>11</v>
      </c>
      <c r="P2" s="3" t="s">
        <v>14</v>
      </c>
      <c r="Q2" s="3" t="s">
        <v>14</v>
      </c>
      <c r="R2" s="3" t="s">
        <v>14</v>
      </c>
      <c r="S2" s="3" t="s">
        <v>14</v>
      </c>
      <c r="T2" s="3" t="s">
        <v>14</v>
      </c>
      <c r="U2" s="3" t="s">
        <v>11</v>
      </c>
      <c r="V2" s="3" t="s">
        <v>11</v>
      </c>
      <c r="W2" s="82" t="s">
        <v>11</v>
      </c>
      <c r="X2" s="83" t="s">
        <v>11</v>
      </c>
      <c r="Y2" s="82" t="s">
        <v>11</v>
      </c>
      <c r="Z2" s="82" t="s">
        <v>11</v>
      </c>
      <c r="AA2" s="89" t="s">
        <v>11</v>
      </c>
      <c r="AB2" s="82" t="s">
        <v>11</v>
      </c>
      <c r="AC2" s="89" t="s">
        <v>11</v>
      </c>
      <c r="AD2" s="82" t="s">
        <v>11</v>
      </c>
      <c r="AE2" s="89" t="s">
        <v>14</v>
      </c>
      <c r="AF2" s="89" t="s">
        <v>11</v>
      </c>
      <c r="AG2" s="89" t="s">
        <v>11</v>
      </c>
      <c r="AH2" s="94" t="s">
        <v>11</v>
      </c>
      <c r="AI2" s="89" t="s">
        <v>11</v>
      </c>
      <c r="AJ2" s="89" t="s">
        <v>11</v>
      </c>
      <c r="AK2" s="89" t="s">
        <v>11</v>
      </c>
      <c r="AL2" s="37" t="s">
        <v>11</v>
      </c>
      <c r="AM2" s="37" t="s">
        <v>11</v>
      </c>
      <c r="AN2" s="95" t="s">
        <v>11</v>
      </c>
      <c r="AO2" s="95" t="s">
        <v>14</v>
      </c>
      <c r="AP2" s="98" t="s">
        <v>14</v>
      </c>
      <c r="AQ2" s="95" t="s">
        <v>14</v>
      </c>
      <c r="AR2" s="98" t="s">
        <v>14</v>
      </c>
      <c r="AS2" s="95" t="s">
        <v>14</v>
      </c>
      <c r="AT2" s="98" t="s">
        <v>14</v>
      </c>
      <c r="AU2" s="95" t="s">
        <v>14</v>
      </c>
      <c r="AV2" s="98" t="s">
        <v>14</v>
      </c>
      <c r="AW2" s="95" t="s">
        <v>14</v>
      </c>
      <c r="AX2" s="98" t="s">
        <v>14</v>
      </c>
      <c r="AY2" s="5" t="s">
        <v>11</v>
      </c>
      <c r="AZ2" s="94" t="s">
        <v>11</v>
      </c>
      <c r="BA2" s="94" t="s">
        <v>13</v>
      </c>
      <c r="BB2" s="94" t="s">
        <v>13</v>
      </c>
      <c r="BC2" s="94" t="s">
        <v>11</v>
      </c>
      <c r="BD2" s="94" t="s">
        <v>14</v>
      </c>
      <c r="BE2" s="94" t="s">
        <v>14</v>
      </c>
      <c r="BF2" s="94" t="s">
        <v>14</v>
      </c>
      <c r="BG2" s="94" t="s">
        <v>13</v>
      </c>
      <c r="BH2" s="94" t="s">
        <v>14</v>
      </c>
      <c r="BI2" s="94" t="s">
        <v>14</v>
      </c>
      <c r="BJ2" s="94" t="s">
        <v>14</v>
      </c>
      <c r="BK2" s="94" t="s">
        <v>14</v>
      </c>
      <c r="BL2" s="94" t="s">
        <v>13</v>
      </c>
      <c r="BM2" s="116" t="s">
        <v>13</v>
      </c>
      <c r="BN2" s="3" t="s">
        <v>11</v>
      </c>
      <c r="BO2" s="3" t="s">
        <v>11</v>
      </c>
      <c r="BP2" s="3" t="s">
        <v>11</v>
      </c>
      <c r="BQ2" s="116"/>
      <c r="BR2" s="116"/>
      <c r="BS2"/>
      <c r="BW2" s="122" t="s">
        <v>1292</v>
      </c>
    </row>
    <row r="3" spans="1:95" ht="16.2" x14ac:dyDescent="0.4">
      <c r="A3" s="3" t="s">
        <v>1293</v>
      </c>
      <c r="B3" s="3" t="s">
        <v>1294</v>
      </c>
      <c r="C3" s="3" t="s">
        <v>1295</v>
      </c>
      <c r="D3" s="73" t="s">
        <v>1296</v>
      </c>
      <c r="E3" s="3" t="s">
        <v>1297</v>
      </c>
      <c r="F3" s="75" t="s">
        <v>1298</v>
      </c>
      <c r="G3" s="45" t="s">
        <v>1299</v>
      </c>
      <c r="H3" s="45" t="s">
        <v>1300</v>
      </c>
      <c r="I3" s="63" t="s">
        <v>1301</v>
      </c>
      <c r="J3" s="63" t="s">
        <v>1302</v>
      </c>
      <c r="K3" s="63" t="s">
        <v>1303</v>
      </c>
      <c r="L3" s="63" t="s">
        <v>1304</v>
      </c>
      <c r="M3" s="63" t="s">
        <v>1305</v>
      </c>
      <c r="N3" s="3" t="s">
        <v>1306</v>
      </c>
      <c r="O3" s="3" t="s">
        <v>1307</v>
      </c>
      <c r="P3" s="3" t="s">
        <v>1308</v>
      </c>
      <c r="Q3" s="75" t="s">
        <v>1309</v>
      </c>
      <c r="R3" s="3" t="s">
        <v>1310</v>
      </c>
      <c r="S3" s="73" t="s">
        <v>1311</v>
      </c>
      <c r="T3" s="75" t="s">
        <v>1312</v>
      </c>
      <c r="U3" s="3" t="s">
        <v>1313</v>
      </c>
      <c r="V3" s="3" t="s">
        <v>1314</v>
      </c>
      <c r="W3" s="75" t="s">
        <v>1315</v>
      </c>
      <c r="X3" s="84" t="s">
        <v>1316</v>
      </c>
      <c r="Y3" s="75" t="s">
        <v>1317</v>
      </c>
      <c r="Z3" s="75" t="s">
        <v>1318</v>
      </c>
      <c r="AA3" s="3" t="s">
        <v>1319</v>
      </c>
      <c r="AB3" s="75" t="s">
        <v>1320</v>
      </c>
      <c r="AC3" s="75" t="s">
        <v>1321</v>
      </c>
      <c r="AD3" s="82" t="s">
        <v>1322</v>
      </c>
      <c r="AE3" s="89" t="s">
        <v>1323</v>
      </c>
      <c r="AF3" s="89" t="s">
        <v>1324</v>
      </c>
      <c r="AG3" s="89" t="s">
        <v>1325</v>
      </c>
      <c r="AH3" s="94" t="s">
        <v>1326</v>
      </c>
      <c r="AI3" s="89" t="s">
        <v>1327</v>
      </c>
      <c r="AJ3" s="89" t="s">
        <v>1328</v>
      </c>
      <c r="AK3" s="89" t="s">
        <v>1329</v>
      </c>
      <c r="AL3" s="37" t="s">
        <v>1076</v>
      </c>
      <c r="AM3" s="37" t="s">
        <v>1186</v>
      </c>
      <c r="AN3" s="75" t="s">
        <v>1330</v>
      </c>
      <c r="AO3" s="95" t="s">
        <v>1331</v>
      </c>
      <c r="AP3" s="98" t="s">
        <v>1332</v>
      </c>
      <c r="AQ3" s="95" t="s">
        <v>1333</v>
      </c>
      <c r="AR3" s="98" t="s">
        <v>1334</v>
      </c>
      <c r="AS3" s="95" t="s">
        <v>1335</v>
      </c>
      <c r="AT3" s="98" t="s">
        <v>1336</v>
      </c>
      <c r="AU3" s="95" t="s">
        <v>1337</v>
      </c>
      <c r="AV3" s="98" t="s">
        <v>1338</v>
      </c>
      <c r="AW3" s="95" t="s">
        <v>1339</v>
      </c>
      <c r="AX3" s="98" t="s">
        <v>1340</v>
      </c>
      <c r="AY3" s="5" t="s">
        <v>1341</v>
      </c>
      <c r="AZ3" s="94" t="s">
        <v>1342</v>
      </c>
      <c r="BA3" s="94" t="s">
        <v>1343</v>
      </c>
      <c r="BB3" s="94" t="s">
        <v>1344</v>
      </c>
      <c r="BC3" s="94" t="s">
        <v>1345</v>
      </c>
      <c r="BD3" s="94" t="s">
        <v>1346</v>
      </c>
      <c r="BE3" s="94" t="s">
        <v>1347</v>
      </c>
      <c r="BF3" s="94" t="s">
        <v>1348</v>
      </c>
      <c r="BG3" s="94" t="s">
        <v>1349</v>
      </c>
      <c r="BH3" s="94" t="s">
        <v>1350</v>
      </c>
      <c r="BI3" s="94" t="s">
        <v>1351</v>
      </c>
      <c r="BJ3" s="94" t="s">
        <v>1352</v>
      </c>
      <c r="BK3" s="94" t="s">
        <v>1353</v>
      </c>
      <c r="BL3" s="94" t="s">
        <v>1354</v>
      </c>
      <c r="BM3" s="116" t="s">
        <v>1355</v>
      </c>
      <c r="BN3" s="3" t="s">
        <v>1356</v>
      </c>
      <c r="BO3" s="3" t="s">
        <v>1357</v>
      </c>
      <c r="BP3" s="3" t="s">
        <v>1358</v>
      </c>
      <c r="BQ3" s="116"/>
      <c r="BR3" s="116"/>
      <c r="BS3"/>
      <c r="BW3" s="398" t="s">
        <v>1359</v>
      </c>
      <c r="BX3" s="398"/>
      <c r="BY3" s="398"/>
      <c r="BZ3" s="123"/>
      <c r="CA3" s="123"/>
      <c r="CB3" s="399" t="s">
        <v>1360</v>
      </c>
      <c r="CC3" s="399"/>
      <c r="CD3" s="399"/>
      <c r="CE3" s="124"/>
      <c r="CF3" s="124"/>
      <c r="CK3" s="2" t="s">
        <v>1361</v>
      </c>
    </row>
    <row r="4" spans="1:95" ht="75" x14ac:dyDescent="0.35">
      <c r="A4" s="5" t="s">
        <v>1362</v>
      </c>
      <c r="B4" s="5" t="s">
        <v>1363</v>
      </c>
      <c r="C4" s="5" t="s">
        <v>1364</v>
      </c>
      <c r="D4" s="76" t="s">
        <v>1365</v>
      </c>
      <c r="E4" s="5" t="s">
        <v>1366</v>
      </c>
      <c r="F4" s="77" t="s">
        <v>1367</v>
      </c>
      <c r="G4" s="54" t="s">
        <v>1368</v>
      </c>
      <c r="H4" s="54" t="s">
        <v>1369</v>
      </c>
      <c r="I4" s="81" t="s">
        <v>1370</v>
      </c>
      <c r="J4" s="81" t="s">
        <v>1371</v>
      </c>
      <c r="K4" s="81" t="s">
        <v>1372</v>
      </c>
      <c r="L4" s="81" t="s">
        <v>1373</v>
      </c>
      <c r="M4" s="81" t="s">
        <v>1374</v>
      </c>
      <c r="N4" s="5" t="s">
        <v>1375</v>
      </c>
      <c r="O4" s="5" t="s">
        <v>1376</v>
      </c>
      <c r="P4" s="5" t="s">
        <v>1377</v>
      </c>
      <c r="Q4" s="5" t="s">
        <v>1378</v>
      </c>
      <c r="R4" s="5" t="s">
        <v>1379</v>
      </c>
      <c r="S4" s="5" t="s">
        <v>1380</v>
      </c>
      <c r="T4" s="5" t="s">
        <v>1381</v>
      </c>
      <c r="U4" s="5" t="s">
        <v>1382</v>
      </c>
      <c r="V4" s="5" t="s">
        <v>1383</v>
      </c>
      <c r="W4" s="85" t="s">
        <v>1384</v>
      </c>
      <c r="X4" s="86" t="s">
        <v>1385</v>
      </c>
      <c r="Y4" s="85" t="s">
        <v>1386</v>
      </c>
      <c r="Z4" s="85" t="s">
        <v>1387</v>
      </c>
      <c r="AA4" s="90" t="s">
        <v>1388</v>
      </c>
      <c r="AB4" s="85" t="s">
        <v>1389</v>
      </c>
      <c r="AC4" s="90" t="s">
        <v>1390</v>
      </c>
      <c r="AD4" s="85" t="s">
        <v>1391</v>
      </c>
      <c r="AE4" s="90" t="s">
        <v>1392</v>
      </c>
      <c r="AF4" s="90" t="s">
        <v>1393</v>
      </c>
      <c r="AG4" s="90" t="s">
        <v>1394</v>
      </c>
      <c r="AH4" s="96" t="s">
        <v>1395</v>
      </c>
      <c r="AI4" s="90" t="s">
        <v>1396</v>
      </c>
      <c r="AJ4" s="90" t="s">
        <v>1396</v>
      </c>
      <c r="AK4" s="90" t="s">
        <v>1396</v>
      </c>
      <c r="AL4" s="38" t="s">
        <v>1397</v>
      </c>
      <c r="AM4" s="38" t="s">
        <v>1398</v>
      </c>
      <c r="AN4" s="97" t="s">
        <v>1399</v>
      </c>
      <c r="AO4" s="99" t="s">
        <v>1400</v>
      </c>
      <c r="AP4" s="100" t="s">
        <v>1401</v>
      </c>
      <c r="AQ4" s="99" t="s">
        <v>1402</v>
      </c>
      <c r="AR4" s="100" t="s">
        <v>1403</v>
      </c>
      <c r="AS4" s="99" t="s">
        <v>1404</v>
      </c>
      <c r="AT4" s="100" t="s">
        <v>1405</v>
      </c>
      <c r="AU4" s="99" t="s">
        <v>1406</v>
      </c>
      <c r="AV4" s="100" t="s">
        <v>1407</v>
      </c>
      <c r="AW4" s="99" t="s">
        <v>1408</v>
      </c>
      <c r="AX4" s="100" t="s">
        <v>1409</v>
      </c>
      <c r="AY4" s="5" t="s">
        <v>1410</v>
      </c>
      <c r="AZ4" s="102" t="s">
        <v>1411</v>
      </c>
      <c r="BA4" s="102" t="s">
        <v>1412</v>
      </c>
      <c r="BB4" s="102" t="s">
        <v>1413</v>
      </c>
      <c r="BC4" s="103" t="s">
        <v>1414</v>
      </c>
      <c r="BD4" s="103" t="s">
        <v>1415</v>
      </c>
      <c r="BE4" s="108" t="s">
        <v>1416</v>
      </c>
      <c r="BF4" s="108" t="s">
        <v>1417</v>
      </c>
      <c r="BG4" s="109" t="s">
        <v>1418</v>
      </c>
      <c r="BH4" s="109" t="s">
        <v>1419</v>
      </c>
      <c r="BI4" s="109" t="s">
        <v>1420</v>
      </c>
      <c r="BJ4" s="400" t="s">
        <v>1421</v>
      </c>
      <c r="BK4" s="400"/>
      <c r="BL4" s="108" t="s">
        <v>1422</v>
      </c>
      <c r="BM4" s="117" t="s">
        <v>1423</v>
      </c>
      <c r="BN4" s="5" t="s">
        <v>1424</v>
      </c>
      <c r="BO4" s="5" t="s">
        <v>1425</v>
      </c>
      <c r="BP4" s="5" t="s">
        <v>1426</v>
      </c>
      <c r="BQ4" s="110"/>
      <c r="BR4" s="118"/>
      <c r="BS4" s="119" t="s">
        <v>1390</v>
      </c>
      <c r="BW4" s="125" t="s">
        <v>917</v>
      </c>
      <c r="BX4" s="126" t="s">
        <v>918</v>
      </c>
      <c r="BY4" s="126" t="s">
        <v>1427</v>
      </c>
      <c r="BZ4" s="126" t="s">
        <v>1428</v>
      </c>
      <c r="CA4" s="127" t="s">
        <v>1429</v>
      </c>
      <c r="CB4" s="125" t="s">
        <v>917</v>
      </c>
      <c r="CC4" s="126" t="s">
        <v>918</v>
      </c>
      <c r="CD4" s="126" t="s">
        <v>1427</v>
      </c>
      <c r="CE4" s="126" t="s">
        <v>1428</v>
      </c>
      <c r="CF4" s="127" t="s">
        <v>1429</v>
      </c>
      <c r="CK4" s="139" t="s">
        <v>1430</v>
      </c>
      <c r="CL4" s="140" t="s">
        <v>1431</v>
      </c>
      <c r="CM4" s="140" t="s">
        <v>1432</v>
      </c>
      <c r="CN4" s="140" t="s">
        <v>143</v>
      </c>
      <c r="CO4" s="140" t="s">
        <v>919</v>
      </c>
      <c r="CP4" s="140"/>
      <c r="CQ4" s="140"/>
    </row>
    <row r="5" spans="1:95" ht="16.2" x14ac:dyDescent="0.35">
      <c r="A5" s="2">
        <v>0</v>
      </c>
      <c r="B5" s="2">
        <v>0</v>
      </c>
      <c r="C5" s="67"/>
      <c r="D5" s="67"/>
      <c r="E5" s="67" t="s">
        <v>256</v>
      </c>
      <c r="F5" s="78" t="s">
        <v>385</v>
      </c>
      <c r="G5" s="78"/>
      <c r="H5" s="78"/>
      <c r="I5" s="78"/>
      <c r="J5" s="78"/>
      <c r="K5" s="78"/>
      <c r="L5" s="78"/>
      <c r="M5" s="78"/>
      <c r="O5" s="2">
        <v>1</v>
      </c>
      <c r="R5" s="21" t="s">
        <v>1433</v>
      </c>
      <c r="S5" s="20" t="s">
        <v>1434</v>
      </c>
      <c r="T5" s="20" t="s">
        <v>1435</v>
      </c>
      <c r="U5" s="87">
        <v>999</v>
      </c>
      <c r="V5" s="87">
        <v>999</v>
      </c>
      <c r="W5" s="2">
        <v>0</v>
      </c>
      <c r="X5" s="88">
        <v>4</v>
      </c>
      <c r="Y5" s="91">
        <f>'全局参数|GlobalPar'!L15</f>
        <v>0</v>
      </c>
      <c r="Z5" s="92">
        <v>1</v>
      </c>
      <c r="AA5" s="2">
        <v>0</v>
      </c>
      <c r="AB5" s="2">
        <v>0</v>
      </c>
      <c r="AC5" s="2">
        <v>0</v>
      </c>
      <c r="AD5" s="69">
        <v>100</v>
      </c>
      <c r="AE5" s="21" t="s">
        <v>1436</v>
      </c>
      <c r="AF5" s="21">
        <v>99999</v>
      </c>
      <c r="AG5" s="21">
        <v>0</v>
      </c>
      <c r="AH5" s="21">
        <v>10</v>
      </c>
      <c r="AI5" s="21">
        <v>2</v>
      </c>
      <c r="AJ5" s="21">
        <v>2</v>
      </c>
      <c r="AK5" s="21">
        <v>2</v>
      </c>
      <c r="AL5" s="21">
        <v>0</v>
      </c>
      <c r="AM5" s="21">
        <v>0</v>
      </c>
      <c r="AN5" s="2">
        <v>0</v>
      </c>
      <c r="AP5" s="24"/>
      <c r="AY5" s="15">
        <v>500000</v>
      </c>
      <c r="AZ5" s="2">
        <v>0</v>
      </c>
      <c r="BA5" s="104">
        <f>BB5*1.5</f>
        <v>1.44</v>
      </c>
      <c r="BB5" s="105">
        <v>0.96</v>
      </c>
      <c r="BC5" s="106">
        <v>999999999</v>
      </c>
      <c r="BD5" s="2" t="s">
        <v>1437</v>
      </c>
      <c r="BE5" s="111" t="str">
        <f>"[["&amp;CN5&amp;",["&amp;CL5&amp;","&amp;CM5&amp;"]],["&amp;CN6&amp;",["&amp;CL6&amp;","&amp;CM6&amp;"]],["&amp;CN7&amp;",["&amp;CL7&amp;","&amp;CM7&amp;"]],["&amp;CN8&amp;",["&amp;CL8&amp;","&amp;CM8&amp;"]],["&amp;CN9&amp;",["&amp;CL9&amp;","&amp;CM9&amp;"]],["&amp;CN10&amp;",["&amp;CL10&amp;","&amp;CM10&amp;"]],["&amp;CN11&amp;",["&amp;CL11&amp;","&amp;CM11&amp;"]],["&amp;CN12&amp;",["&amp;CL12&amp;","&amp;CM12&amp;"]]]"</f>
        <v>[[2,[0.4,0.8]],[4,[0.7,0.95]],[10,[0.85,0.95]],[34,[0.92,1]],[34,[1,1.08]],[10,[1.05,1.15]],[4,[1.05,1.3]],[2,[1.2,1.6]]]</v>
      </c>
      <c r="BF5" s="2" t="s">
        <v>1438</v>
      </c>
      <c r="BG5" s="2">
        <v>0</v>
      </c>
      <c r="BH5" s="112" t="s">
        <v>1439</v>
      </c>
      <c r="BI5" s="2" t="s">
        <v>1440</v>
      </c>
      <c r="BJ5" s="67" t="s">
        <v>1441</v>
      </c>
      <c r="BK5" s="67" t="s">
        <v>1442</v>
      </c>
      <c r="BL5" s="113">
        <f>10000*BV5</f>
        <v>10000</v>
      </c>
      <c r="BM5" s="120">
        <v>0</v>
      </c>
      <c r="BN5" s="121">
        <v>0</v>
      </c>
      <c r="BO5" s="121">
        <v>0</v>
      </c>
      <c r="BP5" s="121">
        <v>0</v>
      </c>
      <c r="BQ5" s="67"/>
      <c r="BR5" s="2">
        <v>6.4999999999999997E-3</v>
      </c>
      <c r="BS5" s="2">
        <v>0</v>
      </c>
      <c r="BT5" s="2" t="s">
        <v>1443</v>
      </c>
      <c r="BV5">
        <v>1</v>
      </c>
      <c r="BW5" s="128">
        <v>10000</v>
      </c>
      <c r="BX5" s="129">
        <v>20000</v>
      </c>
      <c r="BY5" s="129">
        <f>(BW5+BX5)/2</f>
        <v>15000</v>
      </c>
      <c r="BZ5" s="129">
        <v>12</v>
      </c>
      <c r="CA5" s="130">
        <f>24/BZ5*BY5</f>
        <v>30000</v>
      </c>
      <c r="CB5" s="131">
        <v>1</v>
      </c>
      <c r="CC5" s="136">
        <v>1</v>
      </c>
      <c r="CD5" s="70">
        <f>(CB5+CC5)/2</f>
        <v>1</v>
      </c>
      <c r="CE5" s="129">
        <v>12</v>
      </c>
      <c r="CF5" s="130">
        <f>24/CE5*CD5</f>
        <v>2</v>
      </c>
      <c r="CK5" s="140">
        <v>0</v>
      </c>
      <c r="CL5" s="140">
        <v>0.4</v>
      </c>
      <c r="CM5" s="140">
        <v>0.8</v>
      </c>
      <c r="CN5" s="140">
        <v>2</v>
      </c>
      <c r="CO5" s="140">
        <f t="shared" ref="CO5:CO12" si="0">(CL5+CM5)/2*CN5/100</f>
        <v>1.2000000000000002E-2</v>
      </c>
      <c r="CP5" s="140" t="s">
        <v>1444</v>
      </c>
      <c r="CQ5" s="140">
        <f>SUM(CO5:CO12)</f>
        <v>1</v>
      </c>
    </row>
    <row r="6" spans="1:95" ht="16.2" x14ac:dyDescent="0.35">
      <c r="A6" s="2">
        <v>1</v>
      </c>
      <c r="B6" s="2">
        <v>6</v>
      </c>
      <c r="C6" s="79" t="s">
        <v>1445</v>
      </c>
      <c r="D6" s="67" t="s">
        <v>1446</v>
      </c>
      <c r="E6" s="67" t="s">
        <v>1149</v>
      </c>
      <c r="F6" s="78" t="s">
        <v>530</v>
      </c>
      <c r="G6" s="2">
        <f>'看广告VIP特权|VIPAd'!J6</f>
        <v>60</v>
      </c>
      <c r="H6" s="2">
        <f>'看广告VIP特权|VIPAd'!K6</f>
        <v>60</v>
      </c>
      <c r="I6" s="2">
        <f>'看广告VIP特权|VIPAd'!X6</f>
        <v>1</v>
      </c>
      <c r="J6" s="2">
        <f>'看广告VIP特权|VIPAd'!Y6</f>
        <v>0</v>
      </c>
      <c r="K6" s="2">
        <f>'看广告VIP特权|VIPAd'!Z6</f>
        <v>0</v>
      </c>
      <c r="L6" s="2">
        <f>'看广告VIP特权|VIPAd'!AA6</f>
        <v>0</v>
      </c>
      <c r="M6" s="2">
        <f>'看广告VIP特权|VIPAd'!AB6</f>
        <v>0</v>
      </c>
      <c r="N6" s="67"/>
      <c r="O6" s="67" t="s">
        <v>385</v>
      </c>
      <c r="P6" s="2">
        <v>1401</v>
      </c>
      <c r="Q6" s="67" t="s">
        <v>1447</v>
      </c>
      <c r="R6" s="21" t="s">
        <v>1433</v>
      </c>
      <c r="S6" s="20" t="s">
        <v>1448</v>
      </c>
      <c r="T6" s="20" t="s">
        <v>1449</v>
      </c>
      <c r="U6" s="87">
        <v>999</v>
      </c>
      <c r="V6" s="87">
        <v>999</v>
      </c>
      <c r="W6" s="2">
        <v>0</v>
      </c>
      <c r="X6" s="88">
        <v>4</v>
      </c>
      <c r="Y6" s="91">
        <f>'全局参数|GlobalPar'!L16</f>
        <v>0</v>
      </c>
      <c r="Z6" s="92">
        <v>1</v>
      </c>
      <c r="AA6" s="2">
        <v>0</v>
      </c>
      <c r="AB6" s="2">
        <v>0</v>
      </c>
      <c r="AC6" s="2">
        <v>0</v>
      </c>
      <c r="AD6" s="69">
        <v>100</v>
      </c>
      <c r="AE6" s="21" t="s">
        <v>1436</v>
      </c>
      <c r="AF6" s="21">
        <v>99999</v>
      </c>
      <c r="AG6" s="21">
        <v>1</v>
      </c>
      <c r="AH6" s="21">
        <v>15</v>
      </c>
      <c r="AI6" s="21">
        <v>2</v>
      </c>
      <c r="AJ6" s="21">
        <v>2</v>
      </c>
      <c r="AK6" s="21">
        <v>2</v>
      </c>
      <c r="AL6" s="21">
        <v>0</v>
      </c>
      <c r="AM6" s="21">
        <v>0</v>
      </c>
      <c r="AN6" s="2">
        <v>0</v>
      </c>
      <c r="AP6" s="24"/>
      <c r="AY6" s="15">
        <v>1000000</v>
      </c>
      <c r="AZ6" s="2">
        <v>0</v>
      </c>
      <c r="BA6" s="104">
        <f>BB6*1.5</f>
        <v>1.44</v>
      </c>
      <c r="BB6" s="105">
        <f>BB5</f>
        <v>0.96</v>
      </c>
      <c r="BC6" s="106">
        <v>999999999</v>
      </c>
      <c r="BD6" s="2" t="s">
        <v>1437</v>
      </c>
      <c r="BE6" s="111" t="str">
        <f>BE5</f>
        <v>[[2,[0.4,0.8]],[4,[0.7,0.95]],[10,[0.85,0.95]],[34,[0.92,1]],[34,[1,1.08]],[10,[1.05,1.15]],[4,[1.05,1.3]],[2,[1.2,1.6]]]</v>
      </c>
      <c r="BF6" s="2" t="s">
        <v>1450</v>
      </c>
      <c r="BG6" s="2">
        <v>0.02</v>
      </c>
      <c r="BH6" s="112" t="s">
        <v>1451</v>
      </c>
      <c r="BI6" s="2" t="s">
        <v>1452</v>
      </c>
      <c r="BJ6" s="67" t="s">
        <v>1441</v>
      </c>
      <c r="BK6" s="67" t="s">
        <v>1442</v>
      </c>
      <c r="BL6" s="113">
        <f t="shared" ref="BL6:BL15" si="1">10000*BV6</f>
        <v>10000</v>
      </c>
      <c r="BM6" s="120">
        <v>0.05</v>
      </c>
      <c r="BN6" s="121">
        <v>0</v>
      </c>
      <c r="BO6" s="121">
        <v>10</v>
      </c>
      <c r="BP6" s="121">
        <v>10</v>
      </c>
      <c r="BQ6" s="67"/>
      <c r="BR6" s="2">
        <v>6.0000000000000001E-3</v>
      </c>
      <c r="BS6" s="2">
        <v>0</v>
      </c>
      <c r="BT6" s="2" t="s">
        <v>1453</v>
      </c>
      <c r="BV6">
        <v>1</v>
      </c>
      <c r="BW6" s="128">
        <v>20000</v>
      </c>
      <c r="BX6" s="129">
        <v>40000</v>
      </c>
      <c r="BY6" s="129">
        <f t="shared" ref="BY6:BY15" si="2">(BW6+BX6)/2</f>
        <v>30000</v>
      </c>
      <c r="BZ6" s="129">
        <v>12</v>
      </c>
      <c r="CA6" s="130">
        <f t="shared" ref="CA6:CA15" si="3">24/BZ6*BY6</f>
        <v>60000</v>
      </c>
      <c r="CB6" s="131">
        <v>1</v>
      </c>
      <c r="CC6" s="136">
        <v>2</v>
      </c>
      <c r="CD6" s="70">
        <f t="shared" ref="CD6:CD15" si="4">(CB6+CC6)/2</f>
        <v>1.5</v>
      </c>
      <c r="CE6" s="129">
        <v>12</v>
      </c>
      <c r="CF6" s="130">
        <f t="shared" ref="CF6:CF15" si="5">24/CE6*CD6</f>
        <v>3</v>
      </c>
      <c r="CK6" s="140">
        <v>3</v>
      </c>
      <c r="CL6" s="140">
        <v>0.7</v>
      </c>
      <c r="CM6" s="140">
        <v>0.95</v>
      </c>
      <c r="CN6" s="140">
        <v>4</v>
      </c>
      <c r="CO6" s="140">
        <f t="shared" si="0"/>
        <v>3.3000000000000002E-2</v>
      </c>
      <c r="CP6" s="140"/>
      <c r="CQ6" s="140"/>
    </row>
    <row r="7" spans="1:95" ht="16.2" x14ac:dyDescent="0.35">
      <c r="A7" s="2">
        <v>2</v>
      </c>
      <c r="B7" s="2">
        <v>200</v>
      </c>
      <c r="C7" s="79" t="s">
        <v>1454</v>
      </c>
      <c r="D7" s="67" t="s">
        <v>1455</v>
      </c>
      <c r="E7" s="67" t="s">
        <v>504</v>
      </c>
      <c r="F7" s="78" t="s">
        <v>530</v>
      </c>
      <c r="G7" s="2">
        <f>'看广告VIP特权|VIPAd'!J16</f>
        <v>300</v>
      </c>
      <c r="H7" s="2">
        <f>'看广告VIP特权|VIPAd'!K16</f>
        <v>300</v>
      </c>
      <c r="I7" s="2">
        <f>'看广告VIP特权|VIPAd'!X16</f>
        <v>3</v>
      </c>
      <c r="J7" s="2">
        <f>'看广告VIP特权|VIPAd'!Y16</f>
        <v>2</v>
      </c>
      <c r="K7" s="2">
        <f>'看广告VIP特权|VIPAd'!Z16</f>
        <v>2</v>
      </c>
      <c r="L7" s="2">
        <f>'看广告VIP特权|VIPAd'!AA16</f>
        <v>2</v>
      </c>
      <c r="M7" s="2">
        <f>'看广告VIP特权|VIPAd'!AB16</f>
        <v>2</v>
      </c>
      <c r="N7" s="67"/>
      <c r="O7" s="67" t="s">
        <v>530</v>
      </c>
      <c r="P7" s="2">
        <v>1402</v>
      </c>
      <c r="Q7" s="67" t="s">
        <v>1456</v>
      </c>
      <c r="R7" s="21" t="s">
        <v>1457</v>
      </c>
      <c r="S7" s="20" t="s">
        <v>1448</v>
      </c>
      <c r="T7" s="20" t="s">
        <v>1449</v>
      </c>
      <c r="U7" s="87">
        <v>999</v>
      </c>
      <c r="V7" s="87">
        <v>999</v>
      </c>
      <c r="W7" s="2">
        <v>0</v>
      </c>
      <c r="X7" s="88">
        <v>5</v>
      </c>
      <c r="Y7" s="91">
        <f>'全局参数|GlobalPar'!L17</f>
        <v>0</v>
      </c>
      <c r="Z7" s="92">
        <v>1</v>
      </c>
      <c r="AA7" s="2">
        <v>0</v>
      </c>
      <c r="AB7" s="2">
        <v>0</v>
      </c>
      <c r="AC7" s="2">
        <v>0</v>
      </c>
      <c r="AD7" s="69">
        <v>100</v>
      </c>
      <c r="AE7" s="21" t="s">
        <v>1458</v>
      </c>
      <c r="AF7" s="21">
        <v>99999</v>
      </c>
      <c r="AG7" s="21">
        <v>2</v>
      </c>
      <c r="AH7" s="21">
        <v>20</v>
      </c>
      <c r="AI7" s="21">
        <v>2</v>
      </c>
      <c r="AJ7" s="21">
        <v>2</v>
      </c>
      <c r="AK7" s="21">
        <v>2</v>
      </c>
      <c r="AL7" s="21">
        <v>1</v>
      </c>
      <c r="AM7" s="21">
        <v>0</v>
      </c>
      <c r="AN7" s="2">
        <v>0</v>
      </c>
      <c r="AP7" s="24"/>
      <c r="AY7" s="15">
        <v>2000000</v>
      </c>
      <c r="AZ7" s="2">
        <v>0</v>
      </c>
      <c r="BA7" s="104">
        <f t="shared" ref="BA7:BA15" si="6">BB7*1.5</f>
        <v>1.44</v>
      </c>
      <c r="BB7" s="105">
        <f t="shared" ref="BB7:BB15" si="7">BB6</f>
        <v>0.96</v>
      </c>
      <c r="BC7" s="106">
        <v>999999999</v>
      </c>
      <c r="BD7" s="2" t="s">
        <v>1437</v>
      </c>
      <c r="BE7" s="111" t="str">
        <f>BE6</f>
        <v>[[2,[0.4,0.8]],[4,[0.7,0.95]],[10,[0.85,0.95]],[34,[0.92,1]],[34,[1,1.08]],[10,[1.05,1.15]],[4,[1.05,1.3]],[2,[1.2,1.6]]]</v>
      </c>
      <c r="BF7" s="2" t="s">
        <v>1459</v>
      </c>
      <c r="BG7" s="2">
        <v>0.04</v>
      </c>
      <c r="BH7" s="112" t="s">
        <v>1460</v>
      </c>
      <c r="BI7" s="2" t="s">
        <v>1461</v>
      </c>
      <c r="BJ7" s="67" t="s">
        <v>1441</v>
      </c>
      <c r="BK7" s="67" t="s">
        <v>1442</v>
      </c>
      <c r="BL7" s="113">
        <f t="shared" si="1"/>
        <v>10000</v>
      </c>
      <c r="BM7" s="120">
        <v>0.1</v>
      </c>
      <c r="BN7" s="121">
        <v>0</v>
      </c>
      <c r="BO7" s="121">
        <v>15</v>
      </c>
      <c r="BP7" s="121">
        <v>15</v>
      </c>
      <c r="BQ7" s="67"/>
      <c r="BR7" s="2">
        <v>5.4999999999999997E-3</v>
      </c>
      <c r="BS7" s="2">
        <v>0</v>
      </c>
      <c r="BT7" s="2" t="s">
        <v>1462</v>
      </c>
      <c r="BV7">
        <v>1</v>
      </c>
      <c r="BW7" s="128">
        <v>20000</v>
      </c>
      <c r="BX7" s="129">
        <v>40000</v>
      </c>
      <c r="BY7" s="129">
        <f t="shared" si="2"/>
        <v>30000</v>
      </c>
      <c r="BZ7" s="129">
        <v>12</v>
      </c>
      <c r="CA7" s="130">
        <f t="shared" si="3"/>
        <v>60000</v>
      </c>
      <c r="CB7" s="131">
        <v>1</v>
      </c>
      <c r="CC7" s="136">
        <v>2</v>
      </c>
      <c r="CD7" s="70">
        <f t="shared" si="4"/>
        <v>1.5</v>
      </c>
      <c r="CE7" s="129">
        <v>12</v>
      </c>
      <c r="CF7" s="130">
        <f t="shared" si="5"/>
        <v>3</v>
      </c>
      <c r="CK7" s="140"/>
      <c r="CL7" s="140">
        <v>0.85</v>
      </c>
      <c r="CM7" s="140">
        <v>0.95</v>
      </c>
      <c r="CN7" s="140">
        <v>10</v>
      </c>
      <c r="CO7" s="140">
        <f t="shared" si="0"/>
        <v>0.09</v>
      </c>
      <c r="CP7" s="140"/>
      <c r="CQ7" s="140"/>
    </row>
    <row r="8" spans="1:95" ht="16.2" x14ac:dyDescent="0.35">
      <c r="A8" s="2">
        <v>3</v>
      </c>
      <c r="B8" s="2">
        <v>500</v>
      </c>
      <c r="C8" s="79" t="s">
        <v>1463</v>
      </c>
      <c r="D8" s="67" t="s">
        <v>1464</v>
      </c>
      <c r="E8" s="67" t="s">
        <v>653</v>
      </c>
      <c r="F8" s="78" t="s">
        <v>530</v>
      </c>
      <c r="G8" s="2">
        <f>'看广告VIP特权|VIPAd'!J26</f>
        <v>480</v>
      </c>
      <c r="H8" s="2">
        <f>'看广告VIP特权|VIPAd'!K26</f>
        <v>480</v>
      </c>
      <c r="I8" s="2">
        <f>'看广告VIP特权|VIPAd'!X26</f>
        <v>5</v>
      </c>
      <c r="J8" s="2">
        <f>'看广告VIP特权|VIPAd'!Y26</f>
        <v>4</v>
      </c>
      <c r="K8" s="2">
        <f>'看广告VIP特权|VIPAd'!Z26</f>
        <v>4</v>
      </c>
      <c r="L8" s="2">
        <f>'看广告VIP特权|VIPAd'!AA26</f>
        <v>4</v>
      </c>
      <c r="M8" s="2">
        <f>'看广告VIP特权|VIPAd'!AB26</f>
        <v>4</v>
      </c>
      <c r="N8" s="67"/>
      <c r="O8" s="67" t="s">
        <v>530</v>
      </c>
      <c r="P8" s="2">
        <v>1403</v>
      </c>
      <c r="Q8" s="67" t="s">
        <v>1465</v>
      </c>
      <c r="R8" s="21" t="s">
        <v>1466</v>
      </c>
      <c r="S8" s="20" t="s">
        <v>1448</v>
      </c>
      <c r="T8" s="20" t="s">
        <v>1449</v>
      </c>
      <c r="U8" s="87">
        <v>999</v>
      </c>
      <c r="V8" s="87">
        <v>999</v>
      </c>
      <c r="W8" s="2">
        <v>0</v>
      </c>
      <c r="X8" s="88">
        <v>5</v>
      </c>
      <c r="Y8" s="91">
        <f>'全局参数|GlobalPar'!L18</f>
        <v>4000</v>
      </c>
      <c r="Z8" s="93">
        <v>3</v>
      </c>
      <c r="AA8" s="2">
        <v>1</v>
      </c>
      <c r="AB8" s="2">
        <v>1</v>
      </c>
      <c r="AC8" s="69">
        <v>10</v>
      </c>
      <c r="AD8" s="69">
        <v>100</v>
      </c>
      <c r="AE8" s="21" t="s">
        <v>1458</v>
      </c>
      <c r="AF8" s="21">
        <v>99999</v>
      </c>
      <c r="AG8" s="21">
        <v>3</v>
      </c>
      <c r="AH8" s="21">
        <v>25</v>
      </c>
      <c r="AI8" s="21">
        <v>2</v>
      </c>
      <c r="AJ8" s="21">
        <v>2</v>
      </c>
      <c r="AK8" s="21">
        <v>2</v>
      </c>
      <c r="AL8" s="21">
        <v>1</v>
      </c>
      <c r="AM8" s="21">
        <v>0</v>
      </c>
      <c r="AN8" s="69">
        <v>2</v>
      </c>
      <c r="AO8" s="2" t="s">
        <v>692</v>
      </c>
      <c r="AP8" s="101" t="s">
        <v>1447</v>
      </c>
      <c r="AQ8" s="2" t="s">
        <v>1467</v>
      </c>
      <c r="AR8" s="101" t="s">
        <v>1468</v>
      </c>
      <c r="AY8" s="15">
        <v>3000000</v>
      </c>
      <c r="AZ8" s="2">
        <v>0</v>
      </c>
      <c r="BA8" s="104">
        <f t="shared" si="6"/>
        <v>1.44</v>
      </c>
      <c r="BB8" s="105">
        <f t="shared" si="7"/>
        <v>0.96</v>
      </c>
      <c r="BC8" s="106">
        <v>999999999</v>
      </c>
      <c r="BD8" s="2" t="s">
        <v>1437</v>
      </c>
      <c r="BE8" s="111" t="str">
        <f>BE7</f>
        <v>[[2,[0.4,0.8]],[4,[0.7,0.95]],[10,[0.85,0.95]],[34,[0.92,1]],[34,[1,1.08]],[10,[1.05,1.15]],[4,[1.05,1.3]],[2,[1.2,1.6]]]</v>
      </c>
      <c r="BF8" s="2" t="s">
        <v>1469</v>
      </c>
      <c r="BG8" s="2">
        <v>0.06</v>
      </c>
      <c r="BH8" s="112" t="s">
        <v>1470</v>
      </c>
      <c r="BI8" s="2" t="s">
        <v>1471</v>
      </c>
      <c r="BJ8" s="67" t="s">
        <v>1441</v>
      </c>
      <c r="BK8" s="67" t="s">
        <v>1442</v>
      </c>
      <c r="BL8" s="113">
        <f t="shared" si="1"/>
        <v>10000</v>
      </c>
      <c r="BM8" s="120">
        <v>0.15</v>
      </c>
      <c r="BN8" s="121">
        <v>0</v>
      </c>
      <c r="BO8" s="121">
        <v>30</v>
      </c>
      <c r="BP8" s="121">
        <v>30</v>
      </c>
      <c r="BQ8" s="67"/>
      <c r="BR8" s="2">
        <v>5.0000000000000001E-3</v>
      </c>
      <c r="BS8" s="2">
        <v>0</v>
      </c>
      <c r="BT8" s="2" t="s">
        <v>1472</v>
      </c>
      <c r="BV8">
        <v>1</v>
      </c>
      <c r="BW8" s="128">
        <v>20000</v>
      </c>
      <c r="BX8" s="129">
        <v>40000</v>
      </c>
      <c r="BY8" s="129">
        <f t="shared" si="2"/>
        <v>30000</v>
      </c>
      <c r="BZ8" s="129">
        <v>12</v>
      </c>
      <c r="CA8" s="130">
        <f t="shared" si="3"/>
        <v>60000</v>
      </c>
      <c r="CB8" s="131">
        <v>1</v>
      </c>
      <c r="CC8" s="136">
        <v>2</v>
      </c>
      <c r="CD8" s="70">
        <f t="shared" si="4"/>
        <v>1.5</v>
      </c>
      <c r="CE8" s="129">
        <v>12</v>
      </c>
      <c r="CF8" s="130">
        <f t="shared" si="5"/>
        <v>3</v>
      </c>
      <c r="CK8" s="140"/>
      <c r="CL8" s="140">
        <v>0.92</v>
      </c>
      <c r="CM8" s="140">
        <v>1</v>
      </c>
      <c r="CN8" s="140">
        <v>34</v>
      </c>
      <c r="CO8" s="140">
        <f t="shared" si="0"/>
        <v>0.32640000000000002</v>
      </c>
      <c r="CP8" s="140"/>
      <c r="CQ8" s="140"/>
    </row>
    <row r="9" spans="1:95" ht="16.2" x14ac:dyDescent="0.35">
      <c r="A9" s="2">
        <v>4</v>
      </c>
      <c r="B9" s="2">
        <v>1000</v>
      </c>
      <c r="C9" s="79" t="s">
        <v>1473</v>
      </c>
      <c r="D9" s="67" t="s">
        <v>1455</v>
      </c>
      <c r="E9" s="67" t="s">
        <v>473</v>
      </c>
      <c r="F9" s="78" t="s">
        <v>364</v>
      </c>
      <c r="G9" s="2">
        <f>'看广告VIP特权|VIPAd'!J36</f>
        <v>600</v>
      </c>
      <c r="H9" s="2">
        <f>'看广告VIP特权|VIPAd'!K36</f>
        <v>600</v>
      </c>
      <c r="I9" s="2">
        <f>'看广告VIP特权|VIPAd'!X36</f>
        <v>5</v>
      </c>
      <c r="J9" s="2">
        <f>'看广告VIP特权|VIPAd'!Y36</f>
        <v>5</v>
      </c>
      <c r="K9" s="2">
        <f>'看广告VIP特权|VIPAd'!Z36</f>
        <v>5</v>
      </c>
      <c r="L9" s="2">
        <f>'看广告VIP特权|VIPAd'!AA36</f>
        <v>5</v>
      </c>
      <c r="M9" s="2">
        <f>'看广告VIP特权|VIPAd'!AB36</f>
        <v>5</v>
      </c>
      <c r="N9" s="67"/>
      <c r="O9" s="67" t="s">
        <v>364</v>
      </c>
      <c r="P9" s="2">
        <v>1404</v>
      </c>
      <c r="Q9" s="67" t="s">
        <v>1474</v>
      </c>
      <c r="R9" s="21" t="s">
        <v>1475</v>
      </c>
      <c r="S9" s="20" t="s">
        <v>1448</v>
      </c>
      <c r="T9" s="20" t="s">
        <v>1449</v>
      </c>
      <c r="U9" s="87">
        <v>999</v>
      </c>
      <c r="V9" s="87">
        <v>999</v>
      </c>
      <c r="W9" s="2">
        <v>0</v>
      </c>
      <c r="X9" s="88">
        <v>5</v>
      </c>
      <c r="Y9" s="91">
        <f>'全局参数|GlobalPar'!L19</f>
        <v>4000</v>
      </c>
      <c r="Z9" s="92">
        <f t="shared" ref="Z9:Z14" si="8">Z8</f>
        <v>3</v>
      </c>
      <c r="AA9" s="2">
        <v>1</v>
      </c>
      <c r="AB9" s="2">
        <v>1</v>
      </c>
      <c r="AC9" s="69">
        <v>10</v>
      </c>
      <c r="AD9" s="69">
        <v>100</v>
      </c>
      <c r="AE9" s="21" t="s">
        <v>1476</v>
      </c>
      <c r="AF9" s="21">
        <v>99999</v>
      </c>
      <c r="AG9" s="21">
        <v>4</v>
      </c>
      <c r="AH9" s="21">
        <v>30</v>
      </c>
      <c r="AI9" s="21">
        <v>2</v>
      </c>
      <c r="AJ9" s="21">
        <v>2</v>
      </c>
      <c r="AK9" s="21">
        <v>2</v>
      </c>
      <c r="AL9" s="21">
        <v>1</v>
      </c>
      <c r="AM9" s="21">
        <v>1</v>
      </c>
      <c r="AN9" s="69">
        <v>4</v>
      </c>
      <c r="AO9" s="2" t="s">
        <v>692</v>
      </c>
      <c r="AP9" s="101" t="s">
        <v>1477</v>
      </c>
      <c r="AQ9" s="2" t="s">
        <v>1467</v>
      </c>
      <c r="AR9" s="101" t="s">
        <v>1478</v>
      </c>
      <c r="AY9" s="15">
        <v>5000000</v>
      </c>
      <c r="AZ9" s="2">
        <v>0</v>
      </c>
      <c r="BA9" s="104">
        <f t="shared" si="6"/>
        <v>1.44</v>
      </c>
      <c r="BB9" s="105">
        <f t="shared" si="7"/>
        <v>0.96</v>
      </c>
      <c r="BC9" s="106">
        <v>999999999</v>
      </c>
      <c r="BD9" s="2" t="s">
        <v>1437</v>
      </c>
      <c r="BE9" s="114" t="str">
        <f>"[["&amp;CN15&amp;",["&amp;CL15&amp;","&amp;CM15&amp;"]],["&amp;CN16&amp;",["&amp;CL16&amp;","&amp;CM16&amp;"]],["&amp;CN17&amp;",["&amp;CL17&amp;","&amp;CM17&amp;"]],["&amp;CN18&amp;",["&amp;CL18&amp;","&amp;CM18&amp;"]],["&amp;CN19&amp;",["&amp;CL19&amp;","&amp;CM19&amp;"]],["&amp;CN20&amp;",["&amp;CL20&amp;","&amp;CM20&amp;"]],["&amp;CN21&amp;",["&amp;CL21&amp;","&amp;CM21&amp;"]],["&amp;CN22&amp;",["&amp;CL22&amp;","&amp;CM22&amp;"]]]"</f>
        <v>[[2,[0.4,0.8]],[7,[0.8,0.95]],[9,[0.9,0.95]],[32,[0.95,1]],[32,[1,1.05]],[9,[1.05,1.1]],[7,[1.05,1.2]],[2,[1.2,1.6]]]</v>
      </c>
      <c r="BF9" s="2" t="s">
        <v>1479</v>
      </c>
      <c r="BG9" s="2">
        <v>0.08</v>
      </c>
      <c r="BH9" s="112" t="s">
        <v>1480</v>
      </c>
      <c r="BI9" s="2" t="s">
        <v>1481</v>
      </c>
      <c r="BJ9" s="67" t="s">
        <v>1441</v>
      </c>
      <c r="BK9" s="67" t="s">
        <v>1442</v>
      </c>
      <c r="BL9" s="113">
        <f t="shared" si="1"/>
        <v>10100</v>
      </c>
      <c r="BM9" s="120">
        <v>0.2</v>
      </c>
      <c r="BN9" s="121">
        <v>0</v>
      </c>
      <c r="BO9" s="121">
        <v>50</v>
      </c>
      <c r="BP9" s="121">
        <v>50</v>
      </c>
      <c r="BQ9" s="67"/>
      <c r="BR9" s="2">
        <v>4.4999999999999997E-3</v>
      </c>
      <c r="BS9" s="2">
        <v>5</v>
      </c>
      <c r="BT9" s="2" t="s">
        <v>1482</v>
      </c>
      <c r="BV9">
        <v>1.01</v>
      </c>
      <c r="BW9" s="128">
        <v>20000</v>
      </c>
      <c r="BX9" s="129">
        <v>40000</v>
      </c>
      <c r="BY9" s="129">
        <f t="shared" si="2"/>
        <v>30000</v>
      </c>
      <c r="BZ9" s="129">
        <v>12</v>
      </c>
      <c r="CA9" s="130">
        <f t="shared" si="3"/>
        <v>60000</v>
      </c>
      <c r="CB9" s="131">
        <v>1</v>
      </c>
      <c r="CC9" s="136">
        <v>2</v>
      </c>
      <c r="CD9" s="70">
        <f t="shared" si="4"/>
        <v>1.5</v>
      </c>
      <c r="CE9" s="129">
        <v>12</v>
      </c>
      <c r="CF9" s="130">
        <f t="shared" si="5"/>
        <v>3</v>
      </c>
      <c r="CK9" s="140"/>
      <c r="CL9" s="140">
        <v>1</v>
      </c>
      <c r="CM9" s="140">
        <v>1.08</v>
      </c>
      <c r="CN9" s="140">
        <v>34</v>
      </c>
      <c r="CO9" s="140">
        <f t="shared" si="0"/>
        <v>0.35359999999999997</v>
      </c>
      <c r="CP9" s="140"/>
      <c r="CQ9" s="140"/>
    </row>
    <row r="10" spans="1:95" ht="16.2" x14ac:dyDescent="0.35">
      <c r="A10" s="2">
        <v>5</v>
      </c>
      <c r="B10" s="2">
        <v>2000</v>
      </c>
      <c r="C10" s="79" t="s">
        <v>1483</v>
      </c>
      <c r="D10" s="67" t="s">
        <v>1464</v>
      </c>
      <c r="E10" s="67" t="s">
        <v>646</v>
      </c>
      <c r="F10" s="78" t="s">
        <v>364</v>
      </c>
      <c r="G10" s="2">
        <f>'看广告VIP特权|VIPAd'!J46</f>
        <v>600</v>
      </c>
      <c r="H10" s="2">
        <f>'看广告VIP特权|VIPAd'!K46</f>
        <v>600</v>
      </c>
      <c r="I10" s="2">
        <f>'看广告VIP特权|VIPAd'!X46</f>
        <v>5</v>
      </c>
      <c r="J10" s="2">
        <f>'看广告VIP特权|VIPAd'!Y46</f>
        <v>5</v>
      </c>
      <c r="K10" s="2">
        <f>'看广告VIP特权|VIPAd'!Z46</f>
        <v>5</v>
      </c>
      <c r="L10" s="2">
        <f>'看广告VIP特权|VIPAd'!AA46</f>
        <v>5</v>
      </c>
      <c r="M10" s="2">
        <f>'看广告VIP特权|VIPAd'!AB46</f>
        <v>5</v>
      </c>
      <c r="N10" s="67"/>
      <c r="O10" s="67" t="s">
        <v>364</v>
      </c>
      <c r="P10" s="2">
        <v>1405</v>
      </c>
      <c r="Q10" s="67" t="s">
        <v>1484</v>
      </c>
      <c r="R10" s="21" t="s">
        <v>1485</v>
      </c>
      <c r="S10" s="20" t="s">
        <v>1486</v>
      </c>
      <c r="T10" s="20" t="s">
        <v>1487</v>
      </c>
      <c r="U10" s="87">
        <v>999</v>
      </c>
      <c r="V10" s="87">
        <v>999</v>
      </c>
      <c r="W10" s="69">
        <v>1000000</v>
      </c>
      <c r="X10" s="88">
        <v>5</v>
      </c>
      <c r="Y10" s="91">
        <f>'全局参数|GlobalPar'!L20</f>
        <v>6000</v>
      </c>
      <c r="Z10" s="93">
        <v>4</v>
      </c>
      <c r="AA10" s="2">
        <v>1</v>
      </c>
      <c r="AB10" s="2">
        <v>2</v>
      </c>
      <c r="AC10" s="69">
        <v>15</v>
      </c>
      <c r="AD10" s="69">
        <v>100</v>
      </c>
      <c r="AE10" s="21" t="s">
        <v>1476</v>
      </c>
      <c r="AF10" s="21">
        <v>99999</v>
      </c>
      <c r="AG10" s="21">
        <v>5</v>
      </c>
      <c r="AH10" s="21">
        <v>35</v>
      </c>
      <c r="AI10" s="21">
        <v>2</v>
      </c>
      <c r="AJ10" s="21">
        <v>2</v>
      </c>
      <c r="AK10" s="21">
        <v>2</v>
      </c>
      <c r="AL10" s="21">
        <v>1</v>
      </c>
      <c r="AM10" s="21">
        <v>1</v>
      </c>
      <c r="AN10" s="69">
        <v>6</v>
      </c>
      <c r="AO10" s="2" t="s">
        <v>692</v>
      </c>
      <c r="AP10" s="101" t="s">
        <v>1488</v>
      </c>
      <c r="AQ10" s="2" t="s">
        <v>1467</v>
      </c>
      <c r="AR10" s="101" t="s">
        <v>1477</v>
      </c>
      <c r="AY10" s="15">
        <v>8000000</v>
      </c>
      <c r="AZ10" s="2">
        <v>0</v>
      </c>
      <c r="BA10" s="104">
        <f t="shared" si="6"/>
        <v>1.44</v>
      </c>
      <c r="BB10" s="105">
        <f t="shared" si="7"/>
        <v>0.96</v>
      </c>
      <c r="BC10" s="106">
        <v>999999999</v>
      </c>
      <c r="BD10" s="2" t="s">
        <v>1437</v>
      </c>
      <c r="BE10" s="114" t="str">
        <f>BE9</f>
        <v>[[2,[0.4,0.8]],[7,[0.8,0.95]],[9,[0.9,0.95]],[32,[0.95,1]],[32,[1,1.05]],[9,[1.05,1.1]],[7,[1.05,1.2]],[2,[1.2,1.6]]]</v>
      </c>
      <c r="BF10" s="2" t="s">
        <v>1479</v>
      </c>
      <c r="BG10" s="2">
        <v>0.1</v>
      </c>
      <c r="BH10" s="112" t="s">
        <v>1489</v>
      </c>
      <c r="BI10" s="2" t="s">
        <v>1490</v>
      </c>
      <c r="BJ10" s="67" t="s">
        <v>1441</v>
      </c>
      <c r="BK10" s="67" t="s">
        <v>1491</v>
      </c>
      <c r="BL10" s="113">
        <f t="shared" si="1"/>
        <v>10200</v>
      </c>
      <c r="BM10" s="120">
        <v>0.25</v>
      </c>
      <c r="BN10" s="121">
        <v>0</v>
      </c>
      <c r="BO10" s="121">
        <v>70</v>
      </c>
      <c r="BP10" s="121">
        <v>70</v>
      </c>
      <c r="BQ10" s="67"/>
      <c r="BR10" s="2">
        <v>4.0000000000000001E-3</v>
      </c>
      <c r="BS10" s="2">
        <v>5</v>
      </c>
      <c r="BT10" s="2" t="s">
        <v>1492</v>
      </c>
      <c r="BV10">
        <v>1.02</v>
      </c>
      <c r="BW10" s="128">
        <v>40000</v>
      </c>
      <c r="BX10" s="129">
        <v>80000</v>
      </c>
      <c r="BY10" s="129">
        <f t="shared" si="2"/>
        <v>60000</v>
      </c>
      <c r="BZ10" s="129">
        <v>12</v>
      </c>
      <c r="CA10" s="130">
        <f t="shared" si="3"/>
        <v>120000</v>
      </c>
      <c r="CB10" s="131">
        <v>2</v>
      </c>
      <c r="CC10" s="136">
        <v>4</v>
      </c>
      <c r="CD10" s="70">
        <f t="shared" si="4"/>
        <v>3</v>
      </c>
      <c r="CE10" s="129">
        <v>12</v>
      </c>
      <c r="CF10" s="130">
        <f t="shared" si="5"/>
        <v>6</v>
      </c>
      <c r="CK10" s="140"/>
      <c r="CL10" s="140">
        <v>1.05</v>
      </c>
      <c r="CM10" s="140">
        <v>1.1499999999999999</v>
      </c>
      <c r="CN10" s="140">
        <v>10</v>
      </c>
      <c r="CO10" s="140">
        <f t="shared" si="0"/>
        <v>0.11</v>
      </c>
      <c r="CP10" s="140"/>
      <c r="CQ10" s="140"/>
    </row>
    <row r="11" spans="1:95" ht="16.2" x14ac:dyDescent="0.35">
      <c r="A11" s="2">
        <v>6</v>
      </c>
      <c r="B11" s="2">
        <v>5000</v>
      </c>
      <c r="C11" s="79" t="s">
        <v>1493</v>
      </c>
      <c r="D11" s="67" t="s">
        <v>1494</v>
      </c>
      <c r="E11" s="67" t="s">
        <v>364</v>
      </c>
      <c r="F11" s="78" t="s">
        <v>364</v>
      </c>
      <c r="G11" s="2">
        <f>'看广告VIP特权|VIPAd'!J56</f>
        <v>600</v>
      </c>
      <c r="H11" s="2">
        <f>'看广告VIP特权|VIPAd'!K56</f>
        <v>600</v>
      </c>
      <c r="I11" s="2">
        <f>'看广告VIP特权|VIPAd'!X56</f>
        <v>5</v>
      </c>
      <c r="J11" s="2">
        <f>'看广告VIP特权|VIPAd'!Y56</f>
        <v>5</v>
      </c>
      <c r="K11" s="2">
        <f>'看广告VIP特权|VIPAd'!Z56</f>
        <v>5</v>
      </c>
      <c r="L11" s="2">
        <f>'看广告VIP特权|VIPAd'!AA56</f>
        <v>5</v>
      </c>
      <c r="M11" s="2">
        <f>'看广告VIP特权|VIPAd'!AB56</f>
        <v>5</v>
      </c>
      <c r="N11" s="67"/>
      <c r="O11" s="67" t="s">
        <v>646</v>
      </c>
      <c r="P11" s="2">
        <v>1406</v>
      </c>
      <c r="Q11" s="67" t="s">
        <v>1495</v>
      </c>
      <c r="R11" s="21" t="s">
        <v>1496</v>
      </c>
      <c r="S11" s="20" t="s">
        <v>1486</v>
      </c>
      <c r="T11" s="20" t="s">
        <v>1487</v>
      </c>
      <c r="U11" s="87">
        <v>999</v>
      </c>
      <c r="V11" s="87">
        <v>999</v>
      </c>
      <c r="W11" s="69">
        <v>2000000</v>
      </c>
      <c r="X11" s="88">
        <v>6</v>
      </c>
      <c r="Y11" s="91">
        <f>'全局参数|GlobalPar'!L21</f>
        <v>6000</v>
      </c>
      <c r="Z11" s="92">
        <f t="shared" si="8"/>
        <v>4</v>
      </c>
      <c r="AA11" s="2">
        <v>1</v>
      </c>
      <c r="AB11" s="2">
        <v>2</v>
      </c>
      <c r="AC11" s="69">
        <v>20</v>
      </c>
      <c r="AD11" s="69">
        <v>100</v>
      </c>
      <c r="AE11" s="21" t="s">
        <v>1497</v>
      </c>
      <c r="AF11" s="21">
        <v>99999</v>
      </c>
      <c r="AG11" s="21">
        <v>6</v>
      </c>
      <c r="AH11" s="21">
        <v>40</v>
      </c>
      <c r="AI11" s="21">
        <v>2</v>
      </c>
      <c r="AJ11" s="21">
        <v>2</v>
      </c>
      <c r="AK11" s="21">
        <v>2</v>
      </c>
      <c r="AL11" s="21">
        <v>1</v>
      </c>
      <c r="AM11" s="21">
        <v>1</v>
      </c>
      <c r="AN11" s="69">
        <v>8</v>
      </c>
      <c r="AO11" s="2" t="s">
        <v>692</v>
      </c>
      <c r="AP11" s="101" t="s">
        <v>1498</v>
      </c>
      <c r="AQ11" s="2" t="s">
        <v>1467</v>
      </c>
      <c r="AR11" s="101" t="s">
        <v>1456</v>
      </c>
      <c r="AY11" s="15">
        <v>10000000</v>
      </c>
      <c r="AZ11" s="2">
        <v>0</v>
      </c>
      <c r="BA11" s="104">
        <f t="shared" si="6"/>
        <v>1.44</v>
      </c>
      <c r="BB11" s="105">
        <f t="shared" si="7"/>
        <v>0.96</v>
      </c>
      <c r="BC11" s="106">
        <v>999999999</v>
      </c>
      <c r="BD11" s="2" t="s">
        <v>1437</v>
      </c>
      <c r="BE11" s="114" t="str">
        <f>BE10</f>
        <v>[[2,[0.4,0.8]],[7,[0.8,0.95]],[9,[0.9,0.95]],[32,[0.95,1]],[32,[1,1.05]],[9,[1.05,1.1]],[7,[1.05,1.2]],[2,[1.2,1.6]]]</v>
      </c>
      <c r="BF11" s="2" t="s">
        <v>1499</v>
      </c>
      <c r="BG11" s="2">
        <v>0.12</v>
      </c>
      <c r="BH11" s="112" t="s">
        <v>1500</v>
      </c>
      <c r="BI11" s="2" t="s">
        <v>1501</v>
      </c>
      <c r="BJ11" s="67" t="s">
        <v>1441</v>
      </c>
      <c r="BK11" s="67" t="s">
        <v>1502</v>
      </c>
      <c r="BL11" s="113">
        <f t="shared" si="1"/>
        <v>10250</v>
      </c>
      <c r="BM11" s="120">
        <v>0.3</v>
      </c>
      <c r="BN11" s="121">
        <v>0</v>
      </c>
      <c r="BO11" s="121">
        <v>100</v>
      </c>
      <c r="BP11" s="121">
        <v>100</v>
      </c>
      <c r="BQ11" s="67"/>
      <c r="BR11" s="2">
        <v>3.5000000000000001E-3</v>
      </c>
      <c r="BS11" s="2">
        <v>10</v>
      </c>
      <c r="BT11" s="2" t="s">
        <v>1503</v>
      </c>
      <c r="BV11">
        <v>1.0249999999999999</v>
      </c>
      <c r="BW11" s="128">
        <v>40000</v>
      </c>
      <c r="BX11" s="129">
        <v>80000</v>
      </c>
      <c r="BY11" s="129">
        <f t="shared" si="2"/>
        <v>60000</v>
      </c>
      <c r="BZ11" s="129">
        <v>12</v>
      </c>
      <c r="CA11" s="130">
        <f t="shared" si="3"/>
        <v>120000</v>
      </c>
      <c r="CB11" s="131">
        <v>2</v>
      </c>
      <c r="CC11" s="136">
        <v>4</v>
      </c>
      <c r="CD11" s="70">
        <f t="shared" si="4"/>
        <v>3</v>
      </c>
      <c r="CE11" s="129">
        <v>12</v>
      </c>
      <c r="CF11" s="130">
        <f t="shared" si="5"/>
        <v>6</v>
      </c>
      <c r="CK11" s="140"/>
      <c r="CL11" s="140">
        <v>1.05</v>
      </c>
      <c r="CM11" s="140">
        <v>1.3</v>
      </c>
      <c r="CN11" s="140">
        <v>4</v>
      </c>
      <c r="CO11" s="140">
        <f t="shared" si="0"/>
        <v>4.7E-2</v>
      </c>
      <c r="CP11" s="140"/>
      <c r="CQ11" s="140"/>
    </row>
    <row r="12" spans="1:95" ht="16.2" x14ac:dyDescent="0.35">
      <c r="A12" s="2">
        <v>7</v>
      </c>
      <c r="B12" s="2">
        <v>10000</v>
      </c>
      <c r="C12" s="79" t="s">
        <v>1504</v>
      </c>
      <c r="D12" s="67" t="s">
        <v>1505</v>
      </c>
      <c r="E12" s="67" t="s">
        <v>530</v>
      </c>
      <c r="F12" s="78" t="s">
        <v>646</v>
      </c>
      <c r="G12" s="2">
        <f>'看广告VIP特权|VIPAd'!J66</f>
        <v>600</v>
      </c>
      <c r="H12" s="2">
        <f>'看广告VIP特权|VIPAd'!K66</f>
        <v>600</v>
      </c>
      <c r="I12" s="2">
        <f>'看广告VIP特权|VIPAd'!X66</f>
        <v>5</v>
      </c>
      <c r="J12" s="2">
        <f>'看广告VIP特权|VIPAd'!Y66</f>
        <v>5</v>
      </c>
      <c r="K12" s="2">
        <f>'看广告VIP特权|VIPAd'!Z66</f>
        <v>5</v>
      </c>
      <c r="L12" s="2">
        <f>'看广告VIP特权|VIPAd'!AA66</f>
        <v>5</v>
      </c>
      <c r="M12" s="2">
        <f>'看广告VIP特权|VIPAd'!AB66</f>
        <v>5</v>
      </c>
      <c r="N12" s="67"/>
      <c r="O12" s="67" t="s">
        <v>646</v>
      </c>
      <c r="P12" s="2">
        <v>1407</v>
      </c>
      <c r="Q12" s="67" t="s">
        <v>1506</v>
      </c>
      <c r="R12" s="21" t="s">
        <v>1507</v>
      </c>
      <c r="S12" s="20" t="s">
        <v>1486</v>
      </c>
      <c r="T12" s="20" t="s">
        <v>1487</v>
      </c>
      <c r="U12" s="87">
        <v>999</v>
      </c>
      <c r="V12" s="87">
        <v>999</v>
      </c>
      <c r="W12" s="71">
        <v>10000000</v>
      </c>
      <c r="X12" s="88">
        <v>6</v>
      </c>
      <c r="Y12" s="91">
        <f>'全局参数|GlobalPar'!L22</f>
        <v>8000</v>
      </c>
      <c r="Z12" s="93">
        <v>5</v>
      </c>
      <c r="AA12" s="2">
        <v>1</v>
      </c>
      <c r="AB12" s="2">
        <v>3</v>
      </c>
      <c r="AC12" s="69">
        <v>20</v>
      </c>
      <c r="AD12" s="69">
        <v>100</v>
      </c>
      <c r="AE12" s="21" t="s">
        <v>1508</v>
      </c>
      <c r="AF12" s="21">
        <v>99999</v>
      </c>
      <c r="AG12" s="21">
        <v>7</v>
      </c>
      <c r="AH12" s="21">
        <v>45</v>
      </c>
      <c r="AI12" s="21">
        <v>2</v>
      </c>
      <c r="AJ12" s="21">
        <v>2</v>
      </c>
      <c r="AK12" s="21">
        <v>2</v>
      </c>
      <c r="AL12" s="21">
        <v>1</v>
      </c>
      <c r="AM12" s="21">
        <v>1</v>
      </c>
      <c r="AN12" s="69">
        <v>10</v>
      </c>
      <c r="AO12" s="2" t="s">
        <v>1509</v>
      </c>
      <c r="AP12" s="101" t="s">
        <v>1478</v>
      </c>
      <c r="AQ12" s="2" t="s">
        <v>1510</v>
      </c>
      <c r="AR12" s="101" t="s">
        <v>1465</v>
      </c>
      <c r="AS12" s="2" t="s">
        <v>1511</v>
      </c>
      <c r="AT12" s="101" t="s">
        <v>1498</v>
      </c>
      <c r="AY12" s="15">
        <v>12000000</v>
      </c>
      <c r="AZ12" s="2">
        <v>0</v>
      </c>
      <c r="BA12" s="104">
        <f t="shared" si="6"/>
        <v>1.44</v>
      </c>
      <c r="BB12" s="105">
        <f t="shared" si="7"/>
        <v>0.96</v>
      </c>
      <c r="BC12" s="106">
        <v>999999999</v>
      </c>
      <c r="BD12" s="2" t="s">
        <v>1437</v>
      </c>
      <c r="BE12" s="114" t="str">
        <f>BE11</f>
        <v>[[2,[0.4,0.8]],[7,[0.8,0.95]],[9,[0.9,0.95]],[32,[0.95,1]],[32,[1,1.05]],[9,[1.05,1.1]],[7,[1.05,1.2]],[2,[1.2,1.6]]]</v>
      </c>
      <c r="BF12" s="2" t="s">
        <v>1499</v>
      </c>
      <c r="BG12" s="2">
        <v>0.14000000000000001</v>
      </c>
      <c r="BH12" s="112" t="s">
        <v>1500</v>
      </c>
      <c r="BI12" s="2" t="s">
        <v>1512</v>
      </c>
      <c r="BJ12" s="67" t="s">
        <v>1441</v>
      </c>
      <c r="BK12" s="67" t="s">
        <v>1275</v>
      </c>
      <c r="BL12" s="113">
        <f t="shared" si="1"/>
        <v>10300</v>
      </c>
      <c r="BM12" s="120">
        <v>0.35</v>
      </c>
      <c r="BN12" s="121">
        <v>0</v>
      </c>
      <c r="BO12" s="121">
        <v>150</v>
      </c>
      <c r="BP12" s="121">
        <v>150</v>
      </c>
      <c r="BQ12" s="67"/>
      <c r="BR12" s="2">
        <v>3.0000000000000001E-3</v>
      </c>
      <c r="BS12" s="2">
        <v>10</v>
      </c>
      <c r="BT12" s="2" t="s">
        <v>1513</v>
      </c>
      <c r="BV12">
        <v>1.03</v>
      </c>
      <c r="BW12" s="128">
        <v>40000</v>
      </c>
      <c r="BX12" s="129">
        <v>80000</v>
      </c>
      <c r="BY12" s="129">
        <f t="shared" si="2"/>
        <v>60000</v>
      </c>
      <c r="BZ12" s="129">
        <v>12</v>
      </c>
      <c r="CA12" s="130">
        <f t="shared" si="3"/>
        <v>120000</v>
      </c>
      <c r="CB12" s="131">
        <v>2</v>
      </c>
      <c r="CC12" s="136">
        <v>4</v>
      </c>
      <c r="CD12" s="70">
        <f t="shared" si="4"/>
        <v>3</v>
      </c>
      <c r="CE12" s="129">
        <v>12</v>
      </c>
      <c r="CF12" s="130">
        <f t="shared" si="5"/>
        <v>6</v>
      </c>
      <c r="CK12" s="140"/>
      <c r="CL12" s="140">
        <v>1.2</v>
      </c>
      <c r="CM12" s="140">
        <v>1.6</v>
      </c>
      <c r="CN12" s="140">
        <v>2</v>
      </c>
      <c r="CO12" s="140">
        <f t="shared" si="0"/>
        <v>2.7999999999999997E-2</v>
      </c>
      <c r="CP12" s="140"/>
      <c r="CQ12" s="140"/>
    </row>
    <row r="13" spans="1:95" ht="16.2" x14ac:dyDescent="0.35">
      <c r="A13" s="2">
        <v>8</v>
      </c>
      <c r="B13" s="80">
        <v>20000</v>
      </c>
      <c r="C13" s="79" t="s">
        <v>1514</v>
      </c>
      <c r="D13" s="67" t="s">
        <v>1515</v>
      </c>
      <c r="E13" s="67" t="s">
        <v>385</v>
      </c>
      <c r="F13" s="78" t="s">
        <v>646</v>
      </c>
      <c r="G13" s="2">
        <f>'看广告VIP特权|VIPAd'!J76</f>
        <v>600</v>
      </c>
      <c r="H13" s="2">
        <f>'看广告VIP特权|VIPAd'!K76</f>
        <v>600</v>
      </c>
      <c r="I13" s="2">
        <f>'看广告VIP特权|VIPAd'!X76</f>
        <v>5</v>
      </c>
      <c r="J13" s="2">
        <f>'看广告VIP特权|VIPAd'!Y76</f>
        <v>5</v>
      </c>
      <c r="K13" s="2">
        <f>'看广告VIP特权|VIPAd'!Z76</f>
        <v>5</v>
      </c>
      <c r="L13" s="2">
        <f>'看广告VIP特权|VIPAd'!AA76</f>
        <v>5</v>
      </c>
      <c r="M13" s="2">
        <f>'看广告VIP特权|VIPAd'!AB76</f>
        <v>5</v>
      </c>
      <c r="N13" s="67"/>
      <c r="O13" s="67" t="s">
        <v>473</v>
      </c>
      <c r="P13" s="2">
        <v>1408</v>
      </c>
      <c r="Q13" s="67" t="s">
        <v>1516</v>
      </c>
      <c r="R13" s="21" t="s">
        <v>1517</v>
      </c>
      <c r="S13" s="20" t="s">
        <v>1486</v>
      </c>
      <c r="T13" s="20" t="s">
        <v>1487</v>
      </c>
      <c r="U13" s="87">
        <v>999</v>
      </c>
      <c r="V13" s="87">
        <v>999</v>
      </c>
      <c r="W13" s="71">
        <v>20000000</v>
      </c>
      <c r="X13" s="88">
        <v>6</v>
      </c>
      <c r="Y13" s="91">
        <f>'全局参数|GlobalPar'!L23</f>
        <v>8000</v>
      </c>
      <c r="Z13" s="92">
        <f t="shared" si="8"/>
        <v>5</v>
      </c>
      <c r="AA13" s="2">
        <v>1</v>
      </c>
      <c r="AB13" s="2">
        <v>3</v>
      </c>
      <c r="AC13" s="69">
        <v>20</v>
      </c>
      <c r="AD13" s="69">
        <v>100</v>
      </c>
      <c r="AE13" s="21" t="s">
        <v>1518</v>
      </c>
      <c r="AF13" s="21">
        <v>99999</v>
      </c>
      <c r="AG13" s="21">
        <v>8</v>
      </c>
      <c r="AH13" s="21">
        <v>50</v>
      </c>
      <c r="AI13" s="21">
        <v>2</v>
      </c>
      <c r="AJ13" s="21">
        <v>2</v>
      </c>
      <c r="AK13" s="21">
        <v>2</v>
      </c>
      <c r="AL13" s="21">
        <v>1</v>
      </c>
      <c r="AM13" s="21">
        <v>1</v>
      </c>
      <c r="AN13" s="69">
        <v>12</v>
      </c>
      <c r="AO13" s="2" t="s">
        <v>1509</v>
      </c>
      <c r="AP13" s="101" t="s">
        <v>1474</v>
      </c>
      <c r="AQ13" s="2" t="s">
        <v>1510</v>
      </c>
      <c r="AR13" s="101" t="s">
        <v>1478</v>
      </c>
      <c r="AS13" s="2" t="s">
        <v>1511</v>
      </c>
      <c r="AT13" s="101" t="s">
        <v>1465</v>
      </c>
      <c r="AU13" s="2" t="s">
        <v>1519</v>
      </c>
      <c r="AV13" s="101" t="s">
        <v>1498</v>
      </c>
      <c r="AY13" s="15">
        <v>15000000</v>
      </c>
      <c r="AZ13" s="2">
        <v>0</v>
      </c>
      <c r="BA13" s="104">
        <f t="shared" si="6"/>
        <v>1.44</v>
      </c>
      <c r="BB13" s="105">
        <f t="shared" si="7"/>
        <v>0.96</v>
      </c>
      <c r="BC13" s="106">
        <v>999999999</v>
      </c>
      <c r="BD13" s="2" t="s">
        <v>1437</v>
      </c>
      <c r="BE13" s="115" t="str">
        <f>"[["&amp;CN25&amp;",["&amp;CL25&amp;","&amp;CM25&amp;"]],["&amp;CN26&amp;",["&amp;CL26&amp;","&amp;CM26&amp;"]],["&amp;CN27&amp;",["&amp;CL27&amp;","&amp;CM27&amp;"]],["&amp;CN28&amp;",["&amp;CL28&amp;","&amp;CM28&amp;"]],["&amp;CN29&amp;",["&amp;CL29&amp;","&amp;CM29&amp;"]],["&amp;CN30&amp;",["&amp;CL30&amp;","&amp;CM30&amp;"]],["&amp;CN31&amp;",["&amp;CL31&amp;","&amp;CM31&amp;"]],["&amp;CN32&amp;",["&amp;CL32&amp;","&amp;CM32&amp;"]]]"</f>
        <v>[[4,[0.3,0.8]],[8,[0.7,0.95]],[8,[0.8,0.95]],[30,[0.95,1]],[30,[1,1.05]],[8,[1.05,1.2]],[8,[1.05,1.3]],[4,[1.2,1.7]]]</v>
      </c>
      <c r="BF13" s="2" t="s">
        <v>1520</v>
      </c>
      <c r="BG13" s="2">
        <v>0.16</v>
      </c>
      <c r="BH13" s="112" t="s">
        <v>1500</v>
      </c>
      <c r="BI13" s="2" t="s">
        <v>1521</v>
      </c>
      <c r="BJ13" s="67" t="s">
        <v>1441</v>
      </c>
      <c r="BK13" s="67" t="s">
        <v>1522</v>
      </c>
      <c r="BL13" s="113">
        <f t="shared" si="1"/>
        <v>10350</v>
      </c>
      <c r="BM13" s="120">
        <v>0.4</v>
      </c>
      <c r="BN13" s="121">
        <v>0</v>
      </c>
      <c r="BO13" s="121">
        <v>200</v>
      </c>
      <c r="BP13" s="121">
        <v>200</v>
      </c>
      <c r="BQ13" s="67"/>
      <c r="BR13" s="2">
        <v>2.5000000000000001E-3</v>
      </c>
      <c r="BS13" s="2">
        <v>20</v>
      </c>
      <c r="BT13" s="2" t="s">
        <v>1523</v>
      </c>
      <c r="BV13">
        <v>1.0349999999999999</v>
      </c>
      <c r="BW13" s="128">
        <v>40000</v>
      </c>
      <c r="BX13" s="129">
        <v>80000</v>
      </c>
      <c r="BY13" s="129">
        <f t="shared" si="2"/>
        <v>60000</v>
      </c>
      <c r="BZ13" s="129">
        <v>12</v>
      </c>
      <c r="CA13" s="130">
        <f t="shared" si="3"/>
        <v>120000</v>
      </c>
      <c r="CB13" s="131">
        <v>2</v>
      </c>
      <c r="CC13" s="136">
        <v>4</v>
      </c>
      <c r="CD13" s="70">
        <f t="shared" si="4"/>
        <v>3</v>
      </c>
      <c r="CE13" s="129">
        <v>12</v>
      </c>
      <c r="CF13" s="130">
        <f t="shared" si="5"/>
        <v>6</v>
      </c>
    </row>
    <row r="14" spans="1:95" ht="16.2" x14ac:dyDescent="0.35">
      <c r="A14" s="2">
        <v>9</v>
      </c>
      <c r="B14" s="80">
        <v>50000</v>
      </c>
      <c r="C14" s="79" t="s">
        <v>1514</v>
      </c>
      <c r="D14" s="67" t="s">
        <v>1524</v>
      </c>
      <c r="E14" s="67" t="s">
        <v>385</v>
      </c>
      <c r="F14" s="78" t="s">
        <v>646</v>
      </c>
      <c r="G14" s="2">
        <f>'看广告VIP特权|VIPAd'!J86</f>
        <v>600</v>
      </c>
      <c r="H14" s="2">
        <f>'看广告VIP特权|VIPAd'!K86</f>
        <v>600</v>
      </c>
      <c r="I14" s="2">
        <f>'看广告VIP特权|VIPAd'!X86</f>
        <v>5</v>
      </c>
      <c r="J14" s="2">
        <f>'看广告VIP特权|VIPAd'!Y86</f>
        <v>5</v>
      </c>
      <c r="K14" s="2">
        <f>'看广告VIP特权|VIPAd'!Z86</f>
        <v>5</v>
      </c>
      <c r="L14" s="2">
        <f>'看广告VIP特权|VIPAd'!AA86</f>
        <v>5</v>
      </c>
      <c r="M14" s="2">
        <f>'看广告VIP特权|VIPAd'!AB86</f>
        <v>5</v>
      </c>
      <c r="N14" s="67"/>
      <c r="O14" s="67" t="s">
        <v>473</v>
      </c>
      <c r="P14" s="2">
        <v>1409</v>
      </c>
      <c r="Q14" s="67" t="s">
        <v>1525</v>
      </c>
      <c r="R14" s="21" t="s">
        <v>1526</v>
      </c>
      <c r="S14" s="20" t="s">
        <v>1527</v>
      </c>
      <c r="T14" s="20" t="s">
        <v>1528</v>
      </c>
      <c r="U14" s="87">
        <v>999</v>
      </c>
      <c r="V14" s="87">
        <v>999</v>
      </c>
      <c r="W14" s="71">
        <v>40000000</v>
      </c>
      <c r="X14" s="88">
        <v>6</v>
      </c>
      <c r="Y14" s="91">
        <f>'全局参数|GlobalPar'!L24</f>
        <v>8000</v>
      </c>
      <c r="Z14" s="92">
        <f t="shared" si="8"/>
        <v>5</v>
      </c>
      <c r="AA14" s="2">
        <v>1</v>
      </c>
      <c r="AB14" s="2">
        <v>3</v>
      </c>
      <c r="AC14" s="69">
        <v>20</v>
      </c>
      <c r="AD14" s="69">
        <v>100</v>
      </c>
      <c r="AE14" s="21" t="s">
        <v>1529</v>
      </c>
      <c r="AF14" s="21">
        <v>99999</v>
      </c>
      <c r="AG14" s="21">
        <v>9</v>
      </c>
      <c r="AH14" s="21">
        <v>55</v>
      </c>
      <c r="AI14" s="21">
        <v>2</v>
      </c>
      <c r="AJ14" s="21">
        <v>2</v>
      </c>
      <c r="AK14" s="21">
        <v>2</v>
      </c>
      <c r="AL14" s="21">
        <v>1</v>
      </c>
      <c r="AM14" s="21">
        <v>1</v>
      </c>
      <c r="AN14" s="69">
        <v>15</v>
      </c>
      <c r="AO14" s="2" t="s">
        <v>1509</v>
      </c>
      <c r="AP14" s="101" t="s">
        <v>1484</v>
      </c>
      <c r="AQ14" s="2" t="s">
        <v>1510</v>
      </c>
      <c r="AR14" s="101" t="s">
        <v>1474</v>
      </c>
      <c r="AS14" s="2" t="s">
        <v>1511</v>
      </c>
      <c r="AT14" s="101" t="s">
        <v>1478</v>
      </c>
      <c r="AU14" s="2" t="s">
        <v>1519</v>
      </c>
      <c r="AV14" s="101" t="s">
        <v>1465</v>
      </c>
      <c r="AW14" s="2" t="s">
        <v>1530</v>
      </c>
      <c r="AX14" s="101" t="s">
        <v>1498</v>
      </c>
      <c r="AY14" s="15">
        <v>30000000</v>
      </c>
      <c r="AZ14" s="2">
        <v>0</v>
      </c>
      <c r="BA14" s="104">
        <f t="shared" si="6"/>
        <v>1.44</v>
      </c>
      <c r="BB14" s="105">
        <f t="shared" si="7"/>
        <v>0.96</v>
      </c>
      <c r="BC14" s="106">
        <v>999999999</v>
      </c>
      <c r="BD14" s="2" t="s">
        <v>1437</v>
      </c>
      <c r="BE14" s="115" t="str">
        <f>BE13</f>
        <v>[[4,[0.3,0.8]],[8,[0.7,0.95]],[8,[0.8,0.95]],[30,[0.95,1]],[30,[1,1.05]],[8,[1.05,1.2]],[8,[1.05,1.3]],[4,[1.2,1.7]]]</v>
      </c>
      <c r="BF14" s="2" t="s">
        <v>1520</v>
      </c>
      <c r="BG14" s="2">
        <v>0.18</v>
      </c>
      <c r="BH14" s="112" t="s">
        <v>1500</v>
      </c>
      <c r="BI14" s="2" t="s">
        <v>1531</v>
      </c>
      <c r="BJ14" s="67" t="s">
        <v>1441</v>
      </c>
      <c r="BK14" s="67" t="s">
        <v>1532</v>
      </c>
      <c r="BL14" s="113">
        <f t="shared" si="1"/>
        <v>10400</v>
      </c>
      <c r="BM14" s="120">
        <v>0.45</v>
      </c>
      <c r="BN14" s="121">
        <v>0</v>
      </c>
      <c r="BO14" s="121">
        <v>300</v>
      </c>
      <c r="BP14" s="121">
        <v>300</v>
      </c>
      <c r="BQ14" s="67"/>
      <c r="BR14" s="24"/>
      <c r="BS14" s="2">
        <v>20</v>
      </c>
      <c r="BT14" s="2" t="s">
        <v>1533</v>
      </c>
      <c r="BV14">
        <v>1.04</v>
      </c>
      <c r="BW14" s="128">
        <v>80000</v>
      </c>
      <c r="BX14" s="129">
        <v>120000</v>
      </c>
      <c r="BY14" s="129">
        <f t="shared" si="2"/>
        <v>100000</v>
      </c>
      <c r="BZ14" s="129">
        <v>12</v>
      </c>
      <c r="CA14" s="130">
        <f t="shared" si="3"/>
        <v>200000</v>
      </c>
      <c r="CB14" s="131">
        <v>4</v>
      </c>
      <c r="CC14" s="136">
        <v>6</v>
      </c>
      <c r="CD14" s="70">
        <f t="shared" si="4"/>
        <v>5</v>
      </c>
      <c r="CE14" s="129">
        <v>12</v>
      </c>
      <c r="CF14" s="130">
        <f t="shared" si="5"/>
        <v>10</v>
      </c>
      <c r="CK14" s="139" t="s">
        <v>1534</v>
      </c>
      <c r="CL14" s="140" t="s">
        <v>1431</v>
      </c>
      <c r="CM14" s="140" t="s">
        <v>1432</v>
      </c>
      <c r="CN14" s="140" t="s">
        <v>143</v>
      </c>
      <c r="CO14" s="140" t="s">
        <v>919</v>
      </c>
      <c r="CP14" s="140"/>
      <c r="CQ14" s="140"/>
    </row>
    <row r="15" spans="1:95" ht="16.2" x14ac:dyDescent="0.35">
      <c r="A15" s="2">
        <v>10</v>
      </c>
      <c r="B15" s="80">
        <v>100000</v>
      </c>
      <c r="C15" s="79" t="s">
        <v>1535</v>
      </c>
      <c r="D15" s="67" t="s">
        <v>1524</v>
      </c>
      <c r="E15" s="67" t="s">
        <v>385</v>
      </c>
      <c r="F15" s="78" t="s">
        <v>473</v>
      </c>
      <c r="G15" s="2">
        <f>'看广告VIP特权|VIPAd'!J96</f>
        <v>600</v>
      </c>
      <c r="H15" s="2">
        <f>'看广告VIP特权|VIPAd'!K96</f>
        <v>600</v>
      </c>
      <c r="I15" s="2">
        <f>'看广告VIP特权|VIPAd'!X96</f>
        <v>5</v>
      </c>
      <c r="J15" s="2">
        <f>'看广告VIP特权|VIPAd'!Y96</f>
        <v>5</v>
      </c>
      <c r="K15" s="2">
        <f>'看广告VIP特权|VIPAd'!Z96</f>
        <v>5</v>
      </c>
      <c r="L15" s="2">
        <f>'看广告VIP特权|VIPAd'!AA96</f>
        <v>5</v>
      </c>
      <c r="M15" s="2">
        <f>'看广告VIP特权|VIPAd'!AB96</f>
        <v>5</v>
      </c>
      <c r="N15" s="67"/>
      <c r="O15" s="67" t="s">
        <v>473</v>
      </c>
      <c r="P15" s="2">
        <v>1410</v>
      </c>
      <c r="Q15" s="67" t="s">
        <v>1536</v>
      </c>
      <c r="R15" s="21" t="s">
        <v>1537</v>
      </c>
      <c r="S15" s="20" t="s">
        <v>1527</v>
      </c>
      <c r="T15" s="20" t="s">
        <v>1528</v>
      </c>
      <c r="U15" s="87">
        <v>999</v>
      </c>
      <c r="V15" s="87">
        <v>999</v>
      </c>
      <c r="W15" s="71">
        <v>50000000</v>
      </c>
      <c r="X15" s="88">
        <v>6</v>
      </c>
      <c r="Y15" s="91">
        <f>'全局参数|GlobalPar'!L25</f>
        <v>8000</v>
      </c>
      <c r="Z15" s="71">
        <v>10</v>
      </c>
      <c r="AA15" s="2">
        <v>1</v>
      </c>
      <c r="AB15" s="2">
        <v>3</v>
      </c>
      <c r="AC15" s="69">
        <v>25</v>
      </c>
      <c r="AD15" s="69">
        <v>100</v>
      </c>
      <c r="AE15" s="21" t="s">
        <v>1538</v>
      </c>
      <c r="AF15" s="21">
        <v>99999</v>
      </c>
      <c r="AG15" s="21">
        <v>10</v>
      </c>
      <c r="AH15" s="21">
        <v>60</v>
      </c>
      <c r="AI15" s="21">
        <v>2</v>
      </c>
      <c r="AJ15" s="21">
        <v>2</v>
      </c>
      <c r="AK15" s="21">
        <v>2</v>
      </c>
      <c r="AL15" s="21">
        <v>1</v>
      </c>
      <c r="AM15" s="21">
        <v>1</v>
      </c>
      <c r="AN15" s="69">
        <v>18</v>
      </c>
      <c r="AO15" s="2" t="s">
        <v>1509</v>
      </c>
      <c r="AP15" s="101" t="s">
        <v>1539</v>
      </c>
      <c r="AQ15" s="2" t="s">
        <v>1510</v>
      </c>
      <c r="AR15" s="101" t="s">
        <v>1484</v>
      </c>
      <c r="AS15" s="2" t="s">
        <v>1511</v>
      </c>
      <c r="AT15" s="101" t="s">
        <v>1474</v>
      </c>
      <c r="AU15" s="2" t="s">
        <v>1519</v>
      </c>
      <c r="AV15" s="101" t="s">
        <v>1478</v>
      </c>
      <c r="AW15" s="2" t="s">
        <v>1530</v>
      </c>
      <c r="AX15" s="101" t="s">
        <v>1465</v>
      </c>
      <c r="AY15" s="107">
        <v>50000000</v>
      </c>
      <c r="AZ15" s="2">
        <v>0</v>
      </c>
      <c r="BA15" s="104">
        <f t="shared" si="6"/>
        <v>1.44</v>
      </c>
      <c r="BB15" s="105">
        <f t="shared" si="7"/>
        <v>0.96</v>
      </c>
      <c r="BC15" s="106">
        <v>999999999</v>
      </c>
      <c r="BD15" s="2" t="s">
        <v>1437</v>
      </c>
      <c r="BE15" s="115" t="str">
        <f>BE14</f>
        <v>[[4,[0.3,0.8]],[8,[0.7,0.95]],[8,[0.8,0.95]],[30,[0.95,1]],[30,[1,1.05]],[8,[1.05,1.2]],[8,[1.05,1.3]],[4,[1.2,1.7]]]</v>
      </c>
      <c r="BF15" s="2" t="s">
        <v>1520</v>
      </c>
      <c r="BG15" s="2">
        <v>0.2</v>
      </c>
      <c r="BH15" s="112" t="s">
        <v>1500</v>
      </c>
      <c r="BI15" s="2" t="s">
        <v>1540</v>
      </c>
      <c r="BJ15" s="67" t="s">
        <v>1441</v>
      </c>
      <c r="BK15" s="67" t="s">
        <v>1541</v>
      </c>
      <c r="BL15" s="113">
        <f t="shared" si="1"/>
        <v>10400</v>
      </c>
      <c r="BM15" s="120">
        <v>0.5</v>
      </c>
      <c r="BN15" s="121">
        <v>0</v>
      </c>
      <c r="BO15" s="121">
        <v>350</v>
      </c>
      <c r="BP15" s="121">
        <v>350</v>
      </c>
      <c r="BQ15" s="67"/>
      <c r="BV15">
        <v>1.04</v>
      </c>
      <c r="BW15" s="132">
        <v>80000</v>
      </c>
      <c r="BX15" s="133">
        <v>120000</v>
      </c>
      <c r="BY15" s="133">
        <f t="shared" si="2"/>
        <v>100000</v>
      </c>
      <c r="BZ15" s="133">
        <v>12</v>
      </c>
      <c r="CA15" s="134">
        <f t="shared" si="3"/>
        <v>200000</v>
      </c>
      <c r="CB15" s="135">
        <v>4</v>
      </c>
      <c r="CC15" s="137">
        <v>6</v>
      </c>
      <c r="CD15" s="138">
        <f t="shared" si="4"/>
        <v>5</v>
      </c>
      <c r="CE15" s="133">
        <v>12</v>
      </c>
      <c r="CF15" s="134">
        <f t="shared" si="5"/>
        <v>10</v>
      </c>
      <c r="CK15" s="140">
        <v>4</v>
      </c>
      <c r="CL15" s="140">
        <v>0.4</v>
      </c>
      <c r="CM15" s="140">
        <v>0.8</v>
      </c>
      <c r="CN15" s="140">
        <v>2</v>
      </c>
      <c r="CO15" s="140">
        <f t="shared" ref="CO15:CO22" si="9">(CL15+CM15)/2*CN15/100</f>
        <v>1.2000000000000002E-2</v>
      </c>
      <c r="CP15" s="140" t="s">
        <v>1444</v>
      </c>
      <c r="CQ15" s="140">
        <f>SUM(CO15:CO22)</f>
        <v>1</v>
      </c>
    </row>
    <row r="16" spans="1:95" x14ac:dyDescent="0.25">
      <c r="G16" s="2"/>
      <c r="H16" s="2"/>
      <c r="I16" s="2"/>
      <c r="J16" s="2"/>
      <c r="K16" s="2"/>
      <c r="L16" s="2"/>
      <c r="M16" s="2"/>
      <c r="CK16" s="140">
        <v>7</v>
      </c>
      <c r="CL16" s="140">
        <v>0.8</v>
      </c>
      <c r="CM16" s="140">
        <v>0.95</v>
      </c>
      <c r="CN16" s="140">
        <v>7</v>
      </c>
      <c r="CO16" s="140">
        <f t="shared" si="9"/>
        <v>6.1249999999999999E-2</v>
      </c>
      <c r="CP16" s="140"/>
      <c r="CQ16" s="140"/>
    </row>
    <row r="17" spans="17:95" x14ac:dyDescent="0.25">
      <c r="CK17" s="140"/>
      <c r="CL17" s="140">
        <v>0.9</v>
      </c>
      <c r="CM17" s="140">
        <v>0.95</v>
      </c>
      <c r="CN17" s="140">
        <v>9</v>
      </c>
      <c r="CO17" s="140">
        <f t="shared" si="9"/>
        <v>8.3250000000000005E-2</v>
      </c>
      <c r="CP17" s="140"/>
      <c r="CQ17" s="140"/>
    </row>
    <row r="18" spans="17:95" x14ac:dyDescent="0.25">
      <c r="CK18" s="140"/>
      <c r="CL18" s="140">
        <v>0.95</v>
      </c>
      <c r="CM18" s="140">
        <v>1</v>
      </c>
      <c r="CN18" s="140">
        <v>32</v>
      </c>
      <c r="CO18" s="140">
        <f t="shared" si="9"/>
        <v>0.312</v>
      </c>
      <c r="CP18" s="140"/>
      <c r="CQ18" s="140"/>
    </row>
    <row r="19" spans="17:95" x14ac:dyDescent="0.25">
      <c r="CK19" s="140"/>
      <c r="CL19" s="140">
        <v>1</v>
      </c>
      <c r="CM19" s="140">
        <v>1.05</v>
      </c>
      <c r="CN19" s="140">
        <v>32</v>
      </c>
      <c r="CO19" s="140">
        <f t="shared" si="9"/>
        <v>0.32799999999999996</v>
      </c>
      <c r="CP19" s="140"/>
      <c r="CQ19" s="140"/>
    </row>
    <row r="20" spans="17:95" x14ac:dyDescent="0.25">
      <c r="Q20" s="67"/>
      <c r="CK20" s="140"/>
      <c r="CL20" s="140">
        <v>1.05</v>
      </c>
      <c r="CM20" s="140">
        <v>1.1000000000000001</v>
      </c>
      <c r="CN20" s="140">
        <v>9</v>
      </c>
      <c r="CO20" s="140">
        <f t="shared" si="9"/>
        <v>9.6750000000000003E-2</v>
      </c>
      <c r="CP20" s="140"/>
      <c r="CQ20" s="140"/>
    </row>
    <row r="21" spans="17:95" x14ac:dyDescent="0.25">
      <c r="Q21" s="67"/>
      <c r="CK21" s="140"/>
      <c r="CL21" s="140">
        <v>1.05</v>
      </c>
      <c r="CM21" s="140">
        <v>1.2</v>
      </c>
      <c r="CN21" s="140">
        <v>7</v>
      </c>
      <c r="CO21" s="140">
        <f t="shared" si="9"/>
        <v>7.8750000000000001E-2</v>
      </c>
      <c r="CP21" s="140"/>
      <c r="CQ21" s="140"/>
    </row>
    <row r="22" spans="17:95" x14ac:dyDescent="0.25">
      <c r="Q22" s="67"/>
      <c r="CK22" s="140"/>
      <c r="CL22" s="140">
        <v>1.2</v>
      </c>
      <c r="CM22" s="140">
        <v>1.6</v>
      </c>
      <c r="CN22" s="140">
        <v>2</v>
      </c>
      <c r="CO22" s="140">
        <f t="shared" si="9"/>
        <v>2.7999999999999997E-2</v>
      </c>
      <c r="CP22" s="140"/>
      <c r="CQ22" s="140"/>
    </row>
    <row r="23" spans="17:95" x14ac:dyDescent="0.25">
      <c r="Q23" s="67"/>
    </row>
    <row r="24" spans="17:95" x14ac:dyDescent="0.25">
      <c r="Q24" s="67"/>
      <c r="BQ24"/>
      <c r="CK24" s="139" t="s">
        <v>1542</v>
      </c>
      <c r="CL24" s="140" t="s">
        <v>1431</v>
      </c>
      <c r="CM24" s="140" t="s">
        <v>1432</v>
      </c>
      <c r="CN24" s="140" t="s">
        <v>143</v>
      </c>
      <c r="CO24" s="140" t="s">
        <v>919</v>
      </c>
      <c r="CP24" s="140"/>
      <c r="CQ24" s="140"/>
    </row>
    <row r="25" spans="17:95" x14ac:dyDescent="0.25">
      <c r="Q25" s="67"/>
      <c r="CK25" s="140">
        <v>8</v>
      </c>
      <c r="CL25" s="140">
        <v>0.3</v>
      </c>
      <c r="CM25" s="140">
        <v>0.8</v>
      </c>
      <c r="CN25" s="140">
        <v>4</v>
      </c>
      <c r="CO25" s="140">
        <f t="shared" ref="CO25:CO32" si="10">(CL25+CM25)/2*CN25/100</f>
        <v>2.2000000000000002E-2</v>
      </c>
      <c r="CP25" s="140" t="s">
        <v>1444</v>
      </c>
      <c r="CQ25" s="140">
        <f>SUM(CO25:CO32)</f>
        <v>1</v>
      </c>
    </row>
    <row r="26" spans="17:95" x14ac:dyDescent="0.25">
      <c r="Q26" s="67"/>
      <c r="V26"/>
      <c r="CK26" s="140">
        <v>10</v>
      </c>
      <c r="CL26" s="140">
        <v>0.7</v>
      </c>
      <c r="CM26" s="140">
        <v>0.95</v>
      </c>
      <c r="CN26" s="140">
        <v>8</v>
      </c>
      <c r="CO26" s="140">
        <f t="shared" si="10"/>
        <v>6.6000000000000003E-2</v>
      </c>
      <c r="CP26" s="140"/>
      <c r="CQ26" s="140"/>
    </row>
    <row r="27" spans="17:95" x14ac:dyDescent="0.25">
      <c r="Q27" s="67"/>
      <c r="CK27" s="140"/>
      <c r="CL27" s="140">
        <v>0.8</v>
      </c>
      <c r="CM27" s="140">
        <v>0.95</v>
      </c>
      <c r="CN27" s="140">
        <v>8</v>
      </c>
      <c r="CO27" s="140">
        <f t="shared" si="10"/>
        <v>7.0000000000000007E-2</v>
      </c>
      <c r="CP27" s="140"/>
      <c r="CQ27" s="140"/>
    </row>
    <row r="28" spans="17:95" x14ac:dyDescent="0.25">
      <c r="Q28" s="67"/>
      <c r="CK28" s="140"/>
      <c r="CL28" s="140">
        <v>0.95</v>
      </c>
      <c r="CM28" s="140">
        <v>1</v>
      </c>
      <c r="CN28" s="140">
        <v>30</v>
      </c>
      <c r="CO28" s="140">
        <f t="shared" si="10"/>
        <v>0.29249999999999998</v>
      </c>
      <c r="CP28" s="140"/>
      <c r="CQ28" s="140"/>
    </row>
    <row r="29" spans="17:95" x14ac:dyDescent="0.25">
      <c r="Q29" s="67"/>
      <c r="CK29" s="140"/>
      <c r="CL29" s="140">
        <v>1</v>
      </c>
      <c r="CM29" s="140">
        <v>1.05</v>
      </c>
      <c r="CN29" s="140">
        <v>30</v>
      </c>
      <c r="CO29" s="140">
        <f t="shared" si="10"/>
        <v>0.30749999999999994</v>
      </c>
      <c r="CP29" s="140"/>
      <c r="CQ29" s="140"/>
    </row>
    <row r="30" spans="17:95" x14ac:dyDescent="0.25">
      <c r="CK30" s="140"/>
      <c r="CL30" s="140">
        <v>1.05</v>
      </c>
      <c r="CM30" s="140">
        <v>1.2</v>
      </c>
      <c r="CN30" s="140">
        <v>8</v>
      </c>
      <c r="CO30" s="140">
        <f t="shared" si="10"/>
        <v>0.09</v>
      </c>
      <c r="CP30" s="140"/>
      <c r="CQ30" s="140"/>
    </row>
    <row r="31" spans="17:95" x14ac:dyDescent="0.25">
      <c r="CK31" s="140"/>
      <c r="CL31" s="140">
        <v>1.05</v>
      </c>
      <c r="CM31" s="140">
        <v>1.3</v>
      </c>
      <c r="CN31" s="140">
        <v>8</v>
      </c>
      <c r="CO31" s="140">
        <f t="shared" si="10"/>
        <v>9.4E-2</v>
      </c>
      <c r="CP31" s="140"/>
      <c r="CQ31" s="140"/>
    </row>
    <row r="32" spans="17:95" x14ac:dyDescent="0.25">
      <c r="CK32" s="140"/>
      <c r="CL32" s="140">
        <v>1.2</v>
      </c>
      <c r="CM32" s="140">
        <v>1.7</v>
      </c>
      <c r="CN32" s="140">
        <v>4</v>
      </c>
      <c r="CO32" s="140">
        <f t="shared" si="10"/>
        <v>5.7999999999999996E-2</v>
      </c>
      <c r="CP32" s="140"/>
      <c r="CQ32" s="140"/>
    </row>
  </sheetData>
  <mergeCells count="3">
    <mergeCell ref="BW3:BY3"/>
    <mergeCell ref="CB3:CD3"/>
    <mergeCell ref="BJ4:BK4"/>
  </mergeCells>
  <phoneticPr fontId="55" type="noConversion"/>
  <conditionalFormatting sqref="BC6">
    <cfRule type="containsText" dxfId="791" priority="58" operator="containsText" text=" ">
      <formula>NOT(ISERROR(SEARCH(" ",BC6)))</formula>
    </cfRule>
  </conditionalFormatting>
  <conditionalFormatting sqref="AQ8">
    <cfRule type="containsText" dxfId="790" priority="121" operator="containsText" text=" ">
      <formula>NOT(ISERROR(SEARCH(" ",AQ8)))</formula>
    </cfRule>
  </conditionalFormatting>
  <conditionalFormatting sqref="AR8">
    <cfRule type="containsText" dxfId="789" priority="45" operator="containsText" text=" ">
      <formula>NOT(ISERROR(SEARCH(" ",AR8)))</formula>
    </cfRule>
  </conditionalFormatting>
  <conditionalFormatting sqref="AQ9">
    <cfRule type="containsText" dxfId="788" priority="120" operator="containsText" text=" ">
      <formula>NOT(ISERROR(SEARCH(" ",AQ9)))</formula>
    </cfRule>
  </conditionalFormatting>
  <conditionalFormatting sqref="AQ10">
    <cfRule type="containsText" dxfId="787" priority="119" operator="containsText" text=" ">
      <formula>NOT(ISERROR(SEARCH(" ",AQ10)))</formula>
    </cfRule>
  </conditionalFormatting>
  <conditionalFormatting sqref="AQ11">
    <cfRule type="containsText" dxfId="786" priority="98" operator="containsText" text=" ">
      <formula>NOT(ISERROR(SEARCH(" ",AQ11)))</formula>
    </cfRule>
  </conditionalFormatting>
  <conditionalFormatting sqref="AQ12">
    <cfRule type="containsText" dxfId="785" priority="106" operator="containsText" text=" ">
      <formula>NOT(ISERROR(SEARCH(" ",AQ12)))</formula>
    </cfRule>
  </conditionalFormatting>
  <conditionalFormatting sqref="AS12">
    <cfRule type="containsText" dxfId="784" priority="104" operator="containsText" text=" ">
      <formula>NOT(ISERROR(SEARCH(" ",AS12)))</formula>
    </cfRule>
  </conditionalFormatting>
  <conditionalFormatting sqref="AT12">
    <cfRule type="containsText" dxfId="783" priority="42" operator="containsText" text=" ">
      <formula>NOT(ISERROR(SEARCH(" ",AT12)))</formula>
    </cfRule>
  </conditionalFormatting>
  <conditionalFormatting sqref="AQ13">
    <cfRule type="containsText" dxfId="782" priority="112" operator="containsText" text=" ">
      <formula>NOT(ISERROR(SEARCH(" ",AQ13)))</formula>
    </cfRule>
  </conditionalFormatting>
  <conditionalFormatting sqref="AS13">
    <cfRule type="containsText" dxfId="781" priority="110" operator="containsText" text=" ">
      <formula>NOT(ISERROR(SEARCH(" ",AS13)))</formula>
    </cfRule>
  </conditionalFormatting>
  <conditionalFormatting sqref="AU13">
    <cfRule type="containsText" dxfId="780" priority="108" operator="containsText" text=" ">
      <formula>NOT(ISERROR(SEARCH(" ",AU13)))</formula>
    </cfRule>
  </conditionalFormatting>
  <conditionalFormatting sqref="AV13">
    <cfRule type="containsText" dxfId="779" priority="40" operator="containsText" text=" ">
      <formula>NOT(ISERROR(SEARCH(" ",AV13)))</formula>
    </cfRule>
  </conditionalFormatting>
  <conditionalFormatting sqref="AQ14">
    <cfRule type="containsText" dxfId="778" priority="125" operator="containsText" text=" ">
      <formula>NOT(ISERROR(SEARCH(" ",AQ14)))</formula>
    </cfRule>
  </conditionalFormatting>
  <conditionalFormatting sqref="AS14">
    <cfRule type="containsText" dxfId="777" priority="118" operator="containsText" text=" ">
      <formula>NOT(ISERROR(SEARCH(" ",AS14)))</formula>
    </cfRule>
  </conditionalFormatting>
  <conditionalFormatting sqref="AU14">
    <cfRule type="containsText" dxfId="776" priority="116" operator="containsText" text=" ">
      <formula>NOT(ISERROR(SEARCH(" ",AU14)))</formula>
    </cfRule>
  </conditionalFormatting>
  <conditionalFormatting sqref="AW14">
    <cfRule type="containsText" dxfId="775" priority="114" operator="containsText" text=" ">
      <formula>NOT(ISERROR(SEARCH(" ",AW14)))</formula>
    </cfRule>
  </conditionalFormatting>
  <conditionalFormatting sqref="AX14">
    <cfRule type="containsText" dxfId="774" priority="38" operator="containsText" text=" ">
      <formula>NOT(ISERROR(SEARCH(" ",AX14)))</formula>
    </cfRule>
  </conditionalFormatting>
  <conditionalFormatting sqref="AY14">
    <cfRule type="containsText" dxfId="773" priority="113" operator="containsText" text=" ">
      <formula>NOT(ISERROR(SEARCH(" ",AY14)))</formula>
    </cfRule>
  </conditionalFormatting>
  <conditionalFormatting sqref="D15">
    <cfRule type="containsText" dxfId="772" priority="61" operator="containsText" text=" ">
      <formula>NOT(ISERROR(SEARCH(" ",D15)))</formula>
    </cfRule>
  </conditionalFormatting>
  <conditionalFormatting sqref="W15">
    <cfRule type="containsText" dxfId="771" priority="16" operator="containsText" text=" ">
      <formula>NOT(ISERROR(SEARCH(" ",W15)))</formula>
    </cfRule>
  </conditionalFormatting>
  <conditionalFormatting sqref="X15">
    <cfRule type="containsText" dxfId="770" priority="17" operator="containsText" text=" ">
      <formula>NOT(ISERROR(SEARCH(" ",X15)))</formula>
    </cfRule>
  </conditionalFormatting>
  <conditionalFormatting sqref="AC15">
    <cfRule type="containsText" dxfId="769" priority="21" operator="containsText" text=" ">
      <formula>NOT(ISERROR(SEARCH(" ",AC15)))</formula>
    </cfRule>
  </conditionalFormatting>
  <conditionalFormatting sqref="AE15">
    <cfRule type="containsText" dxfId="768" priority="4" operator="containsText" text=" ">
      <formula>NOT(ISERROR(SEARCH(" ",AE15)))</formula>
    </cfRule>
  </conditionalFormatting>
  <conditionalFormatting sqref="AN15">
    <cfRule type="containsText" dxfId="767" priority="23" operator="containsText" text=" ">
      <formula>NOT(ISERROR(SEARCH(" ",AN15)))</formula>
    </cfRule>
  </conditionalFormatting>
  <conditionalFormatting sqref="AP15">
    <cfRule type="containsText" dxfId="766" priority="73" operator="containsText" text=" ">
      <formula>NOT(ISERROR(SEARCH(" ",AP15)))</formula>
    </cfRule>
  </conditionalFormatting>
  <conditionalFormatting sqref="AQ15">
    <cfRule type="containsText" dxfId="765" priority="72" operator="containsText" text=" ">
      <formula>NOT(ISERROR(SEARCH(" ",AQ15)))</formula>
    </cfRule>
  </conditionalFormatting>
  <conditionalFormatting sqref="AR15">
    <cfRule type="containsText" dxfId="764" priority="44" operator="containsText" text=" ">
      <formula>NOT(ISERROR(SEARCH(" ",AR15)))</formula>
    </cfRule>
  </conditionalFormatting>
  <conditionalFormatting sqref="AS15">
    <cfRule type="containsText" dxfId="763" priority="69" operator="containsText" text=" ">
      <formula>NOT(ISERROR(SEARCH(" ",AS15)))</formula>
    </cfRule>
  </conditionalFormatting>
  <conditionalFormatting sqref="AU15">
    <cfRule type="containsText" dxfId="762" priority="67" operator="containsText" text=" ">
      <formula>NOT(ISERROR(SEARCH(" ",AU15)))</formula>
    </cfRule>
  </conditionalFormatting>
  <conditionalFormatting sqref="AW15">
    <cfRule type="containsText" dxfId="761" priority="65" operator="containsText" text=" ">
      <formula>NOT(ISERROR(SEARCH(" ",AW15)))</formula>
    </cfRule>
  </conditionalFormatting>
  <conditionalFormatting sqref="AX15">
    <cfRule type="containsText" dxfId="760" priority="39" operator="containsText" text=" ">
      <formula>NOT(ISERROR(SEARCH(" ",AX15)))</formula>
    </cfRule>
  </conditionalFormatting>
  <conditionalFormatting sqref="AY15">
    <cfRule type="containsText" dxfId="759" priority="59" operator="containsText" text=" ">
      <formula>NOT(ISERROR(SEARCH(" ",AY15)))</formula>
    </cfRule>
    <cfRule type="containsText" dxfId="758" priority="64" operator="containsText" text=" ">
      <formula>NOT(ISERROR(SEARCH(" ",AY15)))</formula>
    </cfRule>
  </conditionalFormatting>
  <conditionalFormatting sqref="BC15">
    <cfRule type="containsText" dxfId="757" priority="62" operator="containsText" text=" ">
      <formula>NOT(ISERROR(SEARCH(" ",BC15)))</formula>
    </cfRule>
  </conditionalFormatting>
  <conditionalFormatting sqref="C6:C7">
    <cfRule type="containsText" dxfId="756" priority="14" operator="containsText" text=" ">
      <formula>NOT(ISERROR(SEARCH(" ",C6)))</formula>
    </cfRule>
  </conditionalFormatting>
  <conditionalFormatting sqref="C8:C15">
    <cfRule type="containsText" dxfId="755" priority="6" operator="containsText" text=" ">
      <formula>NOT(ISERROR(SEARCH(" ",C8)))</formula>
    </cfRule>
  </conditionalFormatting>
  <conditionalFormatting sqref="D6:D14">
    <cfRule type="containsText" dxfId="754" priority="90" operator="containsText" text=" ">
      <formula>NOT(ISERROR(SEARCH(" ",D6)))</formula>
    </cfRule>
  </conditionalFormatting>
  <conditionalFormatting sqref="P6:P15">
    <cfRule type="containsText" dxfId="753" priority="27" operator="containsText" text=" ">
      <formula>NOT(ISERROR(SEARCH(" ",P6)))</formula>
    </cfRule>
  </conditionalFormatting>
  <conditionalFormatting sqref="Q6:Q15">
    <cfRule type="containsText" dxfId="752" priority="31" operator="containsText" text=" ">
      <formula>NOT(ISERROR(SEARCH(" ",Q6)))</formula>
    </cfRule>
  </conditionalFormatting>
  <conditionalFormatting sqref="Q20:Q29">
    <cfRule type="containsText" dxfId="751" priority="1" operator="containsText" text=" ">
      <formula>NOT(ISERROR(SEARCH(" ",Q20)))</formula>
    </cfRule>
  </conditionalFormatting>
  <conditionalFormatting sqref="Z5:Z15">
    <cfRule type="containsText" dxfId="750" priority="20" operator="containsText" text=" ">
      <formula>NOT(ISERROR(SEARCH(" ",Z5)))</formula>
    </cfRule>
  </conditionalFormatting>
  <conditionalFormatting sqref="AE5:AE14">
    <cfRule type="containsText" dxfId="749" priority="5" operator="containsText" text=" ">
      <formula>NOT(ISERROR(SEARCH(" ",AE5)))</formula>
    </cfRule>
  </conditionalFormatting>
  <conditionalFormatting sqref="AH5:AH1048576">
    <cfRule type="containsText" dxfId="748" priority="28" operator="containsText" text=" ">
      <formula>NOT(ISERROR(SEARCH(" ",AH5)))</formula>
    </cfRule>
  </conditionalFormatting>
  <conditionalFormatting sqref="AI5:AI15">
    <cfRule type="containsText" dxfId="747" priority="11" operator="containsText" text=" ">
      <formula>NOT(ISERROR(SEARCH(" ",AI5)))</formula>
    </cfRule>
  </conditionalFormatting>
  <conditionalFormatting sqref="AJ5:AJ15">
    <cfRule type="containsText" dxfId="746" priority="10" operator="containsText" text=" ">
      <formula>NOT(ISERROR(SEARCH(" ",AJ5)))</formula>
    </cfRule>
  </conditionalFormatting>
  <conditionalFormatting sqref="AN5:AN14">
    <cfRule type="containsText" dxfId="745" priority="24" operator="containsText" text=" ">
      <formula>NOT(ISERROR(SEARCH(" ",AN5)))</formula>
    </cfRule>
  </conditionalFormatting>
  <conditionalFormatting sqref="AR9:AR14">
    <cfRule type="containsText" dxfId="744" priority="46" operator="containsText" text=" ">
      <formula>NOT(ISERROR(SEARCH(" ",AR9)))</formula>
    </cfRule>
  </conditionalFormatting>
  <conditionalFormatting sqref="AT13:AT15">
    <cfRule type="containsText" dxfId="743" priority="43" operator="containsText" text=" ">
      <formula>NOT(ISERROR(SEARCH(" ",AT13)))</formula>
    </cfRule>
  </conditionalFormatting>
  <conditionalFormatting sqref="AV14:AV15">
    <cfRule type="containsText" dxfId="742" priority="41" operator="containsText" text=" ">
      <formula>NOT(ISERROR(SEARCH(" ",AV14)))</formula>
    </cfRule>
  </conditionalFormatting>
  <conditionalFormatting sqref="BB5:BB15">
    <cfRule type="containsText" dxfId="741" priority="95" operator="containsText" text=" ">
      <formula>NOT(ISERROR(SEARCH(" ",BB5)))</formula>
    </cfRule>
  </conditionalFormatting>
  <conditionalFormatting sqref="BC7:BC14">
    <cfRule type="containsText" dxfId="740" priority="92" operator="containsText" text=" ">
      <formula>NOT(ISERROR(SEARCH(" ",BC7)))</formula>
    </cfRule>
  </conditionalFormatting>
  <conditionalFormatting sqref="BS5:BS14">
    <cfRule type="containsText" dxfId="739" priority="99" operator="containsText" text=" ">
      <formula>NOT(ISERROR(SEARCH(" ",BS5)))</formula>
    </cfRule>
  </conditionalFormatting>
  <conditionalFormatting sqref="A6:B14 A26:N1048576 E14:F14 O6:O8 O10:O14 AA6:AB14 BK6:BK14 BF6:BJ15 BD6:BE14 BD5:BK5 W26:AD26 AP8 AF5:AG15 Y6:Y15 BQ5:BQ15 BR15:BS15 BT5:BU1048576 CB5:CB15 AF26:AG26 N6:N14">
    <cfRule type="containsText" dxfId="738" priority="122" operator="containsText" text=" ">
      <formula>NOT(ISERROR(SEARCH(" ",A5)))</formula>
    </cfRule>
  </conditionalFormatting>
  <conditionalFormatting sqref="E5:M5 E6:F13 A5:B5 AO8 Y5 AA5:AB5">
    <cfRule type="containsText" dxfId="737" priority="123" operator="containsText" text=" ">
      <formula>NOT(ISERROR(SEARCH(" ",A5)))</formula>
    </cfRule>
  </conditionalFormatting>
  <conditionalFormatting sqref="A16:F16 N16:AG16 A17:AG17 A18:S19 T18:AG25 A20:P25 R20:R29 O9 O26:P29 T26:U26 O37:AG1048576 S27:AD29 O30:AD36 AF27:AG36 BC5 S20:S26">
    <cfRule type="containsText" dxfId="736" priority="57" operator="containsText" text=" ">
      <formula>NOT(ISERROR(SEARCH(" ",A5)))</formula>
    </cfRule>
  </conditionalFormatting>
  <conditionalFormatting sqref="C5 CK25:CQ32 CB23:XFD23 CB16:CJ22 CG14:CJ15 CR14:XFD22 CG13:XFD13 CG5:CR12 CK15:CQ22 CB33:XFD1048576 CB24:CJ32 CR24:XFD32 CZ5:CZ12 DH5:XFD12">
    <cfRule type="containsText" dxfId="735" priority="15" operator="containsText" text=" ">
      <formula>NOT(ISERROR(SEARCH(" ",C5)))</formula>
    </cfRule>
  </conditionalFormatting>
  <conditionalFormatting sqref="D5 AR5:AX5 AZ5:BA5 AY6">
    <cfRule type="containsText" dxfId="734" priority="91" operator="containsText" text=" ">
      <formula>NOT(ISERROR(SEARCH(" ",D5)))</formula>
    </cfRule>
  </conditionalFormatting>
  <conditionalFormatting sqref="W5:X5 AN16:BS23 AN25:BS1048576 AN24:BP24 BR24:BS24">
    <cfRule type="containsText" dxfId="733" priority="19" operator="containsText" text=" ">
      <formula>NOT(ISERROR(SEARCH(" ",W5)))</formula>
    </cfRule>
  </conditionalFormatting>
  <conditionalFormatting sqref="AC5:AD15">
    <cfRule type="containsText" dxfId="732" priority="22" operator="containsText" text=" ">
      <formula>NOT(ISERROR(SEARCH(" ",AC5)))</formula>
    </cfRule>
  </conditionalFormatting>
  <conditionalFormatting sqref="AK5:AM15">
    <cfRule type="containsText" dxfId="731" priority="9" operator="containsText" text=" ">
      <formula>NOT(ISERROR(SEARCH(" ",AK5)))</formula>
    </cfRule>
  </conditionalFormatting>
  <conditionalFormatting sqref="AO5:AO7 AO9:AO14 AS8:AX11 AR7:AY7 AU12:AX12 AW13:AX13 AY8:AY14 AZ6:AZ14 BA5:BA14 AR6:AX6 BR5:BR14">
    <cfRule type="containsText" dxfId="730" priority="128" operator="containsText" text=" ">
      <formula>NOT(ISERROR(SEARCH(" ",AO5)))</formula>
    </cfRule>
  </conditionalFormatting>
  <conditionalFormatting sqref="AP5:AP7 AP9:AP14">
    <cfRule type="containsText" dxfId="729" priority="126" operator="containsText" text=" ">
      <formula>NOT(ISERROR(SEARCH(" ",AP5)))</formula>
    </cfRule>
  </conditionalFormatting>
  <conditionalFormatting sqref="BL5:BP15">
    <cfRule type="containsText" dxfId="728" priority="8" operator="containsText" text=" ">
      <formula>NOT(ISERROR(SEARCH(" ",BL5)))</formula>
    </cfRule>
  </conditionalFormatting>
  <conditionalFormatting sqref="G6:M16">
    <cfRule type="containsText" dxfId="727" priority="2" operator="containsText" text=" ">
      <formula>NOT(ISERROR(SEARCH(" ",G6)))</formula>
    </cfRule>
  </conditionalFormatting>
  <conditionalFormatting sqref="W6:X14">
    <cfRule type="containsText" dxfId="726" priority="18" operator="containsText" text=" ">
      <formula>NOT(ISERROR(SEARCH(" ",W6)))</formula>
    </cfRule>
  </conditionalFormatting>
  <conditionalFormatting sqref="E15:F15 N15:O15 A15:B15 BK15 AA15:AB15 BD15:BE15">
    <cfRule type="containsText" dxfId="725" priority="70" operator="containsText" text=" ">
      <formula>NOT(ISERROR(SEARCH(" ",A15)))</formula>
    </cfRule>
  </conditionalFormatting>
  <conditionalFormatting sqref="AO15 AZ15:BA15">
    <cfRule type="containsText" dxfId="724" priority="74" operator="containsText" text=" ">
      <formula>NOT(ISERROR(SEARCH(" ",AO15)))</formula>
    </cfRule>
  </conditionalFormatting>
  <conditionalFormatting sqref="AI16:AM1048576">
    <cfRule type="containsText" dxfId="723" priority="12" operator="containsText" text=" ">
      <formula>NOT(ISERROR(SEARCH(" ",AI16)))</formula>
    </cfRule>
  </conditionalFormatting>
  <pageMargins left="0.69930555555555596" right="0.69930555555555596" top="0.75" bottom="0.75" header="0.3" footer="0.3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S106"/>
  <sheetViews>
    <sheetView zoomScale="85" zoomScaleNormal="85" workbookViewId="0">
      <pane xSplit="2" ySplit="4" topLeftCell="L53" activePane="bottomRight" state="frozen"/>
      <selection pane="topRight"/>
      <selection pane="bottomLeft"/>
      <selection pane="bottomRight" activeCell="AB53" sqref="AB53"/>
    </sheetView>
  </sheetViews>
  <sheetFormatPr defaultColWidth="8.88671875" defaultRowHeight="15.6" x14ac:dyDescent="0.35"/>
  <cols>
    <col min="1" max="1" width="9.33203125" style="24" customWidth="1"/>
    <col min="2" max="2" width="13.33203125" style="24" customWidth="1"/>
    <col min="3" max="3" width="22.109375" style="2" customWidth="1"/>
    <col min="4" max="4" width="16.44140625" style="24" customWidth="1"/>
    <col min="5" max="5" width="15.77734375" style="24" customWidth="1"/>
    <col min="6" max="6" width="22.109375" style="24" customWidth="1"/>
    <col min="7" max="7" width="27.5546875" style="24" customWidth="1"/>
    <col min="8" max="8" width="11.6640625" style="24" customWidth="1"/>
    <col min="9" max="9" width="11.44140625" style="24" customWidth="1"/>
    <col min="10" max="10" width="15.33203125" style="24" customWidth="1"/>
    <col min="11" max="11" width="15.77734375" style="24" customWidth="1"/>
    <col min="12" max="12" width="12" style="24" customWidth="1"/>
    <col min="13" max="13" width="13.5546875" style="24" customWidth="1"/>
    <col min="14" max="14" width="13.88671875" style="24" customWidth="1"/>
    <col min="15" max="15" width="8.88671875" style="24" customWidth="1"/>
    <col min="16" max="16" width="11" style="24" customWidth="1"/>
    <col min="17" max="17" width="11.109375" style="24" customWidth="1"/>
    <col min="18" max="18" width="19" style="24" customWidth="1"/>
    <col min="19" max="19" width="18" style="24" customWidth="1"/>
    <col min="20" max="20" width="13.44140625" style="24" customWidth="1"/>
    <col min="21" max="21" width="13.5546875" style="24" customWidth="1"/>
    <col min="22" max="22" width="26" style="24" customWidth="1"/>
    <col min="23" max="23" width="12.5546875" style="24" customWidth="1"/>
    <col min="24" max="24" width="10.6640625" style="50" customWidth="1"/>
    <col min="25" max="25" width="11.5546875" style="50" customWidth="1"/>
    <col min="26" max="26" width="10.88671875" style="50" customWidth="1"/>
    <col min="27" max="27" width="10.44140625" style="50" customWidth="1"/>
    <col min="28" max="28" width="9.6640625" style="50" customWidth="1"/>
    <col min="29" max="29" width="8.88671875" style="24" customWidth="1"/>
    <col min="30" max="35" width="8.88671875" style="24"/>
    <col min="36" max="36" width="12.88671875" style="24"/>
    <col min="37" max="37" width="13.109375" style="24" customWidth="1"/>
    <col min="38" max="38" width="11.88671875" style="24" customWidth="1"/>
    <col min="39" max="43" width="10.21875" style="24"/>
    <col min="44" max="45" width="11.5546875" style="24"/>
    <col min="46" max="16384" width="8.88671875" style="24"/>
  </cols>
  <sheetData>
    <row r="1" spans="1:45" x14ac:dyDescent="0.35">
      <c r="A1" s="3" t="s">
        <v>0</v>
      </c>
      <c r="B1" s="3" t="s">
        <v>0</v>
      </c>
      <c r="C1" s="3" t="s">
        <v>0</v>
      </c>
      <c r="D1" s="51" t="s">
        <v>0</v>
      </c>
      <c r="E1" s="51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3" t="s">
        <v>0</v>
      </c>
      <c r="T1" s="3" t="s">
        <v>0</v>
      </c>
      <c r="U1" s="3" t="s">
        <v>0</v>
      </c>
      <c r="V1" s="3" t="s">
        <v>0</v>
      </c>
      <c r="W1" s="3" t="s">
        <v>0</v>
      </c>
      <c r="X1" s="3" t="s">
        <v>0</v>
      </c>
      <c r="Y1" s="3" t="s">
        <v>0</v>
      </c>
      <c r="Z1" s="3" t="s">
        <v>0</v>
      </c>
      <c r="AA1" s="3" t="s">
        <v>0</v>
      </c>
      <c r="AB1" s="3" t="s">
        <v>0</v>
      </c>
    </row>
    <row r="2" spans="1:45" x14ac:dyDescent="0.35">
      <c r="A2" s="3" t="s">
        <v>13</v>
      </c>
      <c r="B2" s="3" t="s">
        <v>11</v>
      </c>
      <c r="C2" s="3" t="s">
        <v>14</v>
      </c>
      <c r="D2" s="51" t="s">
        <v>14</v>
      </c>
      <c r="E2" s="51" t="s">
        <v>11</v>
      </c>
      <c r="F2" s="3" t="s">
        <v>11</v>
      </c>
      <c r="G2" s="3" t="s">
        <v>11</v>
      </c>
      <c r="H2" s="3" t="s">
        <v>11</v>
      </c>
      <c r="I2" s="3" t="s">
        <v>11</v>
      </c>
      <c r="J2" s="3" t="s">
        <v>11</v>
      </c>
      <c r="K2" s="3" t="s">
        <v>11</v>
      </c>
      <c r="L2" s="3" t="s">
        <v>11</v>
      </c>
      <c r="M2" s="3" t="s">
        <v>11</v>
      </c>
      <c r="N2" s="3" t="s">
        <v>11</v>
      </c>
      <c r="O2" s="3" t="s">
        <v>11</v>
      </c>
      <c r="P2" s="3" t="s">
        <v>11</v>
      </c>
      <c r="Q2" s="3" t="s">
        <v>11</v>
      </c>
      <c r="R2" s="3" t="s">
        <v>11</v>
      </c>
      <c r="S2" s="3" t="s">
        <v>11</v>
      </c>
      <c r="T2" s="3" t="s">
        <v>11</v>
      </c>
      <c r="U2" s="3" t="s">
        <v>11</v>
      </c>
      <c r="V2" s="3" t="s">
        <v>11</v>
      </c>
      <c r="W2" s="3" t="s">
        <v>11</v>
      </c>
      <c r="X2" s="3" t="s">
        <v>11</v>
      </c>
      <c r="Y2" s="3" t="s">
        <v>11</v>
      </c>
      <c r="Z2" s="3" t="s">
        <v>11</v>
      </c>
      <c r="AA2" s="3" t="s">
        <v>11</v>
      </c>
      <c r="AB2" s="3" t="s">
        <v>11</v>
      </c>
      <c r="AN2" s="24" t="s">
        <v>1543</v>
      </c>
    </row>
    <row r="3" spans="1:45" ht="16.2" x14ac:dyDescent="0.4">
      <c r="A3" s="3" t="s">
        <v>1293</v>
      </c>
      <c r="B3" s="3" t="s">
        <v>1294</v>
      </c>
      <c r="C3" s="3" t="s">
        <v>1308</v>
      </c>
      <c r="D3" s="52" t="s">
        <v>1309</v>
      </c>
      <c r="E3" s="52" t="s">
        <v>1315</v>
      </c>
      <c r="F3" s="45" t="s">
        <v>1544</v>
      </c>
      <c r="G3" s="45" t="s">
        <v>1545</v>
      </c>
      <c r="H3" s="45" t="s">
        <v>1546</v>
      </c>
      <c r="I3" s="45" t="s">
        <v>1547</v>
      </c>
      <c r="J3" s="45" t="s">
        <v>1299</v>
      </c>
      <c r="K3" s="45" t="s">
        <v>1300</v>
      </c>
      <c r="L3" s="45" t="s">
        <v>1548</v>
      </c>
      <c r="M3" s="45" t="s">
        <v>1549</v>
      </c>
      <c r="N3" s="45" t="s">
        <v>1550</v>
      </c>
      <c r="O3" s="45" t="s">
        <v>1551</v>
      </c>
      <c r="P3" s="46" t="s">
        <v>1552</v>
      </c>
      <c r="Q3" s="46" t="s">
        <v>1553</v>
      </c>
      <c r="R3" s="45" t="s">
        <v>1554</v>
      </c>
      <c r="S3" s="45" t="s">
        <v>1555</v>
      </c>
      <c r="T3" s="45" t="s">
        <v>1556</v>
      </c>
      <c r="U3" s="45" t="s">
        <v>1557</v>
      </c>
      <c r="V3" s="45" t="s">
        <v>1558</v>
      </c>
      <c r="W3" s="45" t="s">
        <v>1559</v>
      </c>
      <c r="X3" s="63" t="s">
        <v>1301</v>
      </c>
      <c r="Y3" s="63" t="s">
        <v>1302</v>
      </c>
      <c r="Z3" s="63" t="s">
        <v>1303</v>
      </c>
      <c r="AA3" s="63" t="s">
        <v>1304</v>
      </c>
      <c r="AB3" s="63" t="s">
        <v>1305</v>
      </c>
    </row>
    <row r="4" spans="1:45" ht="249" customHeight="1" x14ac:dyDescent="0.35">
      <c r="A4" s="5" t="s">
        <v>1560</v>
      </c>
      <c r="B4" s="5" t="s">
        <v>1561</v>
      </c>
      <c r="C4" s="5" t="s">
        <v>1562</v>
      </c>
      <c r="D4" s="53" t="s">
        <v>1563</v>
      </c>
      <c r="E4" s="53" t="s">
        <v>1564</v>
      </c>
      <c r="F4" s="54" t="s">
        <v>1565</v>
      </c>
      <c r="G4" s="54" t="s">
        <v>1566</v>
      </c>
      <c r="H4" s="54" t="s">
        <v>1567</v>
      </c>
      <c r="I4" s="54" t="s">
        <v>1568</v>
      </c>
      <c r="J4" s="54" t="s">
        <v>1368</v>
      </c>
      <c r="K4" s="54" t="s">
        <v>1369</v>
      </c>
      <c r="L4" s="54" t="s">
        <v>1569</v>
      </c>
      <c r="M4" s="54" t="s">
        <v>1570</v>
      </c>
      <c r="N4" s="54" t="s">
        <v>1571</v>
      </c>
      <c r="O4" s="61" t="s">
        <v>1572</v>
      </c>
      <c r="P4" s="62" t="s">
        <v>1573</v>
      </c>
      <c r="Q4" s="62" t="s">
        <v>1574</v>
      </c>
      <c r="R4" s="54" t="s">
        <v>1575</v>
      </c>
      <c r="S4" s="61" t="s">
        <v>1576</v>
      </c>
      <c r="T4" s="61" t="s">
        <v>1577</v>
      </c>
      <c r="U4" s="54" t="s">
        <v>1578</v>
      </c>
      <c r="V4" s="54" t="s">
        <v>1579</v>
      </c>
      <c r="W4" s="61" t="s">
        <v>1580</v>
      </c>
      <c r="X4" s="64" t="s">
        <v>1370</v>
      </c>
      <c r="Y4" s="64" t="s">
        <v>1371</v>
      </c>
      <c r="Z4" s="64" t="s">
        <v>1372</v>
      </c>
      <c r="AA4" s="64" t="s">
        <v>1373</v>
      </c>
      <c r="AB4" s="64" t="s">
        <v>1374</v>
      </c>
      <c r="AF4" s="66" t="s">
        <v>1581</v>
      </c>
      <c r="AG4" s="24" t="s">
        <v>1582</v>
      </c>
      <c r="AK4" s="24">
        <v>2</v>
      </c>
      <c r="AL4" s="24">
        <v>3</v>
      </c>
      <c r="AM4" s="24">
        <v>4</v>
      </c>
      <c r="AN4" s="24">
        <v>5</v>
      </c>
      <c r="AO4" s="24">
        <v>6</v>
      </c>
      <c r="AP4" s="24">
        <v>7</v>
      </c>
      <c r="AQ4" s="24">
        <v>8</v>
      </c>
      <c r="AR4" s="24">
        <v>9</v>
      </c>
      <c r="AS4" s="24">
        <v>10</v>
      </c>
    </row>
    <row r="5" spans="1:45" x14ac:dyDescent="0.35">
      <c r="A5" s="24">
        <v>0</v>
      </c>
      <c r="B5" s="24">
        <v>0</v>
      </c>
      <c r="D5" s="2"/>
      <c r="E5" s="2">
        <f t="shared" ref="E5:E26" si="0">E6</f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50">
        <v>0</v>
      </c>
      <c r="Y5" s="50">
        <v>0</v>
      </c>
      <c r="Z5" s="50">
        <v>0</v>
      </c>
      <c r="AA5" s="50">
        <v>0</v>
      </c>
      <c r="AB5" s="50">
        <v>0</v>
      </c>
      <c r="AJ5" s="67"/>
      <c r="AK5" s="67"/>
      <c r="AL5" s="67"/>
      <c r="AM5" s="67"/>
      <c r="AN5" s="67"/>
      <c r="AO5" s="67"/>
      <c r="AP5" s="67"/>
      <c r="AQ5" s="67"/>
      <c r="AR5" s="67"/>
      <c r="AS5" s="67"/>
    </row>
    <row r="6" spans="1:45" s="49" customFormat="1" x14ac:dyDescent="0.35">
      <c r="A6" s="55">
        <v>10</v>
      </c>
      <c r="B6" s="56">
        <f>'VIP升级|VIPUp'!$B$6</f>
        <v>6</v>
      </c>
      <c r="C6" s="57">
        <f>C7</f>
        <v>1401</v>
      </c>
      <c r="D6" s="57" t="str">
        <f>'VIP升级|VIPUp'!Q6</f>
        <v>1|2|500000</v>
      </c>
      <c r="E6" s="57">
        <f t="shared" si="0"/>
        <v>0</v>
      </c>
      <c r="F6" s="49">
        <v>1</v>
      </c>
      <c r="G6" s="49">
        <v>2</v>
      </c>
      <c r="H6" s="49">
        <v>2</v>
      </c>
      <c r="I6" s="49">
        <v>2</v>
      </c>
      <c r="J6" s="49">
        <v>60</v>
      </c>
      <c r="K6" s="49">
        <v>60</v>
      </c>
      <c r="L6" s="49">
        <v>5</v>
      </c>
      <c r="M6" s="49">
        <v>90</v>
      </c>
      <c r="N6" s="49">
        <f>N5</f>
        <v>0</v>
      </c>
      <c r="O6" s="49">
        <f>O5</f>
        <v>0</v>
      </c>
      <c r="P6" s="49">
        <v>1</v>
      </c>
      <c r="Q6" s="49">
        <v>1</v>
      </c>
      <c r="R6" s="49">
        <v>10000</v>
      </c>
      <c r="S6" s="49">
        <v>0</v>
      </c>
      <c r="T6" s="49">
        <f>T5</f>
        <v>0</v>
      </c>
      <c r="U6" s="49">
        <v>10</v>
      </c>
      <c r="V6" s="49">
        <v>2</v>
      </c>
      <c r="W6" s="49">
        <v>0</v>
      </c>
      <c r="X6" s="65">
        <v>1</v>
      </c>
      <c r="Y6" s="65">
        <v>0</v>
      </c>
      <c r="Z6" s="65">
        <v>0</v>
      </c>
      <c r="AA6" s="65">
        <v>0</v>
      </c>
      <c r="AB6" s="65">
        <v>0</v>
      </c>
    </row>
    <row r="7" spans="1:45" x14ac:dyDescent="0.35">
      <c r="A7" s="24">
        <v>11</v>
      </c>
      <c r="B7" s="24">
        <f>AG7</f>
        <v>25</v>
      </c>
      <c r="C7" s="2">
        <v>1401</v>
      </c>
      <c r="D7" s="2">
        <v>0</v>
      </c>
      <c r="E7" s="2">
        <f t="shared" si="0"/>
        <v>0</v>
      </c>
      <c r="F7" s="24">
        <f t="shared" ref="F7:F10" si="1">F6</f>
        <v>1</v>
      </c>
      <c r="G7" s="24">
        <f t="shared" ref="G7:G15" si="2">G6</f>
        <v>2</v>
      </c>
      <c r="H7" s="24">
        <f t="shared" ref="H7:H15" si="3">H6</f>
        <v>2</v>
      </c>
      <c r="I7" s="24">
        <f t="shared" ref="I7:I15" si="4">I6</f>
        <v>2</v>
      </c>
      <c r="J7" s="24">
        <f>J6</f>
        <v>60</v>
      </c>
      <c r="K7" s="24">
        <f>K6</f>
        <v>60</v>
      </c>
      <c r="L7" s="24">
        <v>6</v>
      </c>
      <c r="M7" s="24">
        <f>M6</f>
        <v>90</v>
      </c>
      <c r="N7" s="24">
        <f t="shared" ref="N7:N13" si="5">N6</f>
        <v>0</v>
      </c>
      <c r="O7" s="24">
        <f t="shared" ref="O7:O13" si="6">O6</f>
        <v>0</v>
      </c>
      <c r="P7" s="24">
        <v>2</v>
      </c>
      <c r="Q7" s="24">
        <f t="shared" ref="Q7:Q13" si="7">Q6</f>
        <v>1</v>
      </c>
      <c r="R7" s="24">
        <v>20000</v>
      </c>
      <c r="S7" s="24">
        <f t="shared" ref="S7:S13" si="8">S6</f>
        <v>0</v>
      </c>
      <c r="T7" s="24">
        <f t="shared" ref="T7:T25" si="9">T6</f>
        <v>0</v>
      </c>
      <c r="U7" s="24">
        <v>12</v>
      </c>
      <c r="V7" s="24">
        <f t="shared" ref="V7:V9" si="10">V6</f>
        <v>2</v>
      </c>
      <c r="W7" s="24">
        <f t="shared" ref="W7:W16" si="11">W6</f>
        <v>0</v>
      </c>
      <c r="X7" s="50">
        <v>1</v>
      </c>
      <c r="Y7" s="50">
        <v>1</v>
      </c>
      <c r="Z7" s="50">
        <v>0</v>
      </c>
      <c r="AA7" s="50">
        <v>0</v>
      </c>
      <c r="AB7" s="50">
        <v>0</v>
      </c>
      <c r="AD7" s="24" t="s">
        <v>1583</v>
      </c>
      <c r="AF7" s="24">
        <f>B6+ROUNDDOWN(AE$8/10,0)</f>
        <v>25</v>
      </c>
      <c r="AG7" s="24">
        <f>AF7</f>
        <v>25</v>
      </c>
      <c r="AJ7" s="49"/>
      <c r="AK7" s="49"/>
      <c r="AL7" s="49"/>
      <c r="AM7" s="49"/>
      <c r="AN7" s="49"/>
      <c r="AO7" s="49"/>
      <c r="AP7" s="49"/>
      <c r="AQ7" s="49"/>
      <c r="AR7" s="49"/>
      <c r="AS7" s="49"/>
    </row>
    <row r="8" spans="1:45" x14ac:dyDescent="0.35">
      <c r="A8" s="24">
        <v>12</v>
      </c>
      <c r="B8" s="24">
        <f t="shared" ref="B8:B78" si="12">AG8</f>
        <v>40</v>
      </c>
      <c r="C8" s="2">
        <v>1401</v>
      </c>
      <c r="D8" s="2">
        <v>0</v>
      </c>
      <c r="E8" s="2">
        <f t="shared" si="0"/>
        <v>0</v>
      </c>
      <c r="F8" s="24">
        <f t="shared" si="1"/>
        <v>1</v>
      </c>
      <c r="G8" s="24">
        <f t="shared" si="2"/>
        <v>2</v>
      </c>
      <c r="H8" s="24">
        <f t="shared" si="3"/>
        <v>2</v>
      </c>
      <c r="I8" s="24">
        <f t="shared" si="4"/>
        <v>2</v>
      </c>
      <c r="J8" s="24">
        <f t="shared" ref="J8:J39" si="13">J7</f>
        <v>60</v>
      </c>
      <c r="K8" s="24">
        <f t="shared" ref="K8:K39" si="14">K7</f>
        <v>60</v>
      </c>
      <c r="L8" s="24">
        <v>7</v>
      </c>
      <c r="M8" s="24">
        <f t="shared" ref="M8:M15" si="15">M7</f>
        <v>90</v>
      </c>
      <c r="N8" s="24">
        <f t="shared" si="5"/>
        <v>0</v>
      </c>
      <c r="O8" s="24">
        <f t="shared" si="6"/>
        <v>0</v>
      </c>
      <c r="P8" s="24">
        <f t="shared" ref="P8:P13" si="16">P7</f>
        <v>2</v>
      </c>
      <c r="Q8" s="24">
        <f t="shared" si="7"/>
        <v>1</v>
      </c>
      <c r="R8" s="24">
        <v>30000</v>
      </c>
      <c r="S8" s="24">
        <f t="shared" si="8"/>
        <v>0</v>
      </c>
      <c r="T8" s="24">
        <f t="shared" si="9"/>
        <v>0</v>
      </c>
      <c r="U8" s="24">
        <v>14</v>
      </c>
      <c r="V8" s="24">
        <f t="shared" si="10"/>
        <v>2</v>
      </c>
      <c r="W8" s="24">
        <f t="shared" si="11"/>
        <v>0</v>
      </c>
      <c r="X8" s="50">
        <v>1</v>
      </c>
      <c r="Y8" s="50">
        <v>1</v>
      </c>
      <c r="Z8" s="50">
        <v>1</v>
      </c>
      <c r="AA8" s="50">
        <v>0</v>
      </c>
      <c r="AB8" s="50">
        <v>0</v>
      </c>
      <c r="AD8" s="24" t="s">
        <v>1584</v>
      </c>
      <c r="AE8" s="24">
        <f>'VIP升级|VIPUp'!$B$7-B6</f>
        <v>194</v>
      </c>
      <c r="AF8" s="24">
        <f t="shared" ref="AF8:AF15" si="17">AF7+ROUNDDOWN(AE$8/10,0)</f>
        <v>44</v>
      </c>
      <c r="AG8" s="68">
        <v>40</v>
      </c>
      <c r="AJ8" s="49"/>
      <c r="AK8" s="49"/>
      <c r="AL8" s="49"/>
      <c r="AM8" s="49"/>
      <c r="AN8" s="49"/>
      <c r="AO8" s="49"/>
      <c r="AP8" s="49"/>
      <c r="AQ8" s="49"/>
      <c r="AR8" s="49"/>
      <c r="AS8" s="49"/>
    </row>
    <row r="9" spans="1:45" x14ac:dyDescent="0.35">
      <c r="A9" s="24">
        <v>13</v>
      </c>
      <c r="B9" s="24">
        <f t="shared" si="12"/>
        <v>60</v>
      </c>
      <c r="C9" s="2">
        <v>1401</v>
      </c>
      <c r="D9" s="2">
        <v>0</v>
      </c>
      <c r="E9" s="2">
        <f t="shared" si="0"/>
        <v>0</v>
      </c>
      <c r="F9" s="24">
        <f t="shared" si="1"/>
        <v>1</v>
      </c>
      <c r="G9" s="24">
        <v>3</v>
      </c>
      <c r="H9" s="24">
        <v>3</v>
      </c>
      <c r="I9" s="24">
        <v>3</v>
      </c>
      <c r="J9" s="24">
        <f t="shared" si="13"/>
        <v>60</v>
      </c>
      <c r="K9" s="24">
        <f t="shared" si="14"/>
        <v>60</v>
      </c>
      <c r="L9" s="24">
        <v>8</v>
      </c>
      <c r="M9" s="24">
        <f t="shared" si="15"/>
        <v>90</v>
      </c>
      <c r="N9" s="24">
        <f t="shared" si="5"/>
        <v>0</v>
      </c>
      <c r="O9" s="24">
        <f t="shared" si="6"/>
        <v>0</v>
      </c>
      <c r="P9" s="24">
        <v>3</v>
      </c>
      <c r="Q9" s="24">
        <v>2</v>
      </c>
      <c r="R9" s="24">
        <v>40000</v>
      </c>
      <c r="S9" s="24">
        <f t="shared" si="8"/>
        <v>0</v>
      </c>
      <c r="T9" s="24">
        <f t="shared" si="9"/>
        <v>0</v>
      </c>
      <c r="U9" s="24">
        <v>16</v>
      </c>
      <c r="V9" s="24">
        <f t="shared" si="10"/>
        <v>2</v>
      </c>
      <c r="W9" s="24">
        <f t="shared" si="11"/>
        <v>0</v>
      </c>
      <c r="X9" s="50">
        <v>1</v>
      </c>
      <c r="Y9" s="50">
        <v>1</v>
      </c>
      <c r="Z9" s="50">
        <v>1</v>
      </c>
      <c r="AA9" s="50">
        <v>1</v>
      </c>
      <c r="AB9" s="50">
        <v>0</v>
      </c>
      <c r="AF9" s="24">
        <f t="shared" si="17"/>
        <v>63</v>
      </c>
      <c r="AG9" s="68">
        <v>60</v>
      </c>
      <c r="AJ9" s="49"/>
      <c r="AK9" s="49"/>
      <c r="AL9" s="49"/>
      <c r="AM9" s="49"/>
      <c r="AN9" s="49"/>
      <c r="AO9" s="49"/>
      <c r="AP9" s="49"/>
      <c r="AQ9" s="49"/>
      <c r="AR9" s="49"/>
      <c r="AS9" s="49"/>
    </row>
    <row r="10" spans="1:45" x14ac:dyDescent="0.35">
      <c r="A10" s="24">
        <v>14</v>
      </c>
      <c r="B10" s="24">
        <f t="shared" si="12"/>
        <v>80</v>
      </c>
      <c r="C10" s="2">
        <v>1401</v>
      </c>
      <c r="D10" s="2">
        <v>0</v>
      </c>
      <c r="E10" s="2">
        <f t="shared" si="0"/>
        <v>0</v>
      </c>
      <c r="F10" s="24">
        <f t="shared" si="1"/>
        <v>1</v>
      </c>
      <c r="G10" s="24">
        <f t="shared" si="2"/>
        <v>3</v>
      </c>
      <c r="H10" s="24">
        <f t="shared" si="3"/>
        <v>3</v>
      </c>
      <c r="I10" s="24">
        <f t="shared" si="4"/>
        <v>3</v>
      </c>
      <c r="J10" s="24">
        <v>120</v>
      </c>
      <c r="K10" s="24">
        <v>120</v>
      </c>
      <c r="L10" s="24">
        <v>9</v>
      </c>
      <c r="M10" s="24">
        <f t="shared" si="15"/>
        <v>90</v>
      </c>
      <c r="N10" s="24">
        <f t="shared" si="5"/>
        <v>0</v>
      </c>
      <c r="O10" s="24">
        <f t="shared" si="6"/>
        <v>0</v>
      </c>
      <c r="P10" s="24">
        <f t="shared" si="16"/>
        <v>3</v>
      </c>
      <c r="Q10" s="24">
        <f t="shared" si="7"/>
        <v>2</v>
      </c>
      <c r="R10" s="24">
        <v>50000</v>
      </c>
      <c r="S10" s="24">
        <f t="shared" si="8"/>
        <v>0</v>
      </c>
      <c r="T10" s="24">
        <f t="shared" si="9"/>
        <v>0</v>
      </c>
      <c r="U10" s="24">
        <v>18</v>
      </c>
      <c r="V10" s="24">
        <v>3</v>
      </c>
      <c r="W10" s="24">
        <f t="shared" si="11"/>
        <v>0</v>
      </c>
      <c r="X10" s="50">
        <v>1</v>
      </c>
      <c r="Y10" s="50">
        <v>1</v>
      </c>
      <c r="Z10" s="50">
        <v>1</v>
      </c>
      <c r="AA10" s="50">
        <v>1</v>
      </c>
      <c r="AB10" s="50">
        <v>1</v>
      </c>
      <c r="AF10" s="24">
        <f t="shared" si="17"/>
        <v>82</v>
      </c>
      <c r="AG10" s="68">
        <v>80</v>
      </c>
      <c r="AJ10" s="49"/>
      <c r="AK10" s="49"/>
      <c r="AL10" s="49"/>
      <c r="AM10" s="49"/>
      <c r="AN10" s="49"/>
      <c r="AO10" s="49"/>
      <c r="AP10" s="49"/>
      <c r="AQ10" s="49"/>
      <c r="AR10" s="49"/>
      <c r="AS10" s="49"/>
    </row>
    <row r="11" spans="1:45" x14ac:dyDescent="0.35">
      <c r="A11" s="24">
        <v>15</v>
      </c>
      <c r="B11" s="24">
        <f t="shared" si="12"/>
        <v>100</v>
      </c>
      <c r="C11" s="2">
        <v>1401</v>
      </c>
      <c r="D11" s="2">
        <v>0</v>
      </c>
      <c r="E11" s="2">
        <f t="shared" si="0"/>
        <v>0</v>
      </c>
      <c r="F11" s="24">
        <f t="shared" ref="F11:F42" si="18">F10</f>
        <v>1</v>
      </c>
      <c r="G11" s="24">
        <f t="shared" si="2"/>
        <v>3</v>
      </c>
      <c r="H11" s="24">
        <f t="shared" si="3"/>
        <v>3</v>
      </c>
      <c r="I11" s="24">
        <f t="shared" si="4"/>
        <v>3</v>
      </c>
      <c r="J11" s="24">
        <f t="shared" si="13"/>
        <v>120</v>
      </c>
      <c r="K11" s="24">
        <f t="shared" si="14"/>
        <v>120</v>
      </c>
      <c r="L11" s="24">
        <v>10</v>
      </c>
      <c r="M11" s="24">
        <f t="shared" si="15"/>
        <v>90</v>
      </c>
      <c r="N11" s="24">
        <f t="shared" si="5"/>
        <v>0</v>
      </c>
      <c r="O11" s="24">
        <f t="shared" si="6"/>
        <v>0</v>
      </c>
      <c r="P11" s="24">
        <v>3</v>
      </c>
      <c r="Q11" s="24">
        <f t="shared" si="7"/>
        <v>2</v>
      </c>
      <c r="R11" s="24">
        <f t="shared" ref="R11:R39" si="19">R10</f>
        <v>50000</v>
      </c>
      <c r="S11" s="24">
        <f t="shared" si="8"/>
        <v>0</v>
      </c>
      <c r="T11" s="24">
        <f t="shared" si="9"/>
        <v>0</v>
      </c>
      <c r="U11" s="24">
        <v>20</v>
      </c>
      <c r="V11" s="24">
        <v>3</v>
      </c>
      <c r="W11" s="24">
        <f t="shared" si="11"/>
        <v>0</v>
      </c>
      <c r="X11" s="50">
        <v>2</v>
      </c>
      <c r="Y11" s="50">
        <v>1</v>
      </c>
      <c r="Z11" s="50">
        <v>1</v>
      </c>
      <c r="AA11" s="50">
        <v>1</v>
      </c>
      <c r="AB11" s="50">
        <v>1</v>
      </c>
      <c r="AF11" s="24">
        <f t="shared" si="17"/>
        <v>101</v>
      </c>
      <c r="AG11" s="68">
        <v>100</v>
      </c>
      <c r="AJ11" s="49"/>
      <c r="AK11" s="49"/>
      <c r="AL11" s="49"/>
      <c r="AM11" s="49"/>
      <c r="AN11" s="49"/>
      <c r="AO11" s="49"/>
      <c r="AP11" s="49"/>
      <c r="AQ11" s="49"/>
      <c r="AR11" s="49"/>
      <c r="AS11" s="49"/>
    </row>
    <row r="12" spans="1:45" x14ac:dyDescent="0.35">
      <c r="A12" s="24">
        <v>16</v>
      </c>
      <c r="B12" s="24">
        <f t="shared" si="12"/>
        <v>120</v>
      </c>
      <c r="C12" s="2">
        <v>1401</v>
      </c>
      <c r="D12" s="2">
        <v>0</v>
      </c>
      <c r="E12" s="2">
        <f t="shared" si="0"/>
        <v>0</v>
      </c>
      <c r="F12" s="24">
        <f t="shared" si="18"/>
        <v>1</v>
      </c>
      <c r="G12" s="24">
        <v>5</v>
      </c>
      <c r="H12" s="24">
        <v>5</v>
      </c>
      <c r="I12" s="24">
        <v>5</v>
      </c>
      <c r="J12" s="24">
        <f t="shared" si="13"/>
        <v>120</v>
      </c>
      <c r="K12" s="24">
        <f t="shared" si="14"/>
        <v>120</v>
      </c>
      <c r="L12" s="24">
        <v>11</v>
      </c>
      <c r="M12" s="24">
        <f t="shared" si="15"/>
        <v>90</v>
      </c>
      <c r="N12" s="24">
        <f t="shared" si="5"/>
        <v>0</v>
      </c>
      <c r="O12" s="24">
        <f t="shared" si="6"/>
        <v>0</v>
      </c>
      <c r="P12" s="24">
        <v>4</v>
      </c>
      <c r="Q12" s="24">
        <v>3</v>
      </c>
      <c r="R12" s="24">
        <v>60000</v>
      </c>
      <c r="S12" s="24">
        <f t="shared" si="8"/>
        <v>0</v>
      </c>
      <c r="T12" s="24">
        <f t="shared" si="9"/>
        <v>0</v>
      </c>
      <c r="U12" s="24">
        <v>22</v>
      </c>
      <c r="V12" s="24">
        <f t="shared" ref="V12:AB12" si="20">V11</f>
        <v>3</v>
      </c>
      <c r="W12" s="24">
        <f t="shared" si="11"/>
        <v>0</v>
      </c>
      <c r="X12" s="50">
        <v>2</v>
      </c>
      <c r="Y12" s="50">
        <v>2</v>
      </c>
      <c r="Z12" s="50">
        <f t="shared" si="20"/>
        <v>1</v>
      </c>
      <c r="AA12" s="50">
        <f t="shared" si="20"/>
        <v>1</v>
      </c>
      <c r="AB12" s="50">
        <f t="shared" si="20"/>
        <v>1</v>
      </c>
      <c r="AF12" s="24">
        <f t="shared" si="17"/>
        <v>120</v>
      </c>
      <c r="AG12" s="68">
        <f t="shared" ref="AG12:AG78" si="21">AF12</f>
        <v>120</v>
      </c>
      <c r="AJ12" s="49"/>
      <c r="AK12" s="49"/>
      <c r="AL12" s="49"/>
      <c r="AM12" s="49"/>
      <c r="AN12" s="49"/>
      <c r="AO12" s="49"/>
      <c r="AP12" s="49"/>
      <c r="AQ12" s="49"/>
      <c r="AR12" s="49"/>
      <c r="AS12" s="49"/>
    </row>
    <row r="13" spans="1:45" x14ac:dyDescent="0.35">
      <c r="A13" s="24">
        <v>17</v>
      </c>
      <c r="B13" s="24">
        <f t="shared" si="12"/>
        <v>140</v>
      </c>
      <c r="C13" s="2">
        <v>1401</v>
      </c>
      <c r="D13" s="2">
        <v>0</v>
      </c>
      <c r="E13" s="2">
        <f t="shared" si="0"/>
        <v>0</v>
      </c>
      <c r="F13" s="24">
        <f t="shared" si="18"/>
        <v>1</v>
      </c>
      <c r="G13" s="24">
        <f t="shared" si="2"/>
        <v>5</v>
      </c>
      <c r="H13" s="24">
        <f t="shared" si="3"/>
        <v>5</v>
      </c>
      <c r="I13" s="24">
        <f t="shared" si="4"/>
        <v>5</v>
      </c>
      <c r="J13" s="24">
        <v>180</v>
      </c>
      <c r="K13" s="24">
        <v>180</v>
      </c>
      <c r="L13" s="24">
        <v>12</v>
      </c>
      <c r="M13" s="24">
        <f t="shared" si="15"/>
        <v>90</v>
      </c>
      <c r="N13" s="24">
        <f t="shared" si="5"/>
        <v>0</v>
      </c>
      <c r="O13" s="24">
        <f t="shared" si="6"/>
        <v>0</v>
      </c>
      <c r="P13" s="24">
        <f t="shared" si="16"/>
        <v>4</v>
      </c>
      <c r="Q13" s="24">
        <f t="shared" si="7"/>
        <v>3</v>
      </c>
      <c r="R13" s="24">
        <f t="shared" si="19"/>
        <v>60000</v>
      </c>
      <c r="S13" s="24">
        <f t="shared" si="8"/>
        <v>0</v>
      </c>
      <c r="T13" s="24">
        <f t="shared" si="9"/>
        <v>0</v>
      </c>
      <c r="U13" s="24">
        <v>24</v>
      </c>
      <c r="V13" s="24">
        <v>4</v>
      </c>
      <c r="W13" s="24">
        <f t="shared" si="11"/>
        <v>0</v>
      </c>
      <c r="X13" s="50">
        <v>2</v>
      </c>
      <c r="Y13" s="50">
        <v>2</v>
      </c>
      <c r="Z13" s="50">
        <v>2</v>
      </c>
      <c r="AA13" s="50">
        <v>1</v>
      </c>
      <c r="AB13" s="50">
        <v>1</v>
      </c>
      <c r="AF13" s="24">
        <f t="shared" si="17"/>
        <v>139</v>
      </c>
      <c r="AG13" s="68">
        <v>140</v>
      </c>
      <c r="AJ13" s="49"/>
      <c r="AK13" s="49"/>
      <c r="AL13" s="49"/>
      <c r="AM13" s="49"/>
      <c r="AN13" s="49"/>
      <c r="AO13" s="49"/>
      <c r="AP13" s="49"/>
      <c r="AQ13" s="49"/>
      <c r="AR13" s="49"/>
      <c r="AS13" s="49"/>
    </row>
    <row r="14" spans="1:45" x14ac:dyDescent="0.35">
      <c r="A14" s="24">
        <v>18</v>
      </c>
      <c r="B14" s="24">
        <f t="shared" si="12"/>
        <v>160</v>
      </c>
      <c r="C14" s="2">
        <v>1401</v>
      </c>
      <c r="D14" s="2">
        <v>0</v>
      </c>
      <c r="E14" s="2">
        <f t="shared" si="0"/>
        <v>0</v>
      </c>
      <c r="F14" s="24">
        <f t="shared" si="18"/>
        <v>1</v>
      </c>
      <c r="G14" s="24">
        <f t="shared" si="2"/>
        <v>5</v>
      </c>
      <c r="H14" s="24">
        <f t="shared" si="3"/>
        <v>5</v>
      </c>
      <c r="I14" s="24">
        <f t="shared" si="4"/>
        <v>5</v>
      </c>
      <c r="J14" s="24">
        <f t="shared" si="13"/>
        <v>180</v>
      </c>
      <c r="K14" s="24">
        <f t="shared" si="14"/>
        <v>180</v>
      </c>
      <c r="L14" s="24">
        <v>13</v>
      </c>
      <c r="M14" s="24">
        <f t="shared" si="15"/>
        <v>90</v>
      </c>
      <c r="N14" s="24">
        <f t="shared" ref="N14:N45" si="22">N13</f>
        <v>0</v>
      </c>
      <c r="O14" s="24">
        <f t="shared" ref="O14:O45" si="23">O13</f>
        <v>0</v>
      </c>
      <c r="P14" s="24">
        <v>5</v>
      </c>
      <c r="Q14" s="24">
        <f t="shared" ref="Q14:Q45" si="24">Q13</f>
        <v>3</v>
      </c>
      <c r="R14" s="24">
        <v>70000</v>
      </c>
      <c r="S14" s="24">
        <f t="shared" ref="S14:S45" si="25">S13</f>
        <v>0</v>
      </c>
      <c r="T14" s="24">
        <f t="shared" si="9"/>
        <v>0</v>
      </c>
      <c r="U14" s="24">
        <v>26</v>
      </c>
      <c r="V14" s="24">
        <v>4</v>
      </c>
      <c r="W14" s="24">
        <f t="shared" si="11"/>
        <v>0</v>
      </c>
      <c r="X14" s="50">
        <f t="shared" ref="X14:Z14" si="26">X13</f>
        <v>2</v>
      </c>
      <c r="Y14" s="50">
        <f t="shared" si="26"/>
        <v>2</v>
      </c>
      <c r="Z14" s="50">
        <f t="shared" si="26"/>
        <v>2</v>
      </c>
      <c r="AA14" s="50">
        <v>2</v>
      </c>
      <c r="AB14" s="50">
        <f t="shared" ref="AB14:AB19" si="27">AB13</f>
        <v>1</v>
      </c>
      <c r="AF14" s="24">
        <f t="shared" si="17"/>
        <v>158</v>
      </c>
      <c r="AG14" s="68">
        <v>160</v>
      </c>
      <c r="AJ14" s="49"/>
      <c r="AK14" s="49"/>
      <c r="AL14" s="49"/>
      <c r="AM14" s="49"/>
      <c r="AN14" s="49"/>
      <c r="AO14" s="49"/>
      <c r="AP14" s="49"/>
      <c r="AQ14" s="49"/>
      <c r="AR14" s="49"/>
      <c r="AS14" s="49"/>
    </row>
    <row r="15" spans="1:45" x14ac:dyDescent="0.35">
      <c r="A15" s="24">
        <v>19</v>
      </c>
      <c r="B15" s="24">
        <f t="shared" si="12"/>
        <v>180</v>
      </c>
      <c r="C15" s="2">
        <v>1401</v>
      </c>
      <c r="D15" s="2">
        <v>0</v>
      </c>
      <c r="E15" s="2">
        <f t="shared" si="0"/>
        <v>0</v>
      </c>
      <c r="F15" s="24">
        <f t="shared" si="18"/>
        <v>1</v>
      </c>
      <c r="G15" s="24">
        <f t="shared" si="2"/>
        <v>5</v>
      </c>
      <c r="H15" s="24">
        <f t="shared" si="3"/>
        <v>5</v>
      </c>
      <c r="I15" s="24">
        <f t="shared" si="4"/>
        <v>5</v>
      </c>
      <c r="J15" s="24">
        <f t="shared" si="13"/>
        <v>180</v>
      </c>
      <c r="K15" s="24">
        <f t="shared" si="14"/>
        <v>180</v>
      </c>
      <c r="L15" s="24">
        <v>14</v>
      </c>
      <c r="M15" s="24">
        <f t="shared" si="15"/>
        <v>90</v>
      </c>
      <c r="N15" s="24">
        <f t="shared" si="22"/>
        <v>0</v>
      </c>
      <c r="O15" s="24">
        <f t="shared" si="23"/>
        <v>0</v>
      </c>
      <c r="P15" s="24">
        <f t="shared" ref="P15:P45" si="28">P14</f>
        <v>5</v>
      </c>
      <c r="Q15" s="24">
        <f t="shared" si="24"/>
        <v>3</v>
      </c>
      <c r="R15" s="24">
        <f t="shared" si="19"/>
        <v>70000</v>
      </c>
      <c r="S15" s="24">
        <f t="shared" si="25"/>
        <v>0</v>
      </c>
      <c r="T15" s="24">
        <f t="shared" si="9"/>
        <v>0</v>
      </c>
      <c r="U15" s="24">
        <v>28</v>
      </c>
      <c r="V15" s="24">
        <f t="shared" ref="V15:AA15" si="29">V14</f>
        <v>4</v>
      </c>
      <c r="W15" s="24">
        <f t="shared" si="11"/>
        <v>0</v>
      </c>
      <c r="X15" s="50">
        <f t="shared" si="29"/>
        <v>2</v>
      </c>
      <c r="Y15" s="50">
        <f t="shared" si="29"/>
        <v>2</v>
      </c>
      <c r="Z15" s="50">
        <f t="shared" si="29"/>
        <v>2</v>
      </c>
      <c r="AA15" s="50">
        <f t="shared" si="29"/>
        <v>2</v>
      </c>
      <c r="AB15" s="50">
        <v>2</v>
      </c>
      <c r="AF15" s="24">
        <f t="shared" si="17"/>
        <v>177</v>
      </c>
      <c r="AG15" s="68">
        <v>180</v>
      </c>
      <c r="AJ15" s="49"/>
      <c r="AK15" s="49"/>
      <c r="AL15" s="49"/>
      <c r="AM15" s="49"/>
      <c r="AN15" s="49"/>
      <c r="AO15" s="49"/>
      <c r="AP15" s="49"/>
      <c r="AQ15" s="49"/>
      <c r="AR15" s="49"/>
      <c r="AS15" s="49"/>
    </row>
    <row r="16" spans="1:45" s="49" customFormat="1" x14ac:dyDescent="0.35">
      <c r="A16" s="55">
        <f>A6+10</f>
        <v>20</v>
      </c>
      <c r="B16" s="56">
        <f>'VIP升级|VIPUp'!$B$7</f>
        <v>200</v>
      </c>
      <c r="C16" s="57">
        <f>C17</f>
        <v>1402</v>
      </c>
      <c r="D16" s="57" t="str">
        <f>'VIP升级|VIPUp'!Q7</f>
        <v>1|2|2000000</v>
      </c>
      <c r="E16" s="57">
        <f t="shared" si="0"/>
        <v>0</v>
      </c>
      <c r="F16" s="49">
        <v>2</v>
      </c>
      <c r="G16" s="49">
        <v>6</v>
      </c>
      <c r="H16" s="49">
        <v>6</v>
      </c>
      <c r="I16" s="49">
        <v>6</v>
      </c>
      <c r="J16" s="49">
        <v>300</v>
      </c>
      <c r="K16" s="49">
        <v>300</v>
      </c>
      <c r="L16" s="49">
        <v>15</v>
      </c>
      <c r="M16" s="49">
        <v>120</v>
      </c>
      <c r="N16" s="49">
        <v>1</v>
      </c>
      <c r="O16" s="49">
        <f t="shared" si="23"/>
        <v>0</v>
      </c>
      <c r="P16" s="49">
        <v>0</v>
      </c>
      <c r="Q16" s="49">
        <v>0</v>
      </c>
      <c r="R16" s="49">
        <v>80000</v>
      </c>
      <c r="S16" s="49">
        <f t="shared" si="25"/>
        <v>0</v>
      </c>
      <c r="T16" s="49">
        <f t="shared" si="9"/>
        <v>0</v>
      </c>
      <c r="U16" s="49">
        <v>30</v>
      </c>
      <c r="V16" s="49">
        <v>4</v>
      </c>
      <c r="W16" s="49">
        <f t="shared" si="11"/>
        <v>0</v>
      </c>
      <c r="X16" s="65">
        <v>3</v>
      </c>
      <c r="Y16" s="65">
        <v>2</v>
      </c>
      <c r="Z16" s="65">
        <v>2</v>
      </c>
      <c r="AA16" s="65">
        <v>2</v>
      </c>
      <c r="AB16" s="65">
        <v>2</v>
      </c>
      <c r="AG16" s="56"/>
    </row>
    <row r="17" spans="1:36" x14ac:dyDescent="0.35">
      <c r="A17" s="24">
        <f t="shared" ref="A17:A80" si="30">A7+10</f>
        <v>21</v>
      </c>
      <c r="B17" s="24">
        <f t="shared" si="12"/>
        <v>230</v>
      </c>
      <c r="C17" s="2">
        <f t="shared" ref="C17:C25" si="31">C7+1</f>
        <v>1402</v>
      </c>
      <c r="D17" s="2">
        <v>0</v>
      </c>
      <c r="E17" s="2">
        <f t="shared" si="0"/>
        <v>0</v>
      </c>
      <c r="F17" s="24">
        <f t="shared" si="18"/>
        <v>2</v>
      </c>
      <c r="G17" s="24">
        <f t="shared" ref="G17:G25" si="32">G16</f>
        <v>6</v>
      </c>
      <c r="H17" s="24">
        <f t="shared" ref="H17:H25" si="33">H16</f>
        <v>6</v>
      </c>
      <c r="I17" s="24">
        <f t="shared" ref="I17:I25" si="34">I16</f>
        <v>6</v>
      </c>
      <c r="J17" s="24">
        <f t="shared" si="13"/>
        <v>300</v>
      </c>
      <c r="K17" s="24">
        <f t="shared" si="14"/>
        <v>300</v>
      </c>
      <c r="L17" s="24">
        <f t="shared" ref="L17:L25" si="35">L16</f>
        <v>15</v>
      </c>
      <c r="M17" s="24">
        <f t="shared" ref="M17:M40" si="36">M16</f>
        <v>120</v>
      </c>
      <c r="N17" s="24">
        <f t="shared" si="22"/>
        <v>1</v>
      </c>
      <c r="O17" s="24">
        <f t="shared" si="23"/>
        <v>0</v>
      </c>
      <c r="P17" s="24">
        <f t="shared" si="28"/>
        <v>0</v>
      </c>
      <c r="Q17" s="24">
        <f t="shared" si="24"/>
        <v>0</v>
      </c>
      <c r="R17" s="24">
        <f t="shared" si="19"/>
        <v>80000</v>
      </c>
      <c r="S17" s="24">
        <f t="shared" si="25"/>
        <v>0</v>
      </c>
      <c r="T17" s="24">
        <f t="shared" si="9"/>
        <v>0</v>
      </c>
      <c r="U17" s="24">
        <f t="shared" ref="U17:X17" si="37">U16</f>
        <v>30</v>
      </c>
      <c r="V17" s="24">
        <v>5</v>
      </c>
      <c r="W17" s="24">
        <f t="shared" si="37"/>
        <v>0</v>
      </c>
      <c r="X17" s="50">
        <f t="shared" si="37"/>
        <v>3</v>
      </c>
      <c r="Y17" s="50">
        <v>3</v>
      </c>
      <c r="Z17" s="50">
        <f t="shared" ref="Z17:AB17" si="38">Z16</f>
        <v>2</v>
      </c>
      <c r="AA17" s="50">
        <f t="shared" si="38"/>
        <v>2</v>
      </c>
      <c r="AB17" s="50">
        <f t="shared" si="38"/>
        <v>2</v>
      </c>
      <c r="AD17" s="24" t="s">
        <v>1585</v>
      </c>
      <c r="AF17" s="24">
        <f>B16+ROUNDDOWN(AE$18/10,0)</f>
        <v>230</v>
      </c>
      <c r="AG17" s="24">
        <f t="shared" si="21"/>
        <v>230</v>
      </c>
      <c r="AJ17" s="49"/>
    </row>
    <row r="18" spans="1:36" x14ac:dyDescent="0.35">
      <c r="A18" s="24">
        <f t="shared" si="30"/>
        <v>22</v>
      </c>
      <c r="B18" s="24">
        <f t="shared" si="12"/>
        <v>260</v>
      </c>
      <c r="C18" s="2">
        <f t="shared" si="31"/>
        <v>1402</v>
      </c>
      <c r="D18" s="2">
        <v>0</v>
      </c>
      <c r="E18" s="2">
        <f t="shared" si="0"/>
        <v>0</v>
      </c>
      <c r="F18" s="24">
        <f t="shared" si="18"/>
        <v>2</v>
      </c>
      <c r="G18" s="24">
        <f t="shared" si="32"/>
        <v>6</v>
      </c>
      <c r="H18" s="24">
        <f t="shared" si="33"/>
        <v>6</v>
      </c>
      <c r="I18" s="24">
        <f t="shared" si="34"/>
        <v>6</v>
      </c>
      <c r="J18" s="24">
        <f t="shared" si="13"/>
        <v>300</v>
      </c>
      <c r="K18" s="24">
        <f t="shared" si="14"/>
        <v>300</v>
      </c>
      <c r="L18" s="24">
        <f t="shared" si="35"/>
        <v>15</v>
      </c>
      <c r="M18" s="24">
        <f t="shared" si="36"/>
        <v>120</v>
      </c>
      <c r="N18" s="24">
        <f t="shared" si="22"/>
        <v>1</v>
      </c>
      <c r="O18" s="24">
        <f t="shared" si="23"/>
        <v>0</v>
      </c>
      <c r="P18" s="24">
        <f t="shared" si="28"/>
        <v>0</v>
      </c>
      <c r="Q18" s="24">
        <f t="shared" si="24"/>
        <v>0</v>
      </c>
      <c r="R18" s="24">
        <v>90000</v>
      </c>
      <c r="S18" s="24">
        <f t="shared" si="25"/>
        <v>0</v>
      </c>
      <c r="T18" s="24">
        <f t="shared" si="9"/>
        <v>0</v>
      </c>
      <c r="U18" s="24">
        <v>32</v>
      </c>
      <c r="V18" s="24">
        <f>V17</f>
        <v>5</v>
      </c>
      <c r="W18" s="24">
        <f t="shared" ref="W18:Y18" si="39">W17</f>
        <v>0</v>
      </c>
      <c r="X18" s="50">
        <f t="shared" si="39"/>
        <v>3</v>
      </c>
      <c r="Y18" s="50">
        <f t="shared" si="39"/>
        <v>3</v>
      </c>
      <c r="Z18" s="50">
        <v>3</v>
      </c>
      <c r="AA18" s="50">
        <f>AA17</f>
        <v>2</v>
      </c>
      <c r="AB18" s="50">
        <f t="shared" si="27"/>
        <v>2</v>
      </c>
      <c r="AD18" s="24" t="s">
        <v>1584</v>
      </c>
      <c r="AE18" s="24">
        <f>'VIP升级|VIPUp'!$B$8-B16</f>
        <v>300</v>
      </c>
      <c r="AF18" s="24">
        <f t="shared" ref="AF18:AF25" si="40">AF17+ROUNDDOWN(AE$18/10,0)</f>
        <v>260</v>
      </c>
      <c r="AG18" s="24">
        <f t="shared" si="21"/>
        <v>260</v>
      </c>
      <c r="AJ18" s="49"/>
    </row>
    <row r="19" spans="1:36" x14ac:dyDescent="0.35">
      <c r="A19" s="24">
        <f t="shared" si="30"/>
        <v>23</v>
      </c>
      <c r="B19" s="24">
        <f t="shared" si="12"/>
        <v>290</v>
      </c>
      <c r="C19" s="2">
        <f t="shared" si="31"/>
        <v>1402</v>
      </c>
      <c r="D19" s="2">
        <v>0</v>
      </c>
      <c r="E19" s="2">
        <f t="shared" si="0"/>
        <v>0</v>
      </c>
      <c r="F19" s="24">
        <f t="shared" si="18"/>
        <v>2</v>
      </c>
      <c r="G19" s="24">
        <v>8</v>
      </c>
      <c r="H19" s="24">
        <v>8</v>
      </c>
      <c r="I19" s="24">
        <v>8</v>
      </c>
      <c r="J19" s="24">
        <f t="shared" si="13"/>
        <v>300</v>
      </c>
      <c r="K19" s="24">
        <f t="shared" si="14"/>
        <v>300</v>
      </c>
      <c r="L19" s="24">
        <f t="shared" si="35"/>
        <v>15</v>
      </c>
      <c r="M19" s="24">
        <f t="shared" si="36"/>
        <v>120</v>
      </c>
      <c r="N19" s="24">
        <f t="shared" si="22"/>
        <v>1</v>
      </c>
      <c r="O19" s="24">
        <f t="shared" si="23"/>
        <v>0</v>
      </c>
      <c r="P19" s="24">
        <f t="shared" si="28"/>
        <v>0</v>
      </c>
      <c r="Q19" s="24">
        <f t="shared" si="24"/>
        <v>0</v>
      </c>
      <c r="R19" s="24">
        <f t="shared" si="19"/>
        <v>90000</v>
      </c>
      <c r="S19" s="24">
        <f t="shared" si="25"/>
        <v>0</v>
      </c>
      <c r="T19" s="24">
        <f t="shared" si="9"/>
        <v>0</v>
      </c>
      <c r="U19" s="24">
        <f t="shared" ref="U19:Z19" si="41">U18</f>
        <v>32</v>
      </c>
      <c r="V19" s="24">
        <v>6</v>
      </c>
      <c r="W19" s="24">
        <f t="shared" si="41"/>
        <v>0</v>
      </c>
      <c r="X19" s="50">
        <f t="shared" si="41"/>
        <v>3</v>
      </c>
      <c r="Y19" s="50">
        <f t="shared" si="41"/>
        <v>3</v>
      </c>
      <c r="Z19" s="50">
        <f t="shared" si="41"/>
        <v>3</v>
      </c>
      <c r="AA19" s="50">
        <v>3</v>
      </c>
      <c r="AB19" s="50">
        <f t="shared" si="27"/>
        <v>2</v>
      </c>
      <c r="AF19" s="24">
        <f t="shared" si="40"/>
        <v>290</v>
      </c>
      <c r="AG19" s="24">
        <f t="shared" si="21"/>
        <v>290</v>
      </c>
      <c r="AJ19" s="49"/>
    </row>
    <row r="20" spans="1:36" x14ac:dyDescent="0.35">
      <c r="A20" s="24">
        <f t="shared" si="30"/>
        <v>24</v>
      </c>
      <c r="B20" s="24">
        <f t="shared" si="12"/>
        <v>320</v>
      </c>
      <c r="C20" s="2">
        <f t="shared" si="31"/>
        <v>1402</v>
      </c>
      <c r="D20" s="2">
        <v>0</v>
      </c>
      <c r="E20" s="2">
        <f t="shared" si="0"/>
        <v>0</v>
      </c>
      <c r="F20" s="24">
        <f t="shared" si="18"/>
        <v>2</v>
      </c>
      <c r="G20" s="24">
        <f t="shared" si="32"/>
        <v>8</v>
      </c>
      <c r="H20" s="24">
        <f t="shared" si="33"/>
        <v>8</v>
      </c>
      <c r="I20" s="24">
        <f t="shared" si="34"/>
        <v>8</v>
      </c>
      <c r="J20" s="24">
        <v>360</v>
      </c>
      <c r="K20" s="24">
        <v>360</v>
      </c>
      <c r="L20" s="24">
        <f t="shared" si="35"/>
        <v>15</v>
      </c>
      <c r="M20" s="24">
        <f t="shared" si="36"/>
        <v>120</v>
      </c>
      <c r="N20" s="24">
        <f t="shared" si="22"/>
        <v>1</v>
      </c>
      <c r="O20" s="24">
        <f t="shared" si="23"/>
        <v>0</v>
      </c>
      <c r="P20" s="24">
        <f t="shared" si="28"/>
        <v>0</v>
      </c>
      <c r="Q20" s="24">
        <f t="shared" si="24"/>
        <v>0</v>
      </c>
      <c r="R20" s="24">
        <v>100000</v>
      </c>
      <c r="S20" s="24">
        <f t="shared" si="25"/>
        <v>0</v>
      </c>
      <c r="T20" s="24">
        <f t="shared" si="9"/>
        <v>0</v>
      </c>
      <c r="U20" s="24">
        <f t="shared" ref="U20:U25" si="42">U19</f>
        <v>32</v>
      </c>
      <c r="V20" s="24">
        <f>V19</f>
        <v>6</v>
      </c>
      <c r="W20" s="24">
        <f t="shared" ref="W20:AA20" si="43">W19</f>
        <v>0</v>
      </c>
      <c r="X20" s="50">
        <f t="shared" si="43"/>
        <v>3</v>
      </c>
      <c r="Y20" s="50">
        <f t="shared" si="43"/>
        <v>3</v>
      </c>
      <c r="Z20" s="50">
        <f t="shared" si="43"/>
        <v>3</v>
      </c>
      <c r="AA20" s="50">
        <f t="shared" si="43"/>
        <v>3</v>
      </c>
      <c r="AB20" s="50">
        <v>3</v>
      </c>
      <c r="AF20" s="24">
        <f t="shared" si="40"/>
        <v>320</v>
      </c>
      <c r="AG20" s="24">
        <f t="shared" si="21"/>
        <v>320</v>
      </c>
      <c r="AJ20" s="49"/>
    </row>
    <row r="21" spans="1:36" x14ac:dyDescent="0.35">
      <c r="A21" s="24">
        <f t="shared" si="30"/>
        <v>25</v>
      </c>
      <c r="B21" s="24">
        <f t="shared" si="12"/>
        <v>350</v>
      </c>
      <c r="C21" s="2">
        <f t="shared" si="31"/>
        <v>1402</v>
      </c>
      <c r="D21" s="2">
        <v>0</v>
      </c>
      <c r="E21" s="2">
        <f t="shared" si="0"/>
        <v>0</v>
      </c>
      <c r="F21" s="24">
        <f t="shared" si="18"/>
        <v>2</v>
      </c>
      <c r="G21" s="24">
        <f t="shared" si="32"/>
        <v>8</v>
      </c>
      <c r="H21" s="24">
        <f t="shared" si="33"/>
        <v>8</v>
      </c>
      <c r="I21" s="24">
        <f t="shared" si="34"/>
        <v>8</v>
      </c>
      <c r="J21" s="24">
        <f t="shared" si="13"/>
        <v>360</v>
      </c>
      <c r="K21" s="24">
        <f t="shared" si="14"/>
        <v>360</v>
      </c>
      <c r="L21" s="24">
        <v>20</v>
      </c>
      <c r="M21" s="24">
        <v>120</v>
      </c>
      <c r="N21" s="24">
        <v>2</v>
      </c>
      <c r="O21" s="24">
        <f t="shared" si="23"/>
        <v>0</v>
      </c>
      <c r="P21" s="24">
        <f t="shared" si="28"/>
        <v>0</v>
      </c>
      <c r="Q21" s="24">
        <f t="shared" si="24"/>
        <v>0</v>
      </c>
      <c r="R21" s="24">
        <v>110000</v>
      </c>
      <c r="S21" s="24">
        <f t="shared" si="25"/>
        <v>0</v>
      </c>
      <c r="T21" s="24">
        <f t="shared" si="9"/>
        <v>0</v>
      </c>
      <c r="U21" s="24">
        <v>35</v>
      </c>
      <c r="V21" s="24">
        <f>V20</f>
        <v>6</v>
      </c>
      <c r="W21" s="24">
        <f>W20</f>
        <v>0</v>
      </c>
      <c r="X21" s="50">
        <v>4</v>
      </c>
      <c r="Y21" s="50">
        <v>3</v>
      </c>
      <c r="Z21" s="50">
        <v>3</v>
      </c>
      <c r="AA21" s="50">
        <v>3</v>
      </c>
      <c r="AB21" s="50">
        <v>3</v>
      </c>
      <c r="AF21" s="24">
        <f t="shared" si="40"/>
        <v>350</v>
      </c>
      <c r="AG21" s="24">
        <f t="shared" si="21"/>
        <v>350</v>
      </c>
      <c r="AJ21" s="49"/>
    </row>
    <row r="22" spans="1:36" x14ac:dyDescent="0.35">
      <c r="A22" s="24">
        <f t="shared" si="30"/>
        <v>26</v>
      </c>
      <c r="B22" s="24">
        <f t="shared" si="12"/>
        <v>380</v>
      </c>
      <c r="C22" s="2">
        <f t="shared" si="31"/>
        <v>1402</v>
      </c>
      <c r="D22" s="2">
        <v>0</v>
      </c>
      <c r="E22" s="2">
        <f t="shared" si="0"/>
        <v>0</v>
      </c>
      <c r="F22" s="24">
        <f t="shared" si="18"/>
        <v>2</v>
      </c>
      <c r="G22" s="24">
        <v>10</v>
      </c>
      <c r="H22" s="24">
        <v>10</v>
      </c>
      <c r="I22" s="24">
        <v>10</v>
      </c>
      <c r="J22" s="24">
        <f t="shared" si="13"/>
        <v>360</v>
      </c>
      <c r="K22" s="24">
        <f t="shared" si="14"/>
        <v>360</v>
      </c>
      <c r="L22" s="24">
        <f t="shared" si="35"/>
        <v>20</v>
      </c>
      <c r="M22" s="24">
        <f t="shared" si="36"/>
        <v>120</v>
      </c>
      <c r="N22" s="24">
        <f t="shared" si="22"/>
        <v>2</v>
      </c>
      <c r="O22" s="24">
        <f t="shared" si="23"/>
        <v>0</v>
      </c>
      <c r="P22" s="24">
        <f t="shared" si="28"/>
        <v>0</v>
      </c>
      <c r="Q22" s="24">
        <f t="shared" si="24"/>
        <v>0</v>
      </c>
      <c r="R22" s="24">
        <f t="shared" si="19"/>
        <v>110000</v>
      </c>
      <c r="S22" s="24">
        <f t="shared" si="25"/>
        <v>0</v>
      </c>
      <c r="T22" s="24">
        <f t="shared" si="9"/>
        <v>0</v>
      </c>
      <c r="U22" s="24">
        <f t="shared" si="42"/>
        <v>35</v>
      </c>
      <c r="V22" s="24">
        <v>7</v>
      </c>
      <c r="W22" s="24">
        <f t="shared" ref="W22:AB22" si="44">W21</f>
        <v>0</v>
      </c>
      <c r="X22" s="50">
        <f t="shared" si="44"/>
        <v>4</v>
      </c>
      <c r="Y22" s="50">
        <v>4</v>
      </c>
      <c r="Z22" s="50">
        <f t="shared" si="44"/>
        <v>3</v>
      </c>
      <c r="AA22" s="50">
        <f t="shared" si="44"/>
        <v>3</v>
      </c>
      <c r="AB22" s="50">
        <f t="shared" si="44"/>
        <v>3</v>
      </c>
      <c r="AF22" s="24">
        <f t="shared" si="40"/>
        <v>380</v>
      </c>
      <c r="AG22" s="24">
        <f t="shared" si="21"/>
        <v>380</v>
      </c>
      <c r="AJ22" s="49"/>
    </row>
    <row r="23" spans="1:36" x14ac:dyDescent="0.35">
      <c r="A23" s="24">
        <f t="shared" si="30"/>
        <v>27</v>
      </c>
      <c r="B23" s="24">
        <f t="shared" si="12"/>
        <v>410</v>
      </c>
      <c r="C23" s="2">
        <f t="shared" si="31"/>
        <v>1402</v>
      </c>
      <c r="D23" s="2">
        <v>0</v>
      </c>
      <c r="E23" s="2">
        <f t="shared" si="0"/>
        <v>0</v>
      </c>
      <c r="F23" s="24">
        <f t="shared" si="18"/>
        <v>2</v>
      </c>
      <c r="G23" s="24">
        <f t="shared" si="32"/>
        <v>10</v>
      </c>
      <c r="H23" s="24">
        <f t="shared" si="33"/>
        <v>10</v>
      </c>
      <c r="I23" s="24">
        <f t="shared" si="34"/>
        <v>10</v>
      </c>
      <c r="J23" s="24">
        <v>420</v>
      </c>
      <c r="K23" s="24">
        <v>420</v>
      </c>
      <c r="L23" s="24">
        <f t="shared" si="35"/>
        <v>20</v>
      </c>
      <c r="M23" s="24">
        <f t="shared" si="36"/>
        <v>120</v>
      </c>
      <c r="N23" s="24">
        <f t="shared" si="22"/>
        <v>2</v>
      </c>
      <c r="O23" s="24">
        <f t="shared" si="23"/>
        <v>0</v>
      </c>
      <c r="P23" s="24">
        <f t="shared" si="28"/>
        <v>0</v>
      </c>
      <c r="Q23" s="24">
        <f t="shared" si="24"/>
        <v>0</v>
      </c>
      <c r="R23" s="24">
        <v>120000</v>
      </c>
      <c r="S23" s="24">
        <f t="shared" si="25"/>
        <v>0</v>
      </c>
      <c r="T23" s="24">
        <f t="shared" si="9"/>
        <v>0</v>
      </c>
      <c r="U23" s="24">
        <v>36</v>
      </c>
      <c r="V23" s="24">
        <f>V22</f>
        <v>7</v>
      </c>
      <c r="W23" s="24">
        <f t="shared" ref="W23:Y23" si="45">W22</f>
        <v>0</v>
      </c>
      <c r="X23" s="50">
        <f t="shared" si="45"/>
        <v>4</v>
      </c>
      <c r="Y23" s="50">
        <f t="shared" si="45"/>
        <v>4</v>
      </c>
      <c r="Z23" s="50">
        <v>4</v>
      </c>
      <c r="AA23" s="50">
        <f t="shared" ref="AA23:AA28" si="46">AA22</f>
        <v>3</v>
      </c>
      <c r="AB23" s="50">
        <f t="shared" ref="AB23:AB29" si="47">AB22</f>
        <v>3</v>
      </c>
      <c r="AF23" s="24">
        <f t="shared" si="40"/>
        <v>410</v>
      </c>
      <c r="AG23" s="24">
        <f t="shared" si="21"/>
        <v>410</v>
      </c>
      <c r="AJ23" s="49"/>
    </row>
    <row r="24" spans="1:36" x14ac:dyDescent="0.35">
      <c r="A24" s="24">
        <f t="shared" si="30"/>
        <v>28</v>
      </c>
      <c r="B24" s="24">
        <f t="shared" si="12"/>
        <v>440</v>
      </c>
      <c r="C24" s="2">
        <f t="shared" si="31"/>
        <v>1402</v>
      </c>
      <c r="D24" s="2">
        <v>0</v>
      </c>
      <c r="E24" s="2">
        <f t="shared" si="0"/>
        <v>0</v>
      </c>
      <c r="F24" s="24">
        <f t="shared" si="18"/>
        <v>2</v>
      </c>
      <c r="G24" s="24">
        <f t="shared" si="32"/>
        <v>10</v>
      </c>
      <c r="H24" s="24">
        <f t="shared" si="33"/>
        <v>10</v>
      </c>
      <c r="I24" s="24">
        <f t="shared" si="34"/>
        <v>10</v>
      </c>
      <c r="J24" s="24">
        <f t="shared" si="13"/>
        <v>420</v>
      </c>
      <c r="K24" s="24">
        <f t="shared" si="14"/>
        <v>420</v>
      </c>
      <c r="L24" s="24">
        <f t="shared" si="35"/>
        <v>20</v>
      </c>
      <c r="M24" s="24">
        <f t="shared" si="36"/>
        <v>120</v>
      </c>
      <c r="N24" s="24">
        <f t="shared" si="22"/>
        <v>2</v>
      </c>
      <c r="O24" s="24">
        <f t="shared" si="23"/>
        <v>0</v>
      </c>
      <c r="P24" s="24">
        <f t="shared" si="28"/>
        <v>0</v>
      </c>
      <c r="Q24" s="24">
        <f t="shared" si="24"/>
        <v>0</v>
      </c>
      <c r="R24" s="24">
        <f t="shared" si="19"/>
        <v>120000</v>
      </c>
      <c r="S24" s="24">
        <f t="shared" si="25"/>
        <v>0</v>
      </c>
      <c r="T24" s="24">
        <f t="shared" si="9"/>
        <v>0</v>
      </c>
      <c r="U24" s="24">
        <f t="shared" si="42"/>
        <v>36</v>
      </c>
      <c r="V24" s="24">
        <v>8</v>
      </c>
      <c r="W24" s="24">
        <f t="shared" ref="W24:Z24" si="48">W23</f>
        <v>0</v>
      </c>
      <c r="X24" s="50">
        <f t="shared" si="48"/>
        <v>4</v>
      </c>
      <c r="Y24" s="50">
        <f t="shared" si="48"/>
        <v>4</v>
      </c>
      <c r="Z24" s="50">
        <f t="shared" si="48"/>
        <v>4</v>
      </c>
      <c r="AA24" s="50">
        <v>4</v>
      </c>
      <c r="AB24" s="50">
        <f t="shared" si="47"/>
        <v>3</v>
      </c>
      <c r="AF24" s="24">
        <f t="shared" si="40"/>
        <v>440</v>
      </c>
      <c r="AG24" s="24">
        <f t="shared" si="21"/>
        <v>440</v>
      </c>
      <c r="AJ24" s="49"/>
    </row>
    <row r="25" spans="1:36" x14ac:dyDescent="0.35">
      <c r="A25" s="24">
        <f t="shared" si="30"/>
        <v>29</v>
      </c>
      <c r="B25" s="24">
        <f t="shared" si="12"/>
        <v>470</v>
      </c>
      <c r="C25" s="2">
        <f t="shared" si="31"/>
        <v>1402</v>
      </c>
      <c r="D25" s="2">
        <v>0</v>
      </c>
      <c r="E25" s="2">
        <f t="shared" si="0"/>
        <v>0</v>
      </c>
      <c r="F25" s="24">
        <f t="shared" si="18"/>
        <v>2</v>
      </c>
      <c r="G25" s="24">
        <f t="shared" si="32"/>
        <v>10</v>
      </c>
      <c r="H25" s="24">
        <f t="shared" si="33"/>
        <v>10</v>
      </c>
      <c r="I25" s="24">
        <f t="shared" si="34"/>
        <v>10</v>
      </c>
      <c r="J25" s="24">
        <f t="shared" si="13"/>
        <v>420</v>
      </c>
      <c r="K25" s="24">
        <f t="shared" si="14"/>
        <v>420</v>
      </c>
      <c r="L25" s="24">
        <f t="shared" si="35"/>
        <v>20</v>
      </c>
      <c r="M25" s="24">
        <f t="shared" si="36"/>
        <v>120</v>
      </c>
      <c r="N25" s="24">
        <f t="shared" si="22"/>
        <v>2</v>
      </c>
      <c r="O25" s="24">
        <f t="shared" si="23"/>
        <v>0</v>
      </c>
      <c r="P25" s="24">
        <f t="shared" si="28"/>
        <v>0</v>
      </c>
      <c r="Q25" s="24">
        <f t="shared" si="24"/>
        <v>0</v>
      </c>
      <c r="R25" s="24">
        <v>140000</v>
      </c>
      <c r="S25" s="24">
        <f t="shared" si="25"/>
        <v>0</v>
      </c>
      <c r="T25" s="24">
        <f t="shared" si="9"/>
        <v>0</v>
      </c>
      <c r="U25" s="24">
        <f t="shared" si="42"/>
        <v>36</v>
      </c>
      <c r="V25" s="24">
        <f>V24</f>
        <v>8</v>
      </c>
      <c r="W25" s="24">
        <f t="shared" ref="W25:AA25" si="49">W24</f>
        <v>0</v>
      </c>
      <c r="X25" s="50">
        <f t="shared" si="49"/>
        <v>4</v>
      </c>
      <c r="Y25" s="50">
        <f t="shared" si="49"/>
        <v>4</v>
      </c>
      <c r="Z25" s="50">
        <f t="shared" si="49"/>
        <v>4</v>
      </c>
      <c r="AA25" s="50">
        <f t="shared" si="49"/>
        <v>4</v>
      </c>
      <c r="AB25" s="50">
        <v>4</v>
      </c>
      <c r="AF25" s="24">
        <f t="shared" si="40"/>
        <v>470</v>
      </c>
      <c r="AG25" s="24">
        <f t="shared" si="21"/>
        <v>470</v>
      </c>
      <c r="AJ25" s="49"/>
    </row>
    <row r="26" spans="1:36" s="49" customFormat="1" x14ac:dyDescent="0.35">
      <c r="A26" s="55">
        <f t="shared" si="30"/>
        <v>30</v>
      </c>
      <c r="B26" s="56">
        <f>'VIP升级|VIPUp'!$B$8</f>
        <v>500</v>
      </c>
      <c r="C26" s="57">
        <f>C27</f>
        <v>1403</v>
      </c>
      <c r="D26" s="57" t="str">
        <f>'VIP升级|VIPUp'!Q8</f>
        <v>1|2|5000000</v>
      </c>
      <c r="E26" s="57">
        <f t="shared" si="0"/>
        <v>0</v>
      </c>
      <c r="F26" s="49">
        <f t="shared" si="18"/>
        <v>2</v>
      </c>
      <c r="G26" s="49">
        <v>12</v>
      </c>
      <c r="H26" s="49">
        <v>12</v>
      </c>
      <c r="I26" s="49">
        <v>12</v>
      </c>
      <c r="J26" s="49">
        <v>480</v>
      </c>
      <c r="K26" s="49">
        <v>480</v>
      </c>
      <c r="L26" s="49">
        <v>30</v>
      </c>
      <c r="M26" s="49">
        <v>180</v>
      </c>
      <c r="N26" s="49">
        <v>3</v>
      </c>
      <c r="O26" s="49">
        <f t="shared" si="23"/>
        <v>0</v>
      </c>
      <c r="P26" s="49">
        <f t="shared" si="28"/>
        <v>0</v>
      </c>
      <c r="Q26" s="49">
        <f t="shared" si="24"/>
        <v>0</v>
      </c>
      <c r="R26" s="49">
        <v>150000</v>
      </c>
      <c r="S26" s="49">
        <f t="shared" si="25"/>
        <v>0</v>
      </c>
      <c r="T26" s="49">
        <v>0</v>
      </c>
      <c r="U26" s="49">
        <v>40</v>
      </c>
      <c r="V26" s="49">
        <v>8</v>
      </c>
      <c r="W26" s="49">
        <f>W25</f>
        <v>0</v>
      </c>
      <c r="X26" s="65">
        <v>5</v>
      </c>
      <c r="Y26" s="65">
        <v>4</v>
      </c>
      <c r="Z26" s="65">
        <v>4</v>
      </c>
      <c r="AA26" s="65">
        <v>4</v>
      </c>
      <c r="AB26" s="65">
        <v>4</v>
      </c>
    </row>
    <row r="27" spans="1:36" x14ac:dyDescent="0.35">
      <c r="A27" s="24">
        <f t="shared" si="30"/>
        <v>31</v>
      </c>
      <c r="B27" s="24">
        <f t="shared" si="12"/>
        <v>550</v>
      </c>
      <c r="C27" s="2">
        <f t="shared" ref="C27:C35" si="50">C17+1</f>
        <v>1403</v>
      </c>
      <c r="D27" s="2">
        <v>0</v>
      </c>
      <c r="E27" s="2">
        <v>0</v>
      </c>
      <c r="F27" s="24">
        <f t="shared" si="18"/>
        <v>2</v>
      </c>
      <c r="G27" s="24">
        <f t="shared" ref="G27:I30" si="51">G26</f>
        <v>12</v>
      </c>
      <c r="H27" s="24">
        <f t="shared" si="51"/>
        <v>12</v>
      </c>
      <c r="I27" s="24">
        <f t="shared" si="51"/>
        <v>12</v>
      </c>
      <c r="J27" s="24">
        <f t="shared" si="13"/>
        <v>480</v>
      </c>
      <c r="K27" s="24">
        <f t="shared" si="14"/>
        <v>480</v>
      </c>
      <c r="L27" s="24">
        <f t="shared" ref="L27:L35" si="52">L26</f>
        <v>30</v>
      </c>
      <c r="M27" s="24">
        <f t="shared" si="36"/>
        <v>180</v>
      </c>
      <c r="N27" s="24">
        <f t="shared" si="22"/>
        <v>3</v>
      </c>
      <c r="O27" s="24">
        <f t="shared" si="23"/>
        <v>0</v>
      </c>
      <c r="P27" s="24">
        <f t="shared" si="28"/>
        <v>0</v>
      </c>
      <c r="Q27" s="24">
        <f t="shared" si="24"/>
        <v>0</v>
      </c>
      <c r="R27" s="24">
        <f t="shared" si="19"/>
        <v>150000</v>
      </c>
      <c r="S27" s="24">
        <f t="shared" si="25"/>
        <v>0</v>
      </c>
      <c r="T27" s="24">
        <f t="shared" ref="T27:X27" si="53">T26</f>
        <v>0</v>
      </c>
      <c r="U27" s="24">
        <f t="shared" si="53"/>
        <v>40</v>
      </c>
      <c r="V27" s="24">
        <f t="shared" si="53"/>
        <v>8</v>
      </c>
      <c r="W27" s="24">
        <f t="shared" si="53"/>
        <v>0</v>
      </c>
      <c r="X27" s="50">
        <f t="shared" si="53"/>
        <v>5</v>
      </c>
      <c r="Y27" s="50">
        <v>5</v>
      </c>
      <c r="Z27" s="50">
        <f>Z26</f>
        <v>4</v>
      </c>
      <c r="AA27" s="50">
        <f t="shared" si="46"/>
        <v>4</v>
      </c>
      <c r="AB27" s="50">
        <f t="shared" si="47"/>
        <v>4</v>
      </c>
      <c r="AD27" s="24" t="s">
        <v>1586</v>
      </c>
      <c r="AF27" s="24">
        <f>B26+ROUNDDOWN(AE$28/10,0)</f>
        <v>550</v>
      </c>
      <c r="AG27" s="24">
        <f t="shared" si="21"/>
        <v>550</v>
      </c>
      <c r="AJ27" s="49"/>
    </row>
    <row r="28" spans="1:36" x14ac:dyDescent="0.35">
      <c r="A28" s="24">
        <f t="shared" si="30"/>
        <v>32</v>
      </c>
      <c r="B28" s="24">
        <f t="shared" si="12"/>
        <v>600</v>
      </c>
      <c r="C28" s="2">
        <f t="shared" si="50"/>
        <v>1403</v>
      </c>
      <c r="D28" s="2">
        <v>0</v>
      </c>
      <c r="E28" s="19">
        <f t="shared" ref="E28:E35" si="54">E27</f>
        <v>0</v>
      </c>
      <c r="F28" s="24">
        <f t="shared" si="18"/>
        <v>2</v>
      </c>
      <c r="G28" s="24">
        <f t="shared" si="51"/>
        <v>12</v>
      </c>
      <c r="H28" s="24">
        <f t="shared" si="51"/>
        <v>12</v>
      </c>
      <c r="I28" s="24">
        <f t="shared" si="51"/>
        <v>12</v>
      </c>
      <c r="J28" s="24">
        <f t="shared" si="13"/>
        <v>480</v>
      </c>
      <c r="K28" s="24">
        <f t="shared" si="14"/>
        <v>480</v>
      </c>
      <c r="L28" s="24">
        <v>35</v>
      </c>
      <c r="M28" s="24">
        <f t="shared" si="36"/>
        <v>180</v>
      </c>
      <c r="N28" s="24">
        <f t="shared" si="22"/>
        <v>3</v>
      </c>
      <c r="O28" s="24">
        <f t="shared" si="23"/>
        <v>0</v>
      </c>
      <c r="P28" s="24">
        <f t="shared" si="28"/>
        <v>0</v>
      </c>
      <c r="Q28" s="24">
        <f t="shared" si="24"/>
        <v>0</v>
      </c>
      <c r="R28" s="24">
        <f t="shared" si="19"/>
        <v>150000</v>
      </c>
      <c r="S28" s="24">
        <f t="shared" si="25"/>
        <v>0</v>
      </c>
      <c r="T28" s="24">
        <f t="shared" ref="T28:Y28" si="55">T27</f>
        <v>0</v>
      </c>
      <c r="U28" s="24">
        <f t="shared" si="55"/>
        <v>40</v>
      </c>
      <c r="V28" s="24">
        <v>9</v>
      </c>
      <c r="W28" s="24">
        <f t="shared" si="55"/>
        <v>0</v>
      </c>
      <c r="X28" s="50">
        <f t="shared" si="55"/>
        <v>5</v>
      </c>
      <c r="Y28" s="50">
        <f t="shared" si="55"/>
        <v>5</v>
      </c>
      <c r="Z28" s="50">
        <v>5</v>
      </c>
      <c r="AA28" s="50">
        <f t="shared" si="46"/>
        <v>4</v>
      </c>
      <c r="AB28" s="50">
        <f t="shared" si="47"/>
        <v>4</v>
      </c>
      <c r="AD28" s="24" t="s">
        <v>1584</v>
      </c>
      <c r="AE28" s="24">
        <f>'VIP升级|VIPUp'!$B$9-B26</f>
        <v>500</v>
      </c>
      <c r="AF28" s="24">
        <f t="shared" ref="AF28:AF35" si="56">AF27+ROUNDDOWN(AE$28/10,0)</f>
        <v>600</v>
      </c>
      <c r="AG28" s="24">
        <f t="shared" si="21"/>
        <v>600</v>
      </c>
      <c r="AJ28" s="49"/>
    </row>
    <row r="29" spans="1:36" x14ac:dyDescent="0.35">
      <c r="A29" s="24">
        <f t="shared" si="30"/>
        <v>33</v>
      </c>
      <c r="B29" s="24">
        <f t="shared" si="12"/>
        <v>650</v>
      </c>
      <c r="C29" s="2">
        <f t="shared" si="50"/>
        <v>1403</v>
      </c>
      <c r="D29" s="2">
        <v>0</v>
      </c>
      <c r="E29" s="19">
        <f t="shared" si="54"/>
        <v>0</v>
      </c>
      <c r="F29" s="24">
        <f t="shared" si="18"/>
        <v>2</v>
      </c>
      <c r="G29" s="24">
        <f t="shared" si="51"/>
        <v>12</v>
      </c>
      <c r="H29" s="24">
        <f t="shared" si="51"/>
        <v>12</v>
      </c>
      <c r="I29" s="24">
        <f t="shared" si="51"/>
        <v>12</v>
      </c>
      <c r="J29" s="24">
        <f t="shared" si="13"/>
        <v>480</v>
      </c>
      <c r="K29" s="24">
        <f t="shared" si="14"/>
        <v>480</v>
      </c>
      <c r="L29" s="24">
        <f t="shared" si="52"/>
        <v>35</v>
      </c>
      <c r="M29" s="24">
        <f t="shared" si="36"/>
        <v>180</v>
      </c>
      <c r="N29" s="24">
        <f t="shared" si="22"/>
        <v>3</v>
      </c>
      <c r="O29" s="24">
        <f t="shared" si="23"/>
        <v>0</v>
      </c>
      <c r="P29" s="24">
        <f t="shared" si="28"/>
        <v>0</v>
      </c>
      <c r="Q29" s="24">
        <f t="shared" si="24"/>
        <v>0</v>
      </c>
      <c r="R29" s="24">
        <v>160000</v>
      </c>
      <c r="S29" s="24">
        <f t="shared" si="25"/>
        <v>0</v>
      </c>
      <c r="T29" s="24">
        <f t="shared" ref="T29:Z29" si="57">T28</f>
        <v>0</v>
      </c>
      <c r="U29" s="24">
        <v>45</v>
      </c>
      <c r="V29" s="24">
        <v>9</v>
      </c>
      <c r="W29" s="24">
        <f t="shared" si="57"/>
        <v>0</v>
      </c>
      <c r="X29" s="50">
        <f t="shared" si="57"/>
        <v>5</v>
      </c>
      <c r="Y29" s="50">
        <f t="shared" si="57"/>
        <v>5</v>
      </c>
      <c r="Z29" s="50">
        <f t="shared" si="57"/>
        <v>5</v>
      </c>
      <c r="AA29" s="50">
        <v>5</v>
      </c>
      <c r="AB29" s="50">
        <f t="shared" si="47"/>
        <v>4</v>
      </c>
      <c r="AF29" s="24">
        <f t="shared" si="56"/>
        <v>650</v>
      </c>
      <c r="AG29" s="24">
        <f t="shared" si="21"/>
        <v>650</v>
      </c>
      <c r="AJ29" s="49"/>
    </row>
    <row r="30" spans="1:36" x14ac:dyDescent="0.35">
      <c r="A30" s="24">
        <f t="shared" si="30"/>
        <v>34</v>
      </c>
      <c r="B30" s="24">
        <f t="shared" si="12"/>
        <v>700</v>
      </c>
      <c r="C30" s="2">
        <f t="shared" si="50"/>
        <v>1403</v>
      </c>
      <c r="D30" s="2">
        <v>0</v>
      </c>
      <c r="E30" s="19">
        <f t="shared" si="54"/>
        <v>0</v>
      </c>
      <c r="F30" s="24">
        <f t="shared" si="18"/>
        <v>2</v>
      </c>
      <c r="G30" s="24">
        <f t="shared" si="51"/>
        <v>12</v>
      </c>
      <c r="H30" s="24">
        <f t="shared" si="51"/>
        <v>12</v>
      </c>
      <c r="I30" s="24">
        <f t="shared" si="51"/>
        <v>12</v>
      </c>
      <c r="J30" s="24">
        <f t="shared" si="13"/>
        <v>480</v>
      </c>
      <c r="K30" s="24">
        <f t="shared" si="14"/>
        <v>480</v>
      </c>
      <c r="L30" s="24">
        <f t="shared" si="52"/>
        <v>35</v>
      </c>
      <c r="M30" s="24">
        <f t="shared" si="36"/>
        <v>180</v>
      </c>
      <c r="N30" s="24">
        <f t="shared" si="22"/>
        <v>3</v>
      </c>
      <c r="O30" s="24">
        <f t="shared" si="23"/>
        <v>0</v>
      </c>
      <c r="P30" s="24">
        <f t="shared" si="28"/>
        <v>0</v>
      </c>
      <c r="Q30" s="24">
        <f t="shared" si="24"/>
        <v>0</v>
      </c>
      <c r="R30" s="24">
        <f t="shared" si="19"/>
        <v>160000</v>
      </c>
      <c r="S30" s="24">
        <f t="shared" si="25"/>
        <v>0</v>
      </c>
      <c r="T30" s="24">
        <f t="shared" ref="T30:T61" si="58">T29</f>
        <v>0</v>
      </c>
      <c r="U30" s="24">
        <v>45</v>
      </c>
      <c r="V30" s="24">
        <v>10</v>
      </c>
      <c r="W30" s="24">
        <f t="shared" ref="W30:AA30" si="59">W29</f>
        <v>0</v>
      </c>
      <c r="X30" s="50">
        <f t="shared" si="59"/>
        <v>5</v>
      </c>
      <c r="Y30" s="50">
        <f t="shared" si="59"/>
        <v>5</v>
      </c>
      <c r="Z30" s="50">
        <f t="shared" si="59"/>
        <v>5</v>
      </c>
      <c r="AA30" s="50">
        <f t="shared" si="59"/>
        <v>5</v>
      </c>
      <c r="AB30" s="50">
        <v>5</v>
      </c>
      <c r="AF30" s="24">
        <f t="shared" si="56"/>
        <v>700</v>
      </c>
      <c r="AG30" s="24">
        <f t="shared" si="21"/>
        <v>700</v>
      </c>
      <c r="AJ30" s="49"/>
    </row>
    <row r="31" spans="1:36" x14ac:dyDescent="0.35">
      <c r="A31" s="24">
        <f t="shared" si="30"/>
        <v>35</v>
      </c>
      <c r="B31" s="24">
        <f t="shared" si="12"/>
        <v>750</v>
      </c>
      <c r="C31" s="2">
        <f t="shared" si="50"/>
        <v>1403</v>
      </c>
      <c r="D31" s="2">
        <v>0</v>
      </c>
      <c r="E31" s="19">
        <f t="shared" si="54"/>
        <v>0</v>
      </c>
      <c r="F31" s="24">
        <f t="shared" si="18"/>
        <v>2</v>
      </c>
      <c r="G31" s="24">
        <v>15</v>
      </c>
      <c r="H31" s="24">
        <v>15</v>
      </c>
      <c r="I31" s="24">
        <v>15</v>
      </c>
      <c r="J31" s="24">
        <v>540</v>
      </c>
      <c r="K31" s="24">
        <v>540</v>
      </c>
      <c r="L31" s="24">
        <v>40</v>
      </c>
      <c r="M31" s="24">
        <f t="shared" si="36"/>
        <v>180</v>
      </c>
      <c r="N31" s="24">
        <v>4</v>
      </c>
      <c r="O31" s="24">
        <f t="shared" si="23"/>
        <v>0</v>
      </c>
      <c r="P31" s="24">
        <f t="shared" si="28"/>
        <v>0</v>
      </c>
      <c r="Q31" s="24">
        <f t="shared" si="24"/>
        <v>0</v>
      </c>
      <c r="R31" s="24">
        <v>180000</v>
      </c>
      <c r="S31" s="24">
        <f t="shared" si="25"/>
        <v>0</v>
      </c>
      <c r="T31" s="24">
        <f t="shared" si="58"/>
        <v>0</v>
      </c>
      <c r="U31" s="24">
        <v>50</v>
      </c>
      <c r="V31" s="24">
        <f>V30</f>
        <v>10</v>
      </c>
      <c r="W31" s="24">
        <f t="shared" ref="W31:W62" si="60">W30</f>
        <v>0</v>
      </c>
      <c r="X31" s="50">
        <f t="shared" ref="X31:X44" si="61">X30</f>
        <v>5</v>
      </c>
      <c r="Y31" s="50">
        <f t="shared" ref="Y31:Y44" si="62">Y30</f>
        <v>5</v>
      </c>
      <c r="Z31" s="50">
        <f t="shared" ref="Z31:Z44" si="63">Z30</f>
        <v>5</v>
      </c>
      <c r="AA31" s="50">
        <f t="shared" ref="AA31:AA44" si="64">AA30</f>
        <v>5</v>
      </c>
      <c r="AB31" s="50">
        <f t="shared" ref="AB31:AB44" si="65">AB30</f>
        <v>5</v>
      </c>
      <c r="AF31" s="24">
        <f t="shared" si="56"/>
        <v>750</v>
      </c>
      <c r="AG31" s="24">
        <f t="shared" si="21"/>
        <v>750</v>
      </c>
      <c r="AJ31" s="49"/>
    </row>
    <row r="32" spans="1:36" x14ac:dyDescent="0.35">
      <c r="A32" s="24">
        <f t="shared" si="30"/>
        <v>36</v>
      </c>
      <c r="B32" s="24">
        <f t="shared" si="12"/>
        <v>800</v>
      </c>
      <c r="C32" s="2">
        <f t="shared" si="50"/>
        <v>1403</v>
      </c>
      <c r="D32" s="2">
        <v>0</v>
      </c>
      <c r="E32" s="19">
        <f t="shared" si="54"/>
        <v>0</v>
      </c>
      <c r="F32" s="24">
        <f t="shared" si="18"/>
        <v>2</v>
      </c>
      <c r="G32" s="24">
        <f t="shared" ref="G32:G62" si="66">G31</f>
        <v>15</v>
      </c>
      <c r="H32" s="24">
        <f t="shared" ref="H32:H62" si="67">H31</f>
        <v>15</v>
      </c>
      <c r="I32" s="24">
        <f t="shared" ref="I32:I62" si="68">I31</f>
        <v>15</v>
      </c>
      <c r="J32" s="24">
        <f t="shared" si="13"/>
        <v>540</v>
      </c>
      <c r="K32" s="24">
        <f t="shared" si="14"/>
        <v>540</v>
      </c>
      <c r="L32" s="24">
        <f t="shared" si="52"/>
        <v>40</v>
      </c>
      <c r="M32" s="24">
        <f t="shared" si="36"/>
        <v>180</v>
      </c>
      <c r="N32" s="24">
        <f t="shared" si="22"/>
        <v>4</v>
      </c>
      <c r="O32" s="24">
        <f t="shared" si="23"/>
        <v>0</v>
      </c>
      <c r="P32" s="24">
        <f t="shared" si="28"/>
        <v>0</v>
      </c>
      <c r="Q32" s="24">
        <f t="shared" si="24"/>
        <v>0</v>
      </c>
      <c r="R32" s="24">
        <f t="shared" si="19"/>
        <v>180000</v>
      </c>
      <c r="S32" s="24">
        <f t="shared" si="25"/>
        <v>0</v>
      </c>
      <c r="T32" s="24">
        <f t="shared" si="58"/>
        <v>0</v>
      </c>
      <c r="U32" s="24">
        <v>55</v>
      </c>
      <c r="V32" s="24">
        <v>10</v>
      </c>
      <c r="W32" s="24">
        <f t="shared" si="60"/>
        <v>0</v>
      </c>
      <c r="X32" s="50">
        <f t="shared" si="61"/>
        <v>5</v>
      </c>
      <c r="Y32" s="50">
        <f t="shared" si="62"/>
        <v>5</v>
      </c>
      <c r="Z32" s="50">
        <f t="shared" si="63"/>
        <v>5</v>
      </c>
      <c r="AA32" s="50">
        <f t="shared" si="64"/>
        <v>5</v>
      </c>
      <c r="AB32" s="50">
        <f t="shared" si="65"/>
        <v>5</v>
      </c>
      <c r="AF32" s="24">
        <f t="shared" si="56"/>
        <v>800</v>
      </c>
      <c r="AG32" s="24">
        <f t="shared" si="21"/>
        <v>800</v>
      </c>
      <c r="AJ32" s="49"/>
    </row>
    <row r="33" spans="1:38" x14ac:dyDescent="0.35">
      <c r="A33" s="24">
        <f t="shared" si="30"/>
        <v>37</v>
      </c>
      <c r="B33" s="24">
        <f t="shared" si="12"/>
        <v>850</v>
      </c>
      <c r="C33" s="2">
        <f t="shared" si="50"/>
        <v>1403</v>
      </c>
      <c r="D33" s="2">
        <v>0</v>
      </c>
      <c r="E33" s="19">
        <f t="shared" si="54"/>
        <v>0</v>
      </c>
      <c r="F33" s="24">
        <f t="shared" si="18"/>
        <v>2</v>
      </c>
      <c r="G33" s="24">
        <f t="shared" si="66"/>
        <v>15</v>
      </c>
      <c r="H33" s="24">
        <f t="shared" si="67"/>
        <v>15</v>
      </c>
      <c r="I33" s="24">
        <f t="shared" si="68"/>
        <v>15</v>
      </c>
      <c r="J33" s="24">
        <f t="shared" si="13"/>
        <v>540</v>
      </c>
      <c r="K33" s="24">
        <f t="shared" si="14"/>
        <v>540</v>
      </c>
      <c r="L33" s="24">
        <v>50</v>
      </c>
      <c r="M33" s="24">
        <f t="shared" si="36"/>
        <v>180</v>
      </c>
      <c r="N33" s="24">
        <f t="shared" si="22"/>
        <v>4</v>
      </c>
      <c r="O33" s="24">
        <f t="shared" si="23"/>
        <v>0</v>
      </c>
      <c r="P33" s="24">
        <f t="shared" si="28"/>
        <v>0</v>
      </c>
      <c r="Q33" s="24">
        <f t="shared" si="24"/>
        <v>0</v>
      </c>
      <c r="R33" s="24">
        <v>190000</v>
      </c>
      <c r="S33" s="24">
        <f t="shared" si="25"/>
        <v>0</v>
      </c>
      <c r="T33" s="24">
        <f t="shared" si="58"/>
        <v>0</v>
      </c>
      <c r="U33" s="24">
        <v>60</v>
      </c>
      <c r="V33" s="24">
        <f>V32</f>
        <v>10</v>
      </c>
      <c r="W33" s="24">
        <f t="shared" si="60"/>
        <v>0</v>
      </c>
      <c r="X33" s="50">
        <f t="shared" si="61"/>
        <v>5</v>
      </c>
      <c r="Y33" s="50">
        <f t="shared" si="62"/>
        <v>5</v>
      </c>
      <c r="Z33" s="50">
        <f t="shared" si="63"/>
        <v>5</v>
      </c>
      <c r="AA33" s="50">
        <f t="shared" si="64"/>
        <v>5</v>
      </c>
      <c r="AB33" s="50">
        <f t="shared" si="65"/>
        <v>5</v>
      </c>
      <c r="AF33" s="24">
        <f t="shared" si="56"/>
        <v>850</v>
      </c>
      <c r="AG33" s="24">
        <f t="shared" si="21"/>
        <v>850</v>
      </c>
      <c r="AJ33" s="49"/>
    </row>
    <row r="34" spans="1:38" x14ac:dyDescent="0.35">
      <c r="A34" s="24">
        <f t="shared" si="30"/>
        <v>38</v>
      </c>
      <c r="B34" s="24">
        <f t="shared" si="12"/>
        <v>900</v>
      </c>
      <c r="C34" s="2">
        <f t="shared" si="50"/>
        <v>1403</v>
      </c>
      <c r="D34" s="2">
        <v>0</v>
      </c>
      <c r="E34" s="19">
        <f t="shared" si="54"/>
        <v>0</v>
      </c>
      <c r="F34" s="24">
        <f t="shared" si="18"/>
        <v>2</v>
      </c>
      <c r="G34" s="24">
        <f t="shared" si="66"/>
        <v>15</v>
      </c>
      <c r="H34" s="24">
        <f t="shared" si="67"/>
        <v>15</v>
      </c>
      <c r="I34" s="24">
        <f t="shared" si="68"/>
        <v>15</v>
      </c>
      <c r="J34" s="24">
        <f t="shared" si="13"/>
        <v>540</v>
      </c>
      <c r="K34" s="24">
        <f t="shared" si="14"/>
        <v>540</v>
      </c>
      <c r="L34" s="24">
        <f t="shared" si="52"/>
        <v>50</v>
      </c>
      <c r="M34" s="24">
        <f t="shared" si="36"/>
        <v>180</v>
      </c>
      <c r="N34" s="24">
        <f t="shared" si="22"/>
        <v>4</v>
      </c>
      <c r="O34" s="24">
        <f t="shared" si="23"/>
        <v>0</v>
      </c>
      <c r="P34" s="24">
        <f t="shared" si="28"/>
        <v>0</v>
      </c>
      <c r="Q34" s="24">
        <f t="shared" si="24"/>
        <v>0</v>
      </c>
      <c r="R34" s="24">
        <f t="shared" si="19"/>
        <v>190000</v>
      </c>
      <c r="S34" s="24">
        <f t="shared" si="25"/>
        <v>0</v>
      </c>
      <c r="T34" s="24">
        <f t="shared" si="58"/>
        <v>0</v>
      </c>
      <c r="U34" s="24">
        <v>70</v>
      </c>
      <c r="V34" s="24">
        <v>11</v>
      </c>
      <c r="W34" s="24">
        <f t="shared" si="60"/>
        <v>0</v>
      </c>
      <c r="X34" s="50">
        <f t="shared" si="61"/>
        <v>5</v>
      </c>
      <c r="Y34" s="50">
        <f t="shared" si="62"/>
        <v>5</v>
      </c>
      <c r="Z34" s="50">
        <f t="shared" si="63"/>
        <v>5</v>
      </c>
      <c r="AA34" s="50">
        <f t="shared" si="64"/>
        <v>5</v>
      </c>
      <c r="AB34" s="50">
        <f t="shared" si="65"/>
        <v>5</v>
      </c>
      <c r="AF34" s="24">
        <f t="shared" si="56"/>
        <v>900</v>
      </c>
      <c r="AG34" s="24">
        <f t="shared" si="21"/>
        <v>900</v>
      </c>
      <c r="AJ34" s="49"/>
    </row>
    <row r="35" spans="1:38" x14ac:dyDescent="0.35">
      <c r="A35" s="24">
        <f t="shared" si="30"/>
        <v>39</v>
      </c>
      <c r="B35" s="24">
        <f t="shared" si="12"/>
        <v>950</v>
      </c>
      <c r="C35" s="2">
        <f t="shared" si="50"/>
        <v>1403</v>
      </c>
      <c r="D35" s="2">
        <v>0</v>
      </c>
      <c r="E35" s="19">
        <f t="shared" si="54"/>
        <v>0</v>
      </c>
      <c r="F35" s="24">
        <f t="shared" si="18"/>
        <v>2</v>
      </c>
      <c r="G35" s="24">
        <f t="shared" si="66"/>
        <v>15</v>
      </c>
      <c r="H35" s="24">
        <f t="shared" si="67"/>
        <v>15</v>
      </c>
      <c r="I35" s="24">
        <f t="shared" si="68"/>
        <v>15</v>
      </c>
      <c r="J35" s="24">
        <f t="shared" si="13"/>
        <v>540</v>
      </c>
      <c r="K35" s="24">
        <f t="shared" si="14"/>
        <v>540</v>
      </c>
      <c r="L35" s="24">
        <f t="shared" si="52"/>
        <v>50</v>
      </c>
      <c r="M35" s="24">
        <f t="shared" si="36"/>
        <v>180</v>
      </c>
      <c r="N35" s="24">
        <f t="shared" si="22"/>
        <v>4</v>
      </c>
      <c r="O35" s="24">
        <f t="shared" si="23"/>
        <v>0</v>
      </c>
      <c r="P35" s="24">
        <f t="shared" si="28"/>
        <v>0</v>
      </c>
      <c r="Q35" s="24">
        <f t="shared" si="24"/>
        <v>0</v>
      </c>
      <c r="R35" s="24">
        <f t="shared" si="19"/>
        <v>190000</v>
      </c>
      <c r="S35" s="24">
        <f t="shared" si="25"/>
        <v>0</v>
      </c>
      <c r="T35" s="24">
        <f t="shared" si="58"/>
        <v>0</v>
      </c>
      <c r="U35" s="24">
        <v>80</v>
      </c>
      <c r="V35" s="24">
        <v>11</v>
      </c>
      <c r="W35" s="24">
        <f t="shared" si="60"/>
        <v>0</v>
      </c>
      <c r="X35" s="50">
        <f t="shared" si="61"/>
        <v>5</v>
      </c>
      <c r="Y35" s="50">
        <f t="shared" si="62"/>
        <v>5</v>
      </c>
      <c r="Z35" s="50">
        <f t="shared" si="63"/>
        <v>5</v>
      </c>
      <c r="AA35" s="50">
        <f t="shared" si="64"/>
        <v>5</v>
      </c>
      <c r="AB35" s="50">
        <f t="shared" si="65"/>
        <v>5</v>
      </c>
      <c r="AF35" s="24">
        <f t="shared" si="56"/>
        <v>950</v>
      </c>
      <c r="AG35" s="24">
        <f t="shared" si="21"/>
        <v>950</v>
      </c>
      <c r="AJ35" s="49"/>
    </row>
    <row r="36" spans="1:38" s="49" customFormat="1" x14ac:dyDescent="0.35">
      <c r="A36" s="55">
        <f t="shared" si="30"/>
        <v>40</v>
      </c>
      <c r="B36" s="56">
        <f>'VIP升级|VIPUp'!$B$9</f>
        <v>1000</v>
      </c>
      <c r="C36" s="57">
        <f>C37</f>
        <v>1404</v>
      </c>
      <c r="D36" s="57" t="str">
        <f>'VIP升级|VIPUp'!Q9</f>
        <v>1|2|10000000</v>
      </c>
      <c r="E36" s="57">
        <f>E37</f>
        <v>0</v>
      </c>
      <c r="F36" s="49">
        <f t="shared" si="18"/>
        <v>2</v>
      </c>
      <c r="G36" s="49">
        <v>24</v>
      </c>
      <c r="H36" s="49">
        <v>24</v>
      </c>
      <c r="I36" s="49">
        <v>24</v>
      </c>
      <c r="J36" s="49">
        <v>600</v>
      </c>
      <c r="K36" s="49">
        <v>600</v>
      </c>
      <c r="L36" s="49">
        <v>60</v>
      </c>
      <c r="M36" s="49">
        <v>280</v>
      </c>
      <c r="N36" s="49">
        <v>5</v>
      </c>
      <c r="O36" s="49">
        <f t="shared" si="23"/>
        <v>0</v>
      </c>
      <c r="P36" s="49">
        <f t="shared" si="28"/>
        <v>0</v>
      </c>
      <c r="Q36" s="49">
        <f t="shared" si="24"/>
        <v>0</v>
      </c>
      <c r="R36" s="49">
        <v>200000</v>
      </c>
      <c r="S36" s="49">
        <f t="shared" si="25"/>
        <v>0</v>
      </c>
      <c r="T36" s="49">
        <f t="shared" si="58"/>
        <v>0</v>
      </c>
      <c r="U36" s="49">
        <v>100</v>
      </c>
      <c r="V36" s="49">
        <v>11</v>
      </c>
      <c r="W36" s="49">
        <f t="shared" si="60"/>
        <v>0</v>
      </c>
      <c r="X36" s="65">
        <f t="shared" si="61"/>
        <v>5</v>
      </c>
      <c r="Y36" s="65">
        <f t="shared" si="62"/>
        <v>5</v>
      </c>
      <c r="Z36" s="65">
        <f t="shared" si="63"/>
        <v>5</v>
      </c>
      <c r="AA36" s="65">
        <f t="shared" si="64"/>
        <v>5</v>
      </c>
      <c r="AB36" s="65">
        <f t="shared" si="65"/>
        <v>5</v>
      </c>
    </row>
    <row r="37" spans="1:38" x14ac:dyDescent="0.35">
      <c r="A37" s="24">
        <f t="shared" si="30"/>
        <v>41</v>
      </c>
      <c r="B37" s="24">
        <f t="shared" si="12"/>
        <v>1100</v>
      </c>
      <c r="C37" s="2">
        <f t="shared" ref="C37:C45" si="69">C27+1</f>
        <v>1404</v>
      </c>
      <c r="D37" s="2">
        <v>0</v>
      </c>
      <c r="E37" s="2">
        <v>0</v>
      </c>
      <c r="F37" s="24">
        <f t="shared" si="18"/>
        <v>2</v>
      </c>
      <c r="G37" s="24">
        <f t="shared" si="66"/>
        <v>24</v>
      </c>
      <c r="H37" s="24">
        <f t="shared" si="67"/>
        <v>24</v>
      </c>
      <c r="I37" s="24">
        <f t="shared" si="68"/>
        <v>24</v>
      </c>
      <c r="J37" s="24">
        <f t="shared" si="13"/>
        <v>600</v>
      </c>
      <c r="K37" s="24">
        <f t="shared" si="14"/>
        <v>600</v>
      </c>
      <c r="L37" s="24">
        <f>L36</f>
        <v>60</v>
      </c>
      <c r="M37" s="24">
        <f t="shared" si="36"/>
        <v>280</v>
      </c>
      <c r="N37" s="24">
        <f t="shared" si="22"/>
        <v>5</v>
      </c>
      <c r="O37" s="24">
        <f t="shared" si="23"/>
        <v>0</v>
      </c>
      <c r="P37" s="24">
        <f t="shared" si="28"/>
        <v>0</v>
      </c>
      <c r="Q37" s="24">
        <f t="shared" si="24"/>
        <v>0</v>
      </c>
      <c r="R37" s="24">
        <f t="shared" si="19"/>
        <v>200000</v>
      </c>
      <c r="S37" s="24">
        <f t="shared" si="25"/>
        <v>0</v>
      </c>
      <c r="T37" s="24">
        <f t="shared" si="58"/>
        <v>0</v>
      </c>
      <c r="U37" s="24">
        <f t="shared" ref="U37:U45" si="70">U36</f>
        <v>100</v>
      </c>
      <c r="V37" s="24">
        <f>V36</f>
        <v>11</v>
      </c>
      <c r="W37" s="24">
        <f t="shared" si="60"/>
        <v>0</v>
      </c>
      <c r="X37" s="50">
        <f t="shared" si="61"/>
        <v>5</v>
      </c>
      <c r="Y37" s="50">
        <f t="shared" si="62"/>
        <v>5</v>
      </c>
      <c r="Z37" s="50">
        <f t="shared" si="63"/>
        <v>5</v>
      </c>
      <c r="AA37" s="50">
        <f t="shared" si="64"/>
        <v>5</v>
      </c>
      <c r="AB37" s="50">
        <f t="shared" si="65"/>
        <v>5</v>
      </c>
      <c r="AD37" s="24" t="s">
        <v>1587</v>
      </c>
      <c r="AF37" s="24">
        <f>B36+ROUNDDOWN(AE$38/10,0)</f>
        <v>1100</v>
      </c>
      <c r="AG37" s="24">
        <f t="shared" si="21"/>
        <v>1100</v>
      </c>
      <c r="AJ37" s="49"/>
    </row>
    <row r="38" spans="1:38" x14ac:dyDescent="0.35">
      <c r="A38" s="24">
        <f t="shared" si="30"/>
        <v>42</v>
      </c>
      <c r="B38" s="24">
        <f t="shared" si="12"/>
        <v>1200</v>
      </c>
      <c r="C38" s="2">
        <f t="shared" si="69"/>
        <v>1404</v>
      </c>
      <c r="D38" s="2">
        <v>0</v>
      </c>
      <c r="E38" s="19">
        <f t="shared" ref="E38:E45" si="71">E37</f>
        <v>0</v>
      </c>
      <c r="F38" s="24">
        <f t="shared" si="18"/>
        <v>2</v>
      </c>
      <c r="G38" s="24">
        <f t="shared" si="66"/>
        <v>24</v>
      </c>
      <c r="H38" s="24">
        <f t="shared" si="67"/>
        <v>24</v>
      </c>
      <c r="I38" s="24">
        <f t="shared" si="68"/>
        <v>24</v>
      </c>
      <c r="J38" s="24">
        <f t="shared" si="13"/>
        <v>600</v>
      </c>
      <c r="K38" s="24">
        <f t="shared" si="14"/>
        <v>600</v>
      </c>
      <c r="L38" s="24">
        <f t="shared" ref="L38:L69" si="72">L37</f>
        <v>60</v>
      </c>
      <c r="M38" s="24">
        <f t="shared" si="36"/>
        <v>280</v>
      </c>
      <c r="N38" s="24">
        <f t="shared" si="22"/>
        <v>5</v>
      </c>
      <c r="O38" s="24">
        <f t="shared" si="23"/>
        <v>0</v>
      </c>
      <c r="P38" s="24">
        <f t="shared" si="28"/>
        <v>0</v>
      </c>
      <c r="Q38" s="24">
        <f t="shared" si="24"/>
        <v>0</v>
      </c>
      <c r="R38" s="24">
        <f t="shared" si="19"/>
        <v>200000</v>
      </c>
      <c r="S38" s="24">
        <f t="shared" si="25"/>
        <v>0</v>
      </c>
      <c r="T38" s="24">
        <f t="shared" si="58"/>
        <v>0</v>
      </c>
      <c r="U38" s="24">
        <f t="shared" si="70"/>
        <v>100</v>
      </c>
      <c r="V38" s="24">
        <v>12</v>
      </c>
      <c r="W38" s="24">
        <f t="shared" si="60"/>
        <v>0</v>
      </c>
      <c r="X38" s="50">
        <f t="shared" si="61"/>
        <v>5</v>
      </c>
      <c r="Y38" s="50">
        <f t="shared" si="62"/>
        <v>5</v>
      </c>
      <c r="Z38" s="50">
        <f t="shared" si="63"/>
        <v>5</v>
      </c>
      <c r="AA38" s="50">
        <f t="shared" si="64"/>
        <v>5</v>
      </c>
      <c r="AB38" s="50">
        <f t="shared" si="65"/>
        <v>5</v>
      </c>
      <c r="AD38" s="24" t="s">
        <v>1584</v>
      </c>
      <c r="AE38" s="24">
        <f>'VIP升级|VIPUp'!$B$10-B36</f>
        <v>1000</v>
      </c>
      <c r="AF38" s="24">
        <f t="shared" ref="AF38:AF45" si="73">AF37+ROUNDDOWN(AE$38/10,0)</f>
        <v>1200</v>
      </c>
      <c r="AG38" s="24">
        <f t="shared" si="21"/>
        <v>1200</v>
      </c>
      <c r="AJ38" s="49"/>
    </row>
    <row r="39" spans="1:38" x14ac:dyDescent="0.35">
      <c r="A39" s="24">
        <f t="shared" si="30"/>
        <v>43</v>
      </c>
      <c r="B39" s="24">
        <f t="shared" si="12"/>
        <v>1300</v>
      </c>
      <c r="C39" s="2">
        <f t="shared" si="69"/>
        <v>1404</v>
      </c>
      <c r="D39" s="2">
        <v>0</v>
      </c>
      <c r="E39" s="19">
        <f t="shared" si="71"/>
        <v>0</v>
      </c>
      <c r="F39" s="24">
        <f t="shared" si="18"/>
        <v>2</v>
      </c>
      <c r="G39" s="24">
        <f t="shared" si="66"/>
        <v>24</v>
      </c>
      <c r="H39" s="24">
        <f t="shared" si="67"/>
        <v>24</v>
      </c>
      <c r="I39" s="24">
        <f t="shared" si="68"/>
        <v>24</v>
      </c>
      <c r="J39" s="24">
        <f t="shared" si="13"/>
        <v>600</v>
      </c>
      <c r="K39" s="24">
        <f t="shared" si="14"/>
        <v>600</v>
      </c>
      <c r="L39" s="24">
        <f t="shared" si="72"/>
        <v>60</v>
      </c>
      <c r="M39" s="24">
        <f t="shared" si="36"/>
        <v>280</v>
      </c>
      <c r="N39" s="24">
        <f t="shared" si="22"/>
        <v>5</v>
      </c>
      <c r="O39" s="24">
        <f t="shared" si="23"/>
        <v>0</v>
      </c>
      <c r="P39" s="24">
        <f t="shared" si="28"/>
        <v>0</v>
      </c>
      <c r="Q39" s="24">
        <f t="shared" si="24"/>
        <v>0</v>
      </c>
      <c r="R39" s="24">
        <f t="shared" si="19"/>
        <v>200000</v>
      </c>
      <c r="S39" s="24">
        <f t="shared" si="25"/>
        <v>0</v>
      </c>
      <c r="T39" s="24">
        <f t="shared" si="58"/>
        <v>0</v>
      </c>
      <c r="U39" s="24">
        <f t="shared" si="70"/>
        <v>100</v>
      </c>
      <c r="V39" s="24">
        <f>V38</f>
        <v>12</v>
      </c>
      <c r="W39" s="24">
        <f t="shared" si="60"/>
        <v>0</v>
      </c>
      <c r="X39" s="50">
        <f t="shared" si="61"/>
        <v>5</v>
      </c>
      <c r="Y39" s="50">
        <f t="shared" si="62"/>
        <v>5</v>
      </c>
      <c r="Z39" s="50">
        <f t="shared" si="63"/>
        <v>5</v>
      </c>
      <c r="AA39" s="50">
        <f t="shared" si="64"/>
        <v>5</v>
      </c>
      <c r="AB39" s="50">
        <f t="shared" si="65"/>
        <v>5</v>
      </c>
      <c r="AF39" s="24">
        <f t="shared" si="73"/>
        <v>1300</v>
      </c>
      <c r="AG39" s="24">
        <f t="shared" si="21"/>
        <v>1300</v>
      </c>
      <c r="AJ39" s="49"/>
    </row>
    <row r="40" spans="1:38" x14ac:dyDescent="0.35">
      <c r="A40" s="24">
        <f t="shared" si="30"/>
        <v>44</v>
      </c>
      <c r="B40" s="24">
        <f t="shared" si="12"/>
        <v>1400</v>
      </c>
      <c r="C40" s="2">
        <f t="shared" si="69"/>
        <v>1404</v>
      </c>
      <c r="D40" s="2">
        <v>0</v>
      </c>
      <c r="E40" s="19">
        <f t="shared" si="71"/>
        <v>0</v>
      </c>
      <c r="F40" s="24">
        <f t="shared" si="18"/>
        <v>2</v>
      </c>
      <c r="G40" s="24">
        <f t="shared" si="66"/>
        <v>24</v>
      </c>
      <c r="H40" s="24">
        <f t="shared" si="67"/>
        <v>24</v>
      </c>
      <c r="I40" s="24">
        <f t="shared" si="68"/>
        <v>24</v>
      </c>
      <c r="J40" s="24">
        <f t="shared" ref="J40:J71" si="74">J39</f>
        <v>600</v>
      </c>
      <c r="K40" s="24">
        <f t="shared" ref="K40:K71" si="75">K39</f>
        <v>600</v>
      </c>
      <c r="L40" s="24">
        <f t="shared" si="72"/>
        <v>60</v>
      </c>
      <c r="M40" s="24">
        <f t="shared" si="36"/>
        <v>280</v>
      </c>
      <c r="N40" s="24">
        <f t="shared" si="22"/>
        <v>5</v>
      </c>
      <c r="O40" s="24">
        <f t="shared" si="23"/>
        <v>0</v>
      </c>
      <c r="P40" s="24">
        <f t="shared" si="28"/>
        <v>0</v>
      </c>
      <c r="Q40" s="24">
        <f t="shared" si="24"/>
        <v>0</v>
      </c>
      <c r="R40" s="24">
        <f t="shared" ref="R40:R71" si="76">R39</f>
        <v>200000</v>
      </c>
      <c r="S40" s="24">
        <f t="shared" si="25"/>
        <v>0</v>
      </c>
      <c r="T40" s="24">
        <f t="shared" si="58"/>
        <v>0</v>
      </c>
      <c r="U40" s="24">
        <f t="shared" si="70"/>
        <v>100</v>
      </c>
      <c r="V40" s="24">
        <f>V39</f>
        <v>12</v>
      </c>
      <c r="W40" s="24">
        <f t="shared" si="60"/>
        <v>0</v>
      </c>
      <c r="X40" s="50">
        <f t="shared" si="61"/>
        <v>5</v>
      </c>
      <c r="Y40" s="50">
        <f t="shared" si="62"/>
        <v>5</v>
      </c>
      <c r="Z40" s="50">
        <f t="shared" si="63"/>
        <v>5</v>
      </c>
      <c r="AA40" s="50">
        <f t="shared" si="64"/>
        <v>5</v>
      </c>
      <c r="AB40" s="50">
        <f t="shared" si="65"/>
        <v>5</v>
      </c>
      <c r="AF40" s="24">
        <f t="shared" si="73"/>
        <v>1400</v>
      </c>
      <c r="AG40" s="24">
        <f t="shared" si="21"/>
        <v>1400</v>
      </c>
      <c r="AJ40" s="49"/>
    </row>
    <row r="41" spans="1:38" x14ac:dyDescent="0.35">
      <c r="A41" s="24">
        <f t="shared" si="30"/>
        <v>45</v>
      </c>
      <c r="B41" s="24">
        <f t="shared" si="12"/>
        <v>1500</v>
      </c>
      <c r="C41" s="2">
        <f t="shared" si="69"/>
        <v>1404</v>
      </c>
      <c r="D41" s="2">
        <v>0</v>
      </c>
      <c r="E41" s="19">
        <f t="shared" si="71"/>
        <v>0</v>
      </c>
      <c r="F41" s="24">
        <f t="shared" si="18"/>
        <v>2</v>
      </c>
      <c r="G41" s="24">
        <f t="shared" si="66"/>
        <v>24</v>
      </c>
      <c r="H41" s="24">
        <f t="shared" si="67"/>
        <v>24</v>
      </c>
      <c r="I41" s="24">
        <f t="shared" si="68"/>
        <v>24</v>
      </c>
      <c r="J41" s="24">
        <f t="shared" si="74"/>
        <v>600</v>
      </c>
      <c r="K41" s="24">
        <f t="shared" si="75"/>
        <v>600</v>
      </c>
      <c r="L41" s="24">
        <f t="shared" si="72"/>
        <v>60</v>
      </c>
      <c r="M41" s="24">
        <f t="shared" ref="M41:M72" si="77">M40</f>
        <v>280</v>
      </c>
      <c r="N41" s="24">
        <f t="shared" si="22"/>
        <v>5</v>
      </c>
      <c r="O41" s="24">
        <f t="shared" si="23"/>
        <v>0</v>
      </c>
      <c r="P41" s="24">
        <f t="shared" si="28"/>
        <v>0</v>
      </c>
      <c r="Q41" s="24">
        <f t="shared" si="24"/>
        <v>0</v>
      </c>
      <c r="R41" s="24">
        <f t="shared" si="76"/>
        <v>200000</v>
      </c>
      <c r="S41" s="24">
        <f t="shared" si="25"/>
        <v>0</v>
      </c>
      <c r="T41" s="24">
        <f t="shared" si="58"/>
        <v>0</v>
      </c>
      <c r="U41" s="24">
        <f t="shared" si="70"/>
        <v>100</v>
      </c>
      <c r="V41" s="24">
        <v>13</v>
      </c>
      <c r="W41" s="24">
        <f t="shared" si="60"/>
        <v>0</v>
      </c>
      <c r="X41" s="50">
        <f t="shared" si="61"/>
        <v>5</v>
      </c>
      <c r="Y41" s="50">
        <f t="shared" si="62"/>
        <v>5</v>
      </c>
      <c r="Z41" s="50">
        <f t="shared" si="63"/>
        <v>5</v>
      </c>
      <c r="AA41" s="50">
        <f t="shared" si="64"/>
        <v>5</v>
      </c>
      <c r="AB41" s="50">
        <f t="shared" si="65"/>
        <v>5</v>
      </c>
      <c r="AF41" s="24">
        <f t="shared" si="73"/>
        <v>1500</v>
      </c>
      <c r="AG41" s="24">
        <f t="shared" si="21"/>
        <v>1500</v>
      </c>
      <c r="AJ41" s="49"/>
    </row>
    <row r="42" spans="1:38" x14ac:dyDescent="0.35">
      <c r="A42" s="24">
        <f t="shared" si="30"/>
        <v>46</v>
      </c>
      <c r="B42" s="24">
        <f t="shared" si="12"/>
        <v>1600</v>
      </c>
      <c r="C42" s="2">
        <f t="shared" si="69"/>
        <v>1404</v>
      </c>
      <c r="D42" s="2">
        <v>0</v>
      </c>
      <c r="E42" s="19">
        <f t="shared" si="71"/>
        <v>0</v>
      </c>
      <c r="F42" s="24">
        <f t="shared" si="18"/>
        <v>2</v>
      </c>
      <c r="G42" s="24">
        <f t="shared" si="66"/>
        <v>24</v>
      </c>
      <c r="H42" s="24">
        <f t="shared" si="67"/>
        <v>24</v>
      </c>
      <c r="I42" s="24">
        <f t="shared" si="68"/>
        <v>24</v>
      </c>
      <c r="J42" s="24">
        <f t="shared" si="74"/>
        <v>600</v>
      </c>
      <c r="K42" s="24">
        <f t="shared" si="75"/>
        <v>600</v>
      </c>
      <c r="L42" s="24">
        <f t="shared" si="72"/>
        <v>60</v>
      </c>
      <c r="M42" s="24">
        <f t="shared" si="77"/>
        <v>280</v>
      </c>
      <c r="N42" s="24">
        <f t="shared" si="22"/>
        <v>5</v>
      </c>
      <c r="O42" s="24">
        <f t="shared" si="23"/>
        <v>0</v>
      </c>
      <c r="P42" s="24">
        <f t="shared" si="28"/>
        <v>0</v>
      </c>
      <c r="Q42" s="24">
        <f t="shared" si="24"/>
        <v>0</v>
      </c>
      <c r="R42" s="24">
        <f t="shared" si="76"/>
        <v>200000</v>
      </c>
      <c r="S42" s="24">
        <f t="shared" si="25"/>
        <v>0</v>
      </c>
      <c r="T42" s="24">
        <f t="shared" si="58"/>
        <v>0</v>
      </c>
      <c r="U42" s="24">
        <f t="shared" si="70"/>
        <v>100</v>
      </c>
      <c r="V42" s="24">
        <f>V41</f>
        <v>13</v>
      </c>
      <c r="W42" s="24">
        <f t="shared" si="60"/>
        <v>0</v>
      </c>
      <c r="X42" s="50">
        <f t="shared" si="61"/>
        <v>5</v>
      </c>
      <c r="Y42" s="50">
        <f t="shared" si="62"/>
        <v>5</v>
      </c>
      <c r="Z42" s="50">
        <f t="shared" si="63"/>
        <v>5</v>
      </c>
      <c r="AA42" s="50">
        <f t="shared" si="64"/>
        <v>5</v>
      </c>
      <c r="AB42" s="50">
        <f t="shared" si="65"/>
        <v>5</v>
      </c>
      <c r="AF42" s="24">
        <f t="shared" si="73"/>
        <v>1600</v>
      </c>
      <c r="AG42" s="24">
        <f t="shared" si="21"/>
        <v>1600</v>
      </c>
      <c r="AJ42" s="49"/>
    </row>
    <row r="43" spans="1:38" x14ac:dyDescent="0.35">
      <c r="A43" s="24">
        <f t="shared" si="30"/>
        <v>47</v>
      </c>
      <c r="B43" s="24">
        <f t="shared" si="12"/>
        <v>1700</v>
      </c>
      <c r="C43" s="2">
        <f t="shared" si="69"/>
        <v>1404</v>
      </c>
      <c r="D43" s="2">
        <v>0</v>
      </c>
      <c r="E43" s="19">
        <f t="shared" si="71"/>
        <v>0</v>
      </c>
      <c r="F43" s="24">
        <f t="shared" ref="F43:F74" si="78">F42</f>
        <v>2</v>
      </c>
      <c r="G43" s="24">
        <f t="shared" si="66"/>
        <v>24</v>
      </c>
      <c r="H43" s="24">
        <f t="shared" si="67"/>
        <v>24</v>
      </c>
      <c r="I43" s="24">
        <f t="shared" si="68"/>
        <v>24</v>
      </c>
      <c r="J43" s="24">
        <f t="shared" si="74"/>
        <v>600</v>
      </c>
      <c r="K43" s="24">
        <f t="shared" si="75"/>
        <v>600</v>
      </c>
      <c r="L43" s="24">
        <f t="shared" si="72"/>
        <v>60</v>
      </c>
      <c r="M43" s="24">
        <f t="shared" si="77"/>
        <v>280</v>
      </c>
      <c r="N43" s="24">
        <f t="shared" si="22"/>
        <v>5</v>
      </c>
      <c r="O43" s="24">
        <f t="shared" si="23"/>
        <v>0</v>
      </c>
      <c r="P43" s="24">
        <f t="shared" si="28"/>
        <v>0</v>
      </c>
      <c r="Q43" s="24">
        <f t="shared" si="24"/>
        <v>0</v>
      </c>
      <c r="R43" s="24">
        <f t="shared" si="76"/>
        <v>200000</v>
      </c>
      <c r="S43" s="24">
        <f t="shared" si="25"/>
        <v>0</v>
      </c>
      <c r="T43" s="24">
        <f t="shared" si="58"/>
        <v>0</v>
      </c>
      <c r="U43" s="24">
        <f t="shared" si="70"/>
        <v>100</v>
      </c>
      <c r="V43" s="24">
        <v>14</v>
      </c>
      <c r="W43" s="24">
        <f t="shared" si="60"/>
        <v>0</v>
      </c>
      <c r="X43" s="50">
        <f t="shared" si="61"/>
        <v>5</v>
      </c>
      <c r="Y43" s="50">
        <f t="shared" si="62"/>
        <v>5</v>
      </c>
      <c r="Z43" s="50">
        <f t="shared" si="63"/>
        <v>5</v>
      </c>
      <c r="AA43" s="50">
        <f t="shared" si="64"/>
        <v>5</v>
      </c>
      <c r="AB43" s="50">
        <f t="shared" si="65"/>
        <v>5</v>
      </c>
      <c r="AF43" s="24">
        <f t="shared" si="73"/>
        <v>1700</v>
      </c>
      <c r="AG43" s="24">
        <f t="shared" si="21"/>
        <v>1700</v>
      </c>
      <c r="AJ43" s="49"/>
    </row>
    <row r="44" spans="1:38" x14ac:dyDescent="0.35">
      <c r="A44" s="24">
        <f t="shared" si="30"/>
        <v>48</v>
      </c>
      <c r="B44" s="24">
        <f t="shared" si="12"/>
        <v>1800</v>
      </c>
      <c r="C44" s="2">
        <f t="shared" si="69"/>
        <v>1404</v>
      </c>
      <c r="D44" s="2">
        <v>0</v>
      </c>
      <c r="E44" s="19">
        <f t="shared" si="71"/>
        <v>0</v>
      </c>
      <c r="F44" s="24">
        <f t="shared" si="78"/>
        <v>2</v>
      </c>
      <c r="G44" s="24">
        <f t="shared" si="66"/>
        <v>24</v>
      </c>
      <c r="H44" s="24">
        <f t="shared" si="67"/>
        <v>24</v>
      </c>
      <c r="I44" s="24">
        <f t="shared" si="68"/>
        <v>24</v>
      </c>
      <c r="J44" s="24">
        <f t="shared" si="74"/>
        <v>600</v>
      </c>
      <c r="K44" s="24">
        <f t="shared" si="75"/>
        <v>600</v>
      </c>
      <c r="L44" s="24">
        <f t="shared" si="72"/>
        <v>60</v>
      </c>
      <c r="M44" s="24">
        <f t="shared" si="77"/>
        <v>280</v>
      </c>
      <c r="N44" s="24">
        <f t="shared" si="22"/>
        <v>5</v>
      </c>
      <c r="O44" s="24">
        <f t="shared" si="23"/>
        <v>0</v>
      </c>
      <c r="P44" s="24">
        <f t="shared" si="28"/>
        <v>0</v>
      </c>
      <c r="Q44" s="24">
        <f t="shared" si="24"/>
        <v>0</v>
      </c>
      <c r="R44" s="24">
        <f t="shared" si="76"/>
        <v>200000</v>
      </c>
      <c r="S44" s="24">
        <f t="shared" si="25"/>
        <v>0</v>
      </c>
      <c r="T44" s="24">
        <f t="shared" si="58"/>
        <v>0</v>
      </c>
      <c r="U44" s="24">
        <f t="shared" si="70"/>
        <v>100</v>
      </c>
      <c r="V44" s="24">
        <f>V43</f>
        <v>14</v>
      </c>
      <c r="W44" s="24">
        <f t="shared" si="60"/>
        <v>0</v>
      </c>
      <c r="X44" s="50">
        <f t="shared" si="61"/>
        <v>5</v>
      </c>
      <c r="Y44" s="50">
        <f t="shared" si="62"/>
        <v>5</v>
      </c>
      <c r="Z44" s="50">
        <f t="shared" si="63"/>
        <v>5</v>
      </c>
      <c r="AA44" s="50">
        <f t="shared" si="64"/>
        <v>5</v>
      </c>
      <c r="AB44" s="50">
        <f t="shared" si="65"/>
        <v>5</v>
      </c>
      <c r="AF44" s="24">
        <f t="shared" si="73"/>
        <v>1800</v>
      </c>
      <c r="AG44" s="24">
        <f t="shared" si="21"/>
        <v>1800</v>
      </c>
      <c r="AJ44" s="49"/>
    </row>
    <row r="45" spans="1:38" x14ac:dyDescent="0.35">
      <c r="A45" s="24">
        <f t="shared" si="30"/>
        <v>49</v>
      </c>
      <c r="B45" s="24">
        <f t="shared" si="12"/>
        <v>1900</v>
      </c>
      <c r="C45" s="2">
        <f t="shared" si="69"/>
        <v>1404</v>
      </c>
      <c r="D45" s="2">
        <v>0</v>
      </c>
      <c r="E45" s="19">
        <f t="shared" si="71"/>
        <v>0</v>
      </c>
      <c r="F45" s="24">
        <f t="shared" si="78"/>
        <v>2</v>
      </c>
      <c r="G45" s="24">
        <f t="shared" si="66"/>
        <v>24</v>
      </c>
      <c r="H45" s="24">
        <f t="shared" si="67"/>
        <v>24</v>
      </c>
      <c r="I45" s="24">
        <f t="shared" si="68"/>
        <v>24</v>
      </c>
      <c r="J45" s="24">
        <f t="shared" si="74"/>
        <v>600</v>
      </c>
      <c r="K45" s="24">
        <f t="shared" si="75"/>
        <v>600</v>
      </c>
      <c r="L45" s="24">
        <f t="shared" si="72"/>
        <v>60</v>
      </c>
      <c r="M45" s="24">
        <f t="shared" si="77"/>
        <v>280</v>
      </c>
      <c r="N45" s="24">
        <f t="shared" si="22"/>
        <v>5</v>
      </c>
      <c r="O45" s="24">
        <f t="shared" si="23"/>
        <v>0</v>
      </c>
      <c r="P45" s="24">
        <f t="shared" si="28"/>
        <v>0</v>
      </c>
      <c r="Q45" s="24">
        <f t="shared" si="24"/>
        <v>0</v>
      </c>
      <c r="R45" s="24">
        <f t="shared" si="76"/>
        <v>200000</v>
      </c>
      <c r="S45" s="24">
        <f t="shared" si="25"/>
        <v>0</v>
      </c>
      <c r="T45" s="24">
        <f t="shared" si="58"/>
        <v>0</v>
      </c>
      <c r="U45" s="24">
        <f t="shared" si="70"/>
        <v>100</v>
      </c>
      <c r="V45" s="24">
        <f>V44</f>
        <v>14</v>
      </c>
      <c r="W45" s="24">
        <f t="shared" si="60"/>
        <v>0</v>
      </c>
      <c r="X45" s="50">
        <f t="shared" ref="X45:X76" si="79">X44</f>
        <v>5</v>
      </c>
      <c r="Y45" s="50">
        <f t="shared" ref="Y45:Y76" si="80">Y44</f>
        <v>5</v>
      </c>
      <c r="Z45" s="50">
        <f t="shared" ref="Z45:Z76" si="81">Z44</f>
        <v>5</v>
      </c>
      <c r="AA45" s="50">
        <f t="shared" ref="AA45:AA76" si="82">AA44</f>
        <v>5</v>
      </c>
      <c r="AB45" s="50">
        <f t="shared" ref="AB45:AB76" si="83">AB44</f>
        <v>5</v>
      </c>
      <c r="AF45" s="24">
        <f t="shared" si="73"/>
        <v>1900</v>
      </c>
      <c r="AG45" s="24">
        <f t="shared" si="21"/>
        <v>1900</v>
      </c>
      <c r="AJ45" s="49"/>
      <c r="AK45" s="49" t="s">
        <v>1588</v>
      </c>
    </row>
    <row r="46" spans="1:38" s="49" customFormat="1" x14ac:dyDescent="0.35">
      <c r="A46" s="55">
        <f t="shared" si="30"/>
        <v>50</v>
      </c>
      <c r="B46" s="56">
        <f>'VIP升级|VIPUp'!$B$10</f>
        <v>2000</v>
      </c>
      <c r="C46" s="57">
        <f>C47</f>
        <v>1405</v>
      </c>
      <c r="D46" s="57" t="str">
        <f>'VIP升级|VIPUp'!Q10</f>
        <v>1|2|15000000</v>
      </c>
      <c r="E46" s="57">
        <f>AK46</f>
        <v>1000000</v>
      </c>
      <c r="F46" s="49">
        <f t="shared" si="78"/>
        <v>2</v>
      </c>
      <c r="G46" s="49">
        <f t="shared" si="66"/>
        <v>24</v>
      </c>
      <c r="H46" s="49">
        <f t="shared" si="67"/>
        <v>24</v>
      </c>
      <c r="I46" s="49">
        <f t="shared" si="68"/>
        <v>24</v>
      </c>
      <c r="J46" s="49">
        <f t="shared" si="74"/>
        <v>600</v>
      </c>
      <c r="K46" s="49">
        <f t="shared" si="75"/>
        <v>600</v>
      </c>
      <c r="L46" s="49">
        <f t="shared" si="72"/>
        <v>60</v>
      </c>
      <c r="M46" s="49">
        <f t="shared" si="77"/>
        <v>280</v>
      </c>
      <c r="N46" s="49">
        <f t="shared" ref="N46:N77" si="84">N45</f>
        <v>5</v>
      </c>
      <c r="O46" s="49">
        <f t="shared" ref="O46:O77" si="85">O45</f>
        <v>0</v>
      </c>
      <c r="P46" s="49">
        <f t="shared" ref="P46:P77" si="86">P45</f>
        <v>0</v>
      </c>
      <c r="Q46" s="49">
        <f t="shared" ref="Q46:Q77" si="87">Q45</f>
        <v>0</v>
      </c>
      <c r="R46" s="49">
        <f t="shared" si="76"/>
        <v>200000</v>
      </c>
      <c r="S46" s="49">
        <f t="shared" ref="S46:S77" si="88">S45</f>
        <v>0</v>
      </c>
      <c r="T46" s="49">
        <f t="shared" si="58"/>
        <v>0</v>
      </c>
      <c r="U46" s="49">
        <v>100</v>
      </c>
      <c r="V46" s="49">
        <v>15</v>
      </c>
      <c r="W46" s="49">
        <f t="shared" si="60"/>
        <v>0</v>
      </c>
      <c r="X46" s="65">
        <f t="shared" si="79"/>
        <v>5</v>
      </c>
      <c r="Y46" s="65">
        <f t="shared" si="80"/>
        <v>5</v>
      </c>
      <c r="Z46" s="65">
        <f t="shared" si="81"/>
        <v>5</v>
      </c>
      <c r="AA46" s="65">
        <f t="shared" si="82"/>
        <v>5</v>
      </c>
      <c r="AB46" s="65">
        <f t="shared" si="83"/>
        <v>5</v>
      </c>
      <c r="AJ46" s="49">
        <v>50</v>
      </c>
      <c r="AK46" s="49">
        <v>1000000</v>
      </c>
      <c r="AL46" s="57">
        <f>'VIP升级|VIPUp'!W10</f>
        <v>1000000</v>
      </c>
    </row>
    <row r="47" spans="1:38" x14ac:dyDescent="0.35">
      <c r="A47" s="24">
        <f t="shared" si="30"/>
        <v>51</v>
      </c>
      <c r="B47" s="24">
        <f t="shared" si="12"/>
        <v>2300</v>
      </c>
      <c r="C47" s="2">
        <f t="shared" ref="C47:C55" si="89">C37+1</f>
        <v>1405</v>
      </c>
      <c r="D47" s="2">
        <v>0</v>
      </c>
      <c r="E47" s="58">
        <f t="shared" ref="E47:E78" si="90">AK47</f>
        <v>1100000</v>
      </c>
      <c r="F47" s="24">
        <f t="shared" si="78"/>
        <v>2</v>
      </c>
      <c r="G47" s="24">
        <f t="shared" si="66"/>
        <v>24</v>
      </c>
      <c r="H47" s="24">
        <f t="shared" si="67"/>
        <v>24</v>
      </c>
      <c r="I47" s="24">
        <f t="shared" si="68"/>
        <v>24</v>
      </c>
      <c r="J47" s="24">
        <f t="shared" si="74"/>
        <v>600</v>
      </c>
      <c r="K47" s="24">
        <f t="shared" si="75"/>
        <v>600</v>
      </c>
      <c r="L47" s="24">
        <f t="shared" si="72"/>
        <v>60</v>
      </c>
      <c r="M47" s="24">
        <f t="shared" si="77"/>
        <v>280</v>
      </c>
      <c r="N47" s="24">
        <f t="shared" si="84"/>
        <v>5</v>
      </c>
      <c r="O47" s="24">
        <f t="shared" si="85"/>
        <v>0</v>
      </c>
      <c r="P47" s="24">
        <f t="shared" si="86"/>
        <v>0</v>
      </c>
      <c r="Q47" s="24">
        <f t="shared" si="87"/>
        <v>0</v>
      </c>
      <c r="R47" s="24">
        <f t="shared" si="76"/>
        <v>200000</v>
      </c>
      <c r="S47" s="24">
        <f t="shared" si="88"/>
        <v>0</v>
      </c>
      <c r="T47" s="24">
        <f t="shared" si="58"/>
        <v>0</v>
      </c>
      <c r="U47" s="24">
        <f t="shared" ref="U47:U77" si="91">U46</f>
        <v>100</v>
      </c>
      <c r="V47" s="24">
        <f t="shared" ref="V47:V55" si="92">V46</f>
        <v>15</v>
      </c>
      <c r="W47" s="24">
        <f t="shared" si="60"/>
        <v>0</v>
      </c>
      <c r="X47" s="50">
        <f t="shared" si="79"/>
        <v>5</v>
      </c>
      <c r="Y47" s="50">
        <f t="shared" si="80"/>
        <v>5</v>
      </c>
      <c r="Z47" s="50">
        <f t="shared" si="81"/>
        <v>5</v>
      </c>
      <c r="AA47" s="50">
        <f t="shared" si="82"/>
        <v>5</v>
      </c>
      <c r="AB47" s="50">
        <f t="shared" si="83"/>
        <v>5</v>
      </c>
      <c r="AD47" s="24" t="s">
        <v>1589</v>
      </c>
      <c r="AF47" s="24">
        <f>B46+ROUNDDOWN(AE$48/10,0)</f>
        <v>2300</v>
      </c>
      <c r="AG47" s="24">
        <f t="shared" si="21"/>
        <v>2300</v>
      </c>
      <c r="AJ47" s="49"/>
      <c r="AK47" s="49">
        <v>1100000</v>
      </c>
      <c r="AL47" s="69"/>
    </row>
    <row r="48" spans="1:38" x14ac:dyDescent="0.35">
      <c r="A48" s="24">
        <f t="shared" si="30"/>
        <v>52</v>
      </c>
      <c r="B48" s="24">
        <f t="shared" si="12"/>
        <v>2600</v>
      </c>
      <c r="C48" s="2">
        <f t="shared" si="89"/>
        <v>1405</v>
      </c>
      <c r="D48" s="2">
        <v>0</v>
      </c>
      <c r="E48" s="59">
        <f t="shared" si="90"/>
        <v>1200000</v>
      </c>
      <c r="F48" s="24">
        <f t="shared" si="78"/>
        <v>2</v>
      </c>
      <c r="G48" s="24">
        <f t="shared" si="66"/>
        <v>24</v>
      </c>
      <c r="H48" s="24">
        <f t="shared" si="67"/>
        <v>24</v>
      </c>
      <c r="I48" s="24">
        <f t="shared" si="68"/>
        <v>24</v>
      </c>
      <c r="J48" s="24">
        <f t="shared" si="74"/>
        <v>600</v>
      </c>
      <c r="K48" s="24">
        <f t="shared" si="75"/>
        <v>600</v>
      </c>
      <c r="L48" s="24">
        <f t="shared" si="72"/>
        <v>60</v>
      </c>
      <c r="M48" s="24">
        <f t="shared" si="77"/>
        <v>280</v>
      </c>
      <c r="N48" s="24">
        <f t="shared" si="84"/>
        <v>5</v>
      </c>
      <c r="O48" s="24">
        <f t="shared" si="85"/>
        <v>0</v>
      </c>
      <c r="P48" s="24">
        <f t="shared" si="86"/>
        <v>0</v>
      </c>
      <c r="Q48" s="24">
        <f t="shared" si="87"/>
        <v>0</v>
      </c>
      <c r="R48" s="24">
        <f t="shared" si="76"/>
        <v>200000</v>
      </c>
      <c r="S48" s="24">
        <f t="shared" si="88"/>
        <v>0</v>
      </c>
      <c r="T48" s="24">
        <f t="shared" si="58"/>
        <v>0</v>
      </c>
      <c r="U48" s="24">
        <f t="shared" si="91"/>
        <v>100</v>
      </c>
      <c r="V48" s="24">
        <f t="shared" si="92"/>
        <v>15</v>
      </c>
      <c r="W48" s="24">
        <f t="shared" si="60"/>
        <v>0</v>
      </c>
      <c r="X48" s="50">
        <f t="shared" si="79"/>
        <v>5</v>
      </c>
      <c r="Y48" s="50">
        <f t="shared" si="80"/>
        <v>5</v>
      </c>
      <c r="Z48" s="50">
        <f t="shared" si="81"/>
        <v>5</v>
      </c>
      <c r="AA48" s="50">
        <f t="shared" si="82"/>
        <v>5</v>
      </c>
      <c r="AB48" s="50">
        <f t="shared" si="83"/>
        <v>5</v>
      </c>
      <c r="AD48" s="24" t="s">
        <v>1584</v>
      </c>
      <c r="AE48" s="24">
        <f>'VIP升级|VIPUp'!$B$11-B46</f>
        <v>3000</v>
      </c>
      <c r="AF48" s="24">
        <f t="shared" ref="AF48:AF55" si="93">AF47+ROUNDDOWN(AE$48/10,0)</f>
        <v>2600</v>
      </c>
      <c r="AG48" s="24">
        <f t="shared" si="21"/>
        <v>2600</v>
      </c>
      <c r="AJ48" s="49"/>
      <c r="AK48" s="49">
        <v>1200000</v>
      </c>
      <c r="AL48" s="19"/>
    </row>
    <row r="49" spans="1:38" x14ac:dyDescent="0.35">
      <c r="A49" s="24">
        <f t="shared" si="30"/>
        <v>53</v>
      </c>
      <c r="B49" s="24">
        <f t="shared" si="12"/>
        <v>2900</v>
      </c>
      <c r="C49" s="2">
        <f t="shared" si="89"/>
        <v>1405</v>
      </c>
      <c r="D49" s="2">
        <v>0</v>
      </c>
      <c r="E49" s="59">
        <f t="shared" si="90"/>
        <v>1300000</v>
      </c>
      <c r="F49" s="24">
        <f t="shared" si="78"/>
        <v>2</v>
      </c>
      <c r="G49" s="24">
        <f t="shared" si="66"/>
        <v>24</v>
      </c>
      <c r="H49" s="24">
        <f t="shared" si="67"/>
        <v>24</v>
      </c>
      <c r="I49" s="24">
        <f t="shared" si="68"/>
        <v>24</v>
      </c>
      <c r="J49" s="24">
        <f t="shared" si="74"/>
        <v>600</v>
      </c>
      <c r="K49" s="24">
        <f t="shared" si="75"/>
        <v>600</v>
      </c>
      <c r="L49" s="24">
        <f t="shared" si="72"/>
        <v>60</v>
      </c>
      <c r="M49" s="24">
        <f t="shared" si="77"/>
        <v>280</v>
      </c>
      <c r="N49" s="24">
        <f t="shared" si="84"/>
        <v>5</v>
      </c>
      <c r="O49" s="24">
        <f t="shared" si="85"/>
        <v>0</v>
      </c>
      <c r="P49" s="24">
        <f t="shared" si="86"/>
        <v>0</v>
      </c>
      <c r="Q49" s="24">
        <f t="shared" si="87"/>
        <v>0</v>
      </c>
      <c r="R49" s="24">
        <f t="shared" si="76"/>
        <v>200000</v>
      </c>
      <c r="S49" s="24">
        <f t="shared" si="88"/>
        <v>0</v>
      </c>
      <c r="T49" s="24">
        <f t="shared" si="58"/>
        <v>0</v>
      </c>
      <c r="U49" s="24">
        <f t="shared" si="91"/>
        <v>100</v>
      </c>
      <c r="V49" s="24">
        <f t="shared" si="92"/>
        <v>15</v>
      </c>
      <c r="W49" s="24">
        <f t="shared" si="60"/>
        <v>0</v>
      </c>
      <c r="X49" s="50">
        <f t="shared" si="79"/>
        <v>5</v>
      </c>
      <c r="Y49" s="50">
        <f t="shared" si="80"/>
        <v>5</v>
      </c>
      <c r="Z49" s="50">
        <f t="shared" si="81"/>
        <v>5</v>
      </c>
      <c r="AA49" s="50">
        <f t="shared" si="82"/>
        <v>5</v>
      </c>
      <c r="AB49" s="50">
        <f t="shared" si="83"/>
        <v>5</v>
      </c>
      <c r="AF49" s="24">
        <f t="shared" si="93"/>
        <v>2900</v>
      </c>
      <c r="AG49" s="24">
        <f t="shared" si="21"/>
        <v>2900</v>
      </c>
      <c r="AJ49" s="49"/>
      <c r="AK49" s="49">
        <v>1300000</v>
      </c>
      <c r="AL49" s="19"/>
    </row>
    <row r="50" spans="1:38" x14ac:dyDescent="0.35">
      <c r="A50" s="24">
        <f t="shared" si="30"/>
        <v>54</v>
      </c>
      <c r="B50" s="24">
        <f t="shared" si="12"/>
        <v>3200</v>
      </c>
      <c r="C50" s="2">
        <f t="shared" si="89"/>
        <v>1405</v>
      </c>
      <c r="D50" s="2">
        <v>0</v>
      </c>
      <c r="E50" s="59">
        <f t="shared" si="90"/>
        <v>1400000</v>
      </c>
      <c r="F50" s="24">
        <f t="shared" si="78"/>
        <v>2</v>
      </c>
      <c r="G50" s="24">
        <f t="shared" si="66"/>
        <v>24</v>
      </c>
      <c r="H50" s="24">
        <f t="shared" si="67"/>
        <v>24</v>
      </c>
      <c r="I50" s="24">
        <f t="shared" si="68"/>
        <v>24</v>
      </c>
      <c r="J50" s="24">
        <f t="shared" si="74"/>
        <v>600</v>
      </c>
      <c r="K50" s="24">
        <f t="shared" si="75"/>
        <v>600</v>
      </c>
      <c r="L50" s="24">
        <f t="shared" si="72"/>
        <v>60</v>
      </c>
      <c r="M50" s="24">
        <f t="shared" si="77"/>
        <v>280</v>
      </c>
      <c r="N50" s="24">
        <f t="shared" si="84"/>
        <v>5</v>
      </c>
      <c r="O50" s="24">
        <f t="shared" si="85"/>
        <v>0</v>
      </c>
      <c r="P50" s="24">
        <f t="shared" si="86"/>
        <v>0</v>
      </c>
      <c r="Q50" s="24">
        <f t="shared" si="87"/>
        <v>0</v>
      </c>
      <c r="R50" s="24">
        <f t="shared" si="76"/>
        <v>200000</v>
      </c>
      <c r="S50" s="24">
        <f t="shared" si="88"/>
        <v>0</v>
      </c>
      <c r="T50" s="24">
        <f t="shared" si="58"/>
        <v>0</v>
      </c>
      <c r="U50" s="24">
        <f t="shared" si="91"/>
        <v>100</v>
      </c>
      <c r="V50" s="24">
        <f t="shared" si="92"/>
        <v>15</v>
      </c>
      <c r="W50" s="24">
        <f t="shared" si="60"/>
        <v>0</v>
      </c>
      <c r="X50" s="50">
        <f t="shared" si="79"/>
        <v>5</v>
      </c>
      <c r="Y50" s="50">
        <f t="shared" si="80"/>
        <v>5</v>
      </c>
      <c r="Z50" s="50">
        <f t="shared" si="81"/>
        <v>5</v>
      </c>
      <c r="AA50" s="50">
        <f t="shared" si="82"/>
        <v>5</v>
      </c>
      <c r="AB50" s="50">
        <f t="shared" si="83"/>
        <v>5</v>
      </c>
      <c r="AF50" s="24">
        <f t="shared" si="93"/>
        <v>3200</v>
      </c>
      <c r="AG50" s="24">
        <f t="shared" si="21"/>
        <v>3200</v>
      </c>
      <c r="AJ50" s="49"/>
      <c r="AK50" s="49">
        <v>1400000</v>
      </c>
      <c r="AL50" s="19"/>
    </row>
    <row r="51" spans="1:38" x14ac:dyDescent="0.35">
      <c r="A51" s="24">
        <f t="shared" si="30"/>
        <v>55</v>
      </c>
      <c r="B51" s="24">
        <f t="shared" si="12"/>
        <v>3500</v>
      </c>
      <c r="C51" s="2">
        <f t="shared" si="89"/>
        <v>1405</v>
      </c>
      <c r="D51" s="2">
        <v>0</v>
      </c>
      <c r="E51" s="59">
        <f t="shared" si="90"/>
        <v>1500000</v>
      </c>
      <c r="F51" s="24">
        <f t="shared" si="78"/>
        <v>2</v>
      </c>
      <c r="G51" s="24">
        <f t="shared" si="66"/>
        <v>24</v>
      </c>
      <c r="H51" s="24">
        <f t="shared" si="67"/>
        <v>24</v>
      </c>
      <c r="I51" s="24">
        <f t="shared" si="68"/>
        <v>24</v>
      </c>
      <c r="J51" s="24">
        <f t="shared" si="74"/>
        <v>600</v>
      </c>
      <c r="K51" s="24">
        <f t="shared" si="75"/>
        <v>600</v>
      </c>
      <c r="L51" s="24">
        <f t="shared" si="72"/>
        <v>60</v>
      </c>
      <c r="M51" s="24">
        <f t="shared" si="77"/>
        <v>280</v>
      </c>
      <c r="N51" s="24">
        <f t="shared" si="84"/>
        <v>5</v>
      </c>
      <c r="O51" s="24">
        <f t="shared" si="85"/>
        <v>0</v>
      </c>
      <c r="P51" s="24">
        <f t="shared" si="86"/>
        <v>0</v>
      </c>
      <c r="Q51" s="24">
        <f t="shared" si="87"/>
        <v>0</v>
      </c>
      <c r="R51" s="24">
        <f t="shared" si="76"/>
        <v>200000</v>
      </c>
      <c r="S51" s="24">
        <f t="shared" si="88"/>
        <v>0</v>
      </c>
      <c r="T51" s="24">
        <f t="shared" si="58"/>
        <v>0</v>
      </c>
      <c r="U51" s="24">
        <f t="shared" si="91"/>
        <v>100</v>
      </c>
      <c r="V51" s="24">
        <f t="shared" si="92"/>
        <v>15</v>
      </c>
      <c r="W51" s="24">
        <f t="shared" si="60"/>
        <v>0</v>
      </c>
      <c r="X51" s="50">
        <f t="shared" si="79"/>
        <v>5</v>
      </c>
      <c r="Y51" s="50">
        <f t="shared" si="80"/>
        <v>5</v>
      </c>
      <c r="Z51" s="50">
        <f t="shared" si="81"/>
        <v>5</v>
      </c>
      <c r="AA51" s="50">
        <f t="shared" si="82"/>
        <v>5</v>
      </c>
      <c r="AB51" s="50">
        <f t="shared" si="83"/>
        <v>5</v>
      </c>
      <c r="AF51" s="24">
        <f t="shared" si="93"/>
        <v>3500</v>
      </c>
      <c r="AG51" s="24">
        <f t="shared" si="21"/>
        <v>3500</v>
      </c>
      <c r="AJ51" s="49"/>
      <c r="AK51" s="49">
        <v>1500000</v>
      </c>
      <c r="AL51" s="19"/>
    </row>
    <row r="52" spans="1:38" x14ac:dyDescent="0.35">
      <c r="A52" s="24">
        <f t="shared" si="30"/>
        <v>56</v>
      </c>
      <c r="B52" s="24">
        <f t="shared" si="12"/>
        <v>3800</v>
      </c>
      <c r="C52" s="2">
        <f t="shared" si="89"/>
        <v>1405</v>
      </c>
      <c r="D52" s="2">
        <v>0</v>
      </c>
      <c r="E52" s="59">
        <f t="shared" si="90"/>
        <v>1600000</v>
      </c>
      <c r="F52" s="24">
        <f t="shared" si="78"/>
        <v>2</v>
      </c>
      <c r="G52" s="24">
        <f t="shared" si="66"/>
        <v>24</v>
      </c>
      <c r="H52" s="24">
        <f t="shared" si="67"/>
        <v>24</v>
      </c>
      <c r="I52" s="24">
        <f t="shared" si="68"/>
        <v>24</v>
      </c>
      <c r="J52" s="24">
        <f t="shared" si="74"/>
        <v>600</v>
      </c>
      <c r="K52" s="24">
        <f t="shared" si="75"/>
        <v>600</v>
      </c>
      <c r="L52" s="24">
        <f t="shared" si="72"/>
        <v>60</v>
      </c>
      <c r="M52" s="24">
        <f t="shared" si="77"/>
        <v>280</v>
      </c>
      <c r="N52" s="24">
        <f t="shared" si="84"/>
        <v>5</v>
      </c>
      <c r="O52" s="24">
        <f t="shared" si="85"/>
        <v>0</v>
      </c>
      <c r="P52" s="24">
        <f t="shared" si="86"/>
        <v>0</v>
      </c>
      <c r="Q52" s="24">
        <f t="shared" si="87"/>
        <v>0</v>
      </c>
      <c r="R52" s="24">
        <f t="shared" si="76"/>
        <v>200000</v>
      </c>
      <c r="S52" s="24">
        <f t="shared" si="88"/>
        <v>0</v>
      </c>
      <c r="T52" s="24">
        <f t="shared" si="58"/>
        <v>0</v>
      </c>
      <c r="U52" s="24">
        <f t="shared" si="91"/>
        <v>100</v>
      </c>
      <c r="V52" s="24">
        <f t="shared" si="92"/>
        <v>15</v>
      </c>
      <c r="W52" s="24">
        <f t="shared" si="60"/>
        <v>0</v>
      </c>
      <c r="X52" s="50">
        <f t="shared" si="79"/>
        <v>5</v>
      </c>
      <c r="Y52" s="50">
        <f t="shared" si="80"/>
        <v>5</v>
      </c>
      <c r="Z52" s="50">
        <f t="shared" si="81"/>
        <v>5</v>
      </c>
      <c r="AA52" s="50">
        <f t="shared" si="82"/>
        <v>5</v>
      </c>
      <c r="AB52" s="50">
        <f t="shared" si="83"/>
        <v>5</v>
      </c>
      <c r="AF52" s="24">
        <f t="shared" si="93"/>
        <v>3800</v>
      </c>
      <c r="AG52" s="24">
        <f t="shared" si="21"/>
        <v>3800</v>
      </c>
      <c r="AJ52" s="49"/>
      <c r="AK52" s="49">
        <v>1600000</v>
      </c>
      <c r="AL52" s="19"/>
    </row>
    <row r="53" spans="1:38" x14ac:dyDescent="0.35">
      <c r="A53" s="24">
        <f t="shared" si="30"/>
        <v>57</v>
      </c>
      <c r="B53" s="24">
        <f t="shared" si="12"/>
        <v>4100</v>
      </c>
      <c r="C53" s="2">
        <f t="shared" si="89"/>
        <v>1405</v>
      </c>
      <c r="D53" s="2">
        <v>0</v>
      </c>
      <c r="E53" s="59">
        <f t="shared" si="90"/>
        <v>1700000</v>
      </c>
      <c r="F53" s="24">
        <f t="shared" si="78"/>
        <v>2</v>
      </c>
      <c r="G53" s="24">
        <f t="shared" si="66"/>
        <v>24</v>
      </c>
      <c r="H53" s="24">
        <f t="shared" si="67"/>
        <v>24</v>
      </c>
      <c r="I53" s="24">
        <f t="shared" si="68"/>
        <v>24</v>
      </c>
      <c r="J53" s="24">
        <f t="shared" si="74"/>
        <v>600</v>
      </c>
      <c r="K53" s="24">
        <f t="shared" si="75"/>
        <v>600</v>
      </c>
      <c r="L53" s="24">
        <f t="shared" si="72"/>
        <v>60</v>
      </c>
      <c r="M53" s="24">
        <f t="shared" si="77"/>
        <v>280</v>
      </c>
      <c r="N53" s="24">
        <f t="shared" si="84"/>
        <v>5</v>
      </c>
      <c r="O53" s="24">
        <f t="shared" si="85"/>
        <v>0</v>
      </c>
      <c r="P53" s="24">
        <f t="shared" si="86"/>
        <v>0</v>
      </c>
      <c r="Q53" s="24">
        <f t="shared" si="87"/>
        <v>0</v>
      </c>
      <c r="R53" s="24">
        <f t="shared" si="76"/>
        <v>200000</v>
      </c>
      <c r="S53" s="24">
        <f t="shared" si="88"/>
        <v>0</v>
      </c>
      <c r="T53" s="24">
        <f t="shared" si="58"/>
        <v>0</v>
      </c>
      <c r="U53" s="24">
        <f t="shared" si="91"/>
        <v>100</v>
      </c>
      <c r="V53" s="24">
        <f t="shared" si="92"/>
        <v>15</v>
      </c>
      <c r="W53" s="24">
        <f t="shared" si="60"/>
        <v>0</v>
      </c>
      <c r="X53" s="50">
        <f t="shared" si="79"/>
        <v>5</v>
      </c>
      <c r="Y53" s="50">
        <f t="shared" si="80"/>
        <v>5</v>
      </c>
      <c r="Z53" s="50">
        <f t="shared" si="81"/>
        <v>5</v>
      </c>
      <c r="AA53" s="50">
        <f t="shared" si="82"/>
        <v>5</v>
      </c>
      <c r="AB53" s="50">
        <f t="shared" si="83"/>
        <v>5</v>
      </c>
      <c r="AF53" s="24">
        <f t="shared" si="93"/>
        <v>4100</v>
      </c>
      <c r="AG53" s="24">
        <f t="shared" si="21"/>
        <v>4100</v>
      </c>
      <c r="AJ53" s="49"/>
      <c r="AK53" s="49">
        <v>1700000</v>
      </c>
      <c r="AL53" s="19"/>
    </row>
    <row r="54" spans="1:38" x14ac:dyDescent="0.35">
      <c r="A54" s="24">
        <f t="shared" si="30"/>
        <v>58</v>
      </c>
      <c r="B54" s="24">
        <f t="shared" si="12"/>
        <v>4400</v>
      </c>
      <c r="C54" s="2">
        <f t="shared" si="89"/>
        <v>1405</v>
      </c>
      <c r="D54" s="2">
        <v>0</v>
      </c>
      <c r="E54" s="59">
        <f t="shared" si="90"/>
        <v>1800000</v>
      </c>
      <c r="F54" s="24">
        <f t="shared" si="78"/>
        <v>2</v>
      </c>
      <c r="G54" s="24">
        <f t="shared" si="66"/>
        <v>24</v>
      </c>
      <c r="H54" s="24">
        <f t="shared" si="67"/>
        <v>24</v>
      </c>
      <c r="I54" s="24">
        <f t="shared" si="68"/>
        <v>24</v>
      </c>
      <c r="J54" s="24">
        <f t="shared" si="74"/>
        <v>600</v>
      </c>
      <c r="K54" s="24">
        <f t="shared" si="75"/>
        <v>600</v>
      </c>
      <c r="L54" s="24">
        <f t="shared" si="72"/>
        <v>60</v>
      </c>
      <c r="M54" s="24">
        <f t="shared" si="77"/>
        <v>280</v>
      </c>
      <c r="N54" s="24">
        <f t="shared" si="84"/>
        <v>5</v>
      </c>
      <c r="O54" s="24">
        <f t="shared" si="85"/>
        <v>0</v>
      </c>
      <c r="P54" s="24">
        <f t="shared" si="86"/>
        <v>0</v>
      </c>
      <c r="Q54" s="24">
        <f t="shared" si="87"/>
        <v>0</v>
      </c>
      <c r="R54" s="24">
        <f t="shared" si="76"/>
        <v>200000</v>
      </c>
      <c r="S54" s="24">
        <f t="shared" si="88"/>
        <v>0</v>
      </c>
      <c r="T54" s="24">
        <f t="shared" si="58"/>
        <v>0</v>
      </c>
      <c r="U54" s="24">
        <f t="shared" si="91"/>
        <v>100</v>
      </c>
      <c r="V54" s="24">
        <f t="shared" si="92"/>
        <v>15</v>
      </c>
      <c r="W54" s="24">
        <f t="shared" si="60"/>
        <v>0</v>
      </c>
      <c r="X54" s="50">
        <f t="shared" si="79"/>
        <v>5</v>
      </c>
      <c r="Y54" s="50">
        <f t="shared" si="80"/>
        <v>5</v>
      </c>
      <c r="Z54" s="50">
        <f t="shared" si="81"/>
        <v>5</v>
      </c>
      <c r="AA54" s="50">
        <f t="shared" si="82"/>
        <v>5</v>
      </c>
      <c r="AB54" s="50">
        <f t="shared" si="83"/>
        <v>5</v>
      </c>
      <c r="AF54" s="24">
        <f t="shared" si="93"/>
        <v>4400</v>
      </c>
      <c r="AG54" s="24">
        <f t="shared" si="21"/>
        <v>4400</v>
      </c>
      <c r="AJ54" s="49"/>
      <c r="AK54" s="49">
        <v>1800000</v>
      </c>
      <c r="AL54" s="19"/>
    </row>
    <row r="55" spans="1:38" x14ac:dyDescent="0.35">
      <c r="A55" s="24">
        <f t="shared" si="30"/>
        <v>59</v>
      </c>
      <c r="B55" s="24">
        <f t="shared" si="12"/>
        <v>4700</v>
      </c>
      <c r="C55" s="2">
        <f t="shared" si="89"/>
        <v>1405</v>
      </c>
      <c r="D55" s="2">
        <v>0</v>
      </c>
      <c r="E55" s="60">
        <f t="shared" si="90"/>
        <v>1900000</v>
      </c>
      <c r="F55" s="24">
        <f t="shared" si="78"/>
        <v>2</v>
      </c>
      <c r="G55" s="24">
        <f t="shared" si="66"/>
        <v>24</v>
      </c>
      <c r="H55" s="24">
        <f t="shared" si="67"/>
        <v>24</v>
      </c>
      <c r="I55" s="24">
        <f t="shared" si="68"/>
        <v>24</v>
      </c>
      <c r="J55" s="24">
        <f t="shared" si="74"/>
        <v>600</v>
      </c>
      <c r="K55" s="24">
        <f t="shared" si="75"/>
        <v>600</v>
      </c>
      <c r="L55" s="24">
        <f t="shared" si="72"/>
        <v>60</v>
      </c>
      <c r="M55" s="24">
        <f t="shared" si="77"/>
        <v>280</v>
      </c>
      <c r="N55" s="24">
        <f t="shared" si="84"/>
        <v>5</v>
      </c>
      <c r="O55" s="24">
        <f t="shared" si="85"/>
        <v>0</v>
      </c>
      <c r="P55" s="24">
        <f t="shared" si="86"/>
        <v>0</v>
      </c>
      <c r="Q55" s="24">
        <f t="shared" si="87"/>
        <v>0</v>
      </c>
      <c r="R55" s="24">
        <f t="shared" si="76"/>
        <v>200000</v>
      </c>
      <c r="S55" s="24">
        <f t="shared" si="88"/>
        <v>0</v>
      </c>
      <c r="T55" s="24">
        <f t="shared" si="58"/>
        <v>0</v>
      </c>
      <c r="U55" s="24">
        <f t="shared" si="91"/>
        <v>100</v>
      </c>
      <c r="V55" s="24">
        <f t="shared" si="92"/>
        <v>15</v>
      </c>
      <c r="W55" s="24">
        <f t="shared" si="60"/>
        <v>0</v>
      </c>
      <c r="X55" s="50">
        <f t="shared" si="79"/>
        <v>5</v>
      </c>
      <c r="Y55" s="50">
        <f t="shared" si="80"/>
        <v>5</v>
      </c>
      <c r="Z55" s="50">
        <f t="shared" si="81"/>
        <v>5</v>
      </c>
      <c r="AA55" s="50">
        <f t="shared" si="82"/>
        <v>5</v>
      </c>
      <c r="AB55" s="50">
        <f t="shared" si="83"/>
        <v>5</v>
      </c>
      <c r="AF55" s="24">
        <f t="shared" si="93"/>
        <v>4700</v>
      </c>
      <c r="AG55" s="24">
        <f t="shared" si="21"/>
        <v>4700</v>
      </c>
      <c r="AJ55" s="49"/>
      <c r="AK55" s="49">
        <v>1900000</v>
      </c>
      <c r="AL55" s="19"/>
    </row>
    <row r="56" spans="1:38" s="49" customFormat="1" x14ac:dyDescent="0.35">
      <c r="A56" s="55">
        <f t="shared" si="30"/>
        <v>60</v>
      </c>
      <c r="B56" s="56">
        <f>'VIP升级|VIPUp'!$B$11</f>
        <v>5000</v>
      </c>
      <c r="C56" s="57">
        <f>C57</f>
        <v>1406</v>
      </c>
      <c r="D56" s="57" t="str">
        <f>'VIP升级|VIPUp'!Q11</f>
        <v>1|2|18000000</v>
      </c>
      <c r="E56" s="57">
        <f t="shared" si="90"/>
        <v>2000000</v>
      </c>
      <c r="F56" s="49">
        <f t="shared" si="78"/>
        <v>2</v>
      </c>
      <c r="G56" s="49">
        <f t="shared" si="66"/>
        <v>24</v>
      </c>
      <c r="H56" s="49">
        <f t="shared" si="67"/>
        <v>24</v>
      </c>
      <c r="I56" s="49">
        <f t="shared" si="68"/>
        <v>24</v>
      </c>
      <c r="J56" s="49">
        <f t="shared" si="74"/>
        <v>600</v>
      </c>
      <c r="K56" s="49">
        <f t="shared" si="75"/>
        <v>600</v>
      </c>
      <c r="L56" s="49">
        <f t="shared" si="72"/>
        <v>60</v>
      </c>
      <c r="M56" s="49">
        <f t="shared" si="77"/>
        <v>280</v>
      </c>
      <c r="N56" s="49">
        <f t="shared" si="84"/>
        <v>5</v>
      </c>
      <c r="O56" s="49">
        <f t="shared" si="85"/>
        <v>0</v>
      </c>
      <c r="P56" s="49">
        <f t="shared" si="86"/>
        <v>0</v>
      </c>
      <c r="Q56" s="49">
        <f t="shared" si="87"/>
        <v>0</v>
      </c>
      <c r="R56" s="49">
        <f t="shared" si="76"/>
        <v>200000</v>
      </c>
      <c r="S56" s="49">
        <f t="shared" si="88"/>
        <v>0</v>
      </c>
      <c r="T56" s="49">
        <f t="shared" si="58"/>
        <v>0</v>
      </c>
      <c r="U56" s="49">
        <f t="shared" si="91"/>
        <v>100</v>
      </c>
      <c r="V56" s="49">
        <f t="shared" ref="V56:V87" si="94">V55</f>
        <v>15</v>
      </c>
      <c r="W56" s="49">
        <f t="shared" si="60"/>
        <v>0</v>
      </c>
      <c r="X56" s="65">
        <f t="shared" si="79"/>
        <v>5</v>
      </c>
      <c r="Y56" s="65">
        <f t="shared" si="80"/>
        <v>5</v>
      </c>
      <c r="Z56" s="65">
        <f t="shared" si="81"/>
        <v>5</v>
      </c>
      <c r="AA56" s="65">
        <f t="shared" si="82"/>
        <v>5</v>
      </c>
      <c r="AB56" s="65">
        <f t="shared" si="83"/>
        <v>5</v>
      </c>
      <c r="AJ56" s="49">
        <v>60</v>
      </c>
      <c r="AK56" s="49">
        <v>2000000</v>
      </c>
      <c r="AL56" s="57">
        <f>'VIP升级|VIPUp'!W11</f>
        <v>2000000</v>
      </c>
    </row>
    <row r="57" spans="1:38" x14ac:dyDescent="0.35">
      <c r="A57" s="24">
        <f t="shared" si="30"/>
        <v>61</v>
      </c>
      <c r="B57" s="24">
        <f t="shared" si="12"/>
        <v>5500</v>
      </c>
      <c r="C57" s="2">
        <f t="shared" ref="C57:C65" si="95">C47+1</f>
        <v>1406</v>
      </c>
      <c r="D57" s="2">
        <v>0</v>
      </c>
      <c r="E57" s="58">
        <f t="shared" si="90"/>
        <v>2200000</v>
      </c>
      <c r="F57" s="24">
        <f t="shared" si="78"/>
        <v>2</v>
      </c>
      <c r="G57" s="24">
        <f t="shared" si="66"/>
        <v>24</v>
      </c>
      <c r="H57" s="24">
        <f t="shared" si="67"/>
        <v>24</v>
      </c>
      <c r="I57" s="24">
        <f t="shared" si="68"/>
        <v>24</v>
      </c>
      <c r="J57" s="24">
        <f t="shared" si="74"/>
        <v>600</v>
      </c>
      <c r="K57" s="24">
        <f t="shared" si="75"/>
        <v>600</v>
      </c>
      <c r="L57" s="24">
        <f t="shared" si="72"/>
        <v>60</v>
      </c>
      <c r="M57" s="24">
        <f t="shared" si="77"/>
        <v>280</v>
      </c>
      <c r="N57" s="24">
        <f t="shared" si="84"/>
        <v>5</v>
      </c>
      <c r="O57" s="24">
        <f t="shared" si="85"/>
        <v>0</v>
      </c>
      <c r="P57" s="24">
        <f t="shared" si="86"/>
        <v>0</v>
      </c>
      <c r="Q57" s="24">
        <f t="shared" si="87"/>
        <v>0</v>
      </c>
      <c r="R57" s="24">
        <f t="shared" si="76"/>
        <v>200000</v>
      </c>
      <c r="S57" s="24">
        <f t="shared" si="88"/>
        <v>0</v>
      </c>
      <c r="T57" s="24">
        <f t="shared" si="58"/>
        <v>0</v>
      </c>
      <c r="U57" s="24">
        <f t="shared" si="91"/>
        <v>100</v>
      </c>
      <c r="V57" s="24">
        <f t="shared" si="94"/>
        <v>15</v>
      </c>
      <c r="W57" s="24">
        <f t="shared" si="60"/>
        <v>0</v>
      </c>
      <c r="X57" s="50">
        <f t="shared" si="79"/>
        <v>5</v>
      </c>
      <c r="Y57" s="50">
        <f t="shared" si="80"/>
        <v>5</v>
      </c>
      <c r="Z57" s="50">
        <f t="shared" si="81"/>
        <v>5</v>
      </c>
      <c r="AA57" s="50">
        <f t="shared" si="82"/>
        <v>5</v>
      </c>
      <c r="AB57" s="50">
        <f t="shared" si="83"/>
        <v>5</v>
      </c>
      <c r="AD57" s="24" t="s">
        <v>1590</v>
      </c>
      <c r="AF57" s="24">
        <f>B56+ROUNDDOWN(AE$58/10,0)</f>
        <v>5500</v>
      </c>
      <c r="AG57" s="24">
        <f t="shared" si="21"/>
        <v>5500</v>
      </c>
      <c r="AJ57" s="49"/>
      <c r="AK57" s="49">
        <v>2200000</v>
      </c>
      <c r="AL57" s="69"/>
    </row>
    <row r="58" spans="1:38" x14ac:dyDescent="0.35">
      <c r="A58" s="24">
        <f t="shared" si="30"/>
        <v>62</v>
      </c>
      <c r="B58" s="24">
        <f t="shared" si="12"/>
        <v>6000</v>
      </c>
      <c r="C58" s="2">
        <f t="shared" si="95"/>
        <v>1406</v>
      </c>
      <c r="D58" s="2">
        <v>0</v>
      </c>
      <c r="E58" s="59">
        <f t="shared" si="90"/>
        <v>2200000</v>
      </c>
      <c r="F58" s="24">
        <f t="shared" si="78"/>
        <v>2</v>
      </c>
      <c r="G58" s="24">
        <f t="shared" si="66"/>
        <v>24</v>
      </c>
      <c r="H58" s="24">
        <f t="shared" si="67"/>
        <v>24</v>
      </c>
      <c r="I58" s="24">
        <f t="shared" si="68"/>
        <v>24</v>
      </c>
      <c r="J58" s="24">
        <f t="shared" si="74"/>
        <v>600</v>
      </c>
      <c r="K58" s="24">
        <f t="shared" si="75"/>
        <v>600</v>
      </c>
      <c r="L58" s="24">
        <f t="shared" si="72"/>
        <v>60</v>
      </c>
      <c r="M58" s="24">
        <f t="shared" si="77"/>
        <v>280</v>
      </c>
      <c r="N58" s="24">
        <f t="shared" si="84"/>
        <v>5</v>
      </c>
      <c r="O58" s="24">
        <f t="shared" si="85"/>
        <v>0</v>
      </c>
      <c r="P58" s="24">
        <f t="shared" si="86"/>
        <v>0</v>
      </c>
      <c r="Q58" s="24">
        <f t="shared" si="87"/>
        <v>0</v>
      </c>
      <c r="R58" s="24">
        <f t="shared" si="76"/>
        <v>200000</v>
      </c>
      <c r="S58" s="24">
        <f t="shared" si="88"/>
        <v>0</v>
      </c>
      <c r="T58" s="24">
        <f t="shared" si="58"/>
        <v>0</v>
      </c>
      <c r="U58" s="24">
        <f t="shared" si="91"/>
        <v>100</v>
      </c>
      <c r="V58" s="24">
        <f t="shared" si="94"/>
        <v>15</v>
      </c>
      <c r="W58" s="24">
        <f t="shared" si="60"/>
        <v>0</v>
      </c>
      <c r="X58" s="50">
        <f t="shared" si="79"/>
        <v>5</v>
      </c>
      <c r="Y58" s="50">
        <f t="shared" si="80"/>
        <v>5</v>
      </c>
      <c r="Z58" s="50">
        <f t="shared" si="81"/>
        <v>5</v>
      </c>
      <c r="AA58" s="50">
        <f t="shared" si="82"/>
        <v>5</v>
      </c>
      <c r="AB58" s="50">
        <f t="shared" si="83"/>
        <v>5</v>
      </c>
      <c r="AD58" s="24" t="s">
        <v>1584</v>
      </c>
      <c r="AE58" s="24">
        <f>'VIP升级|VIPUp'!$B$12-B56</f>
        <v>5000</v>
      </c>
      <c r="AF58" s="24">
        <f t="shared" ref="AF58:AF65" si="96">AF57+ROUNDDOWN(AE$58/10,0)</f>
        <v>6000</v>
      </c>
      <c r="AG58" s="24">
        <f t="shared" si="21"/>
        <v>6000</v>
      </c>
      <c r="AJ58" s="49"/>
      <c r="AK58" s="49">
        <v>2200000</v>
      </c>
      <c r="AL58" s="19"/>
    </row>
    <row r="59" spans="1:38" x14ac:dyDescent="0.35">
      <c r="A59" s="24">
        <f t="shared" si="30"/>
        <v>63</v>
      </c>
      <c r="B59" s="24">
        <f t="shared" si="12"/>
        <v>6500</v>
      </c>
      <c r="C59" s="2">
        <f t="shared" si="95"/>
        <v>1406</v>
      </c>
      <c r="D59" s="2">
        <v>0</v>
      </c>
      <c r="E59" s="59">
        <f t="shared" si="90"/>
        <v>2500000</v>
      </c>
      <c r="F59" s="24">
        <f t="shared" si="78"/>
        <v>2</v>
      </c>
      <c r="G59" s="24">
        <f t="shared" si="66"/>
        <v>24</v>
      </c>
      <c r="H59" s="24">
        <f t="shared" si="67"/>
        <v>24</v>
      </c>
      <c r="I59" s="24">
        <f t="shared" si="68"/>
        <v>24</v>
      </c>
      <c r="J59" s="24">
        <f t="shared" si="74"/>
        <v>600</v>
      </c>
      <c r="K59" s="24">
        <f t="shared" si="75"/>
        <v>600</v>
      </c>
      <c r="L59" s="24">
        <f t="shared" si="72"/>
        <v>60</v>
      </c>
      <c r="M59" s="24">
        <f t="shared" si="77"/>
        <v>280</v>
      </c>
      <c r="N59" s="24">
        <f t="shared" si="84"/>
        <v>5</v>
      </c>
      <c r="O59" s="24">
        <f t="shared" si="85"/>
        <v>0</v>
      </c>
      <c r="P59" s="24">
        <f t="shared" si="86"/>
        <v>0</v>
      </c>
      <c r="Q59" s="24">
        <f t="shared" si="87"/>
        <v>0</v>
      </c>
      <c r="R59" s="24">
        <f t="shared" si="76"/>
        <v>200000</v>
      </c>
      <c r="S59" s="24">
        <f t="shared" si="88"/>
        <v>0</v>
      </c>
      <c r="T59" s="24">
        <f t="shared" si="58"/>
        <v>0</v>
      </c>
      <c r="U59" s="24">
        <f t="shared" si="91"/>
        <v>100</v>
      </c>
      <c r="V59" s="24">
        <f t="shared" si="94"/>
        <v>15</v>
      </c>
      <c r="W59" s="24">
        <f t="shared" si="60"/>
        <v>0</v>
      </c>
      <c r="X59" s="50">
        <f t="shared" si="79"/>
        <v>5</v>
      </c>
      <c r="Y59" s="50">
        <f t="shared" si="80"/>
        <v>5</v>
      </c>
      <c r="Z59" s="50">
        <f t="shared" si="81"/>
        <v>5</v>
      </c>
      <c r="AA59" s="50">
        <f t="shared" si="82"/>
        <v>5</v>
      </c>
      <c r="AB59" s="50">
        <f t="shared" si="83"/>
        <v>5</v>
      </c>
      <c r="AF59" s="24">
        <f t="shared" si="96"/>
        <v>6500</v>
      </c>
      <c r="AG59" s="24">
        <f t="shared" si="21"/>
        <v>6500</v>
      </c>
      <c r="AJ59" s="49"/>
      <c r="AK59" s="49">
        <v>2500000</v>
      </c>
      <c r="AL59" s="19"/>
    </row>
    <row r="60" spans="1:38" x14ac:dyDescent="0.35">
      <c r="A60" s="24">
        <f t="shared" si="30"/>
        <v>64</v>
      </c>
      <c r="B60" s="24">
        <f t="shared" si="12"/>
        <v>7000</v>
      </c>
      <c r="C60" s="2">
        <f t="shared" si="95"/>
        <v>1406</v>
      </c>
      <c r="D60" s="2">
        <v>0</v>
      </c>
      <c r="E60" s="59">
        <f t="shared" si="90"/>
        <v>2500000</v>
      </c>
      <c r="F60" s="24">
        <f t="shared" si="78"/>
        <v>2</v>
      </c>
      <c r="G60" s="24">
        <f t="shared" si="66"/>
        <v>24</v>
      </c>
      <c r="H60" s="24">
        <f t="shared" si="67"/>
        <v>24</v>
      </c>
      <c r="I60" s="24">
        <f t="shared" si="68"/>
        <v>24</v>
      </c>
      <c r="J60" s="24">
        <f t="shared" si="74"/>
        <v>600</v>
      </c>
      <c r="K60" s="24">
        <f t="shared" si="75"/>
        <v>600</v>
      </c>
      <c r="L60" s="24">
        <f t="shared" si="72"/>
        <v>60</v>
      </c>
      <c r="M60" s="24">
        <f t="shared" si="77"/>
        <v>280</v>
      </c>
      <c r="N60" s="24">
        <f t="shared" si="84"/>
        <v>5</v>
      </c>
      <c r="O60" s="24">
        <f t="shared" si="85"/>
        <v>0</v>
      </c>
      <c r="P60" s="24">
        <f t="shared" si="86"/>
        <v>0</v>
      </c>
      <c r="Q60" s="24">
        <f t="shared" si="87"/>
        <v>0</v>
      </c>
      <c r="R60" s="24">
        <f t="shared" si="76"/>
        <v>200000</v>
      </c>
      <c r="S60" s="24">
        <f t="shared" si="88"/>
        <v>0</v>
      </c>
      <c r="T60" s="24">
        <f t="shared" si="58"/>
        <v>0</v>
      </c>
      <c r="U60" s="24">
        <f t="shared" si="91"/>
        <v>100</v>
      </c>
      <c r="V60" s="24">
        <f t="shared" si="94"/>
        <v>15</v>
      </c>
      <c r="W60" s="24">
        <f t="shared" si="60"/>
        <v>0</v>
      </c>
      <c r="X60" s="50">
        <f t="shared" si="79"/>
        <v>5</v>
      </c>
      <c r="Y60" s="50">
        <f t="shared" si="80"/>
        <v>5</v>
      </c>
      <c r="Z60" s="50">
        <f t="shared" si="81"/>
        <v>5</v>
      </c>
      <c r="AA60" s="50">
        <f t="shared" si="82"/>
        <v>5</v>
      </c>
      <c r="AB60" s="50">
        <f t="shared" si="83"/>
        <v>5</v>
      </c>
      <c r="AF60" s="24">
        <f t="shared" si="96"/>
        <v>7000</v>
      </c>
      <c r="AG60" s="24">
        <f t="shared" si="21"/>
        <v>7000</v>
      </c>
      <c r="AJ60" s="49"/>
      <c r="AK60" s="49">
        <v>2500000</v>
      </c>
      <c r="AL60" s="19"/>
    </row>
    <row r="61" spans="1:38" x14ac:dyDescent="0.35">
      <c r="A61" s="24">
        <f t="shared" si="30"/>
        <v>65</v>
      </c>
      <c r="B61" s="24">
        <f t="shared" si="12"/>
        <v>7500</v>
      </c>
      <c r="C61" s="2">
        <f t="shared" si="95"/>
        <v>1406</v>
      </c>
      <c r="D61" s="2">
        <v>0</v>
      </c>
      <c r="E61" s="59">
        <f t="shared" si="90"/>
        <v>3000000</v>
      </c>
      <c r="F61" s="24">
        <f t="shared" si="78"/>
        <v>2</v>
      </c>
      <c r="G61" s="24">
        <f t="shared" si="66"/>
        <v>24</v>
      </c>
      <c r="H61" s="24">
        <f t="shared" si="67"/>
        <v>24</v>
      </c>
      <c r="I61" s="24">
        <f t="shared" si="68"/>
        <v>24</v>
      </c>
      <c r="J61" s="24">
        <f t="shared" si="74"/>
        <v>600</v>
      </c>
      <c r="K61" s="24">
        <f t="shared" si="75"/>
        <v>600</v>
      </c>
      <c r="L61" s="24">
        <f t="shared" si="72"/>
        <v>60</v>
      </c>
      <c r="M61" s="24">
        <f t="shared" si="77"/>
        <v>280</v>
      </c>
      <c r="N61" s="24">
        <f t="shared" si="84"/>
        <v>5</v>
      </c>
      <c r="O61" s="24">
        <f t="shared" si="85"/>
        <v>0</v>
      </c>
      <c r="P61" s="24">
        <f t="shared" si="86"/>
        <v>0</v>
      </c>
      <c r="Q61" s="24">
        <f t="shared" si="87"/>
        <v>0</v>
      </c>
      <c r="R61" s="24">
        <f t="shared" si="76"/>
        <v>200000</v>
      </c>
      <c r="S61" s="24">
        <f t="shared" si="88"/>
        <v>0</v>
      </c>
      <c r="T61" s="24">
        <f t="shared" si="58"/>
        <v>0</v>
      </c>
      <c r="U61" s="24">
        <f t="shared" si="91"/>
        <v>100</v>
      </c>
      <c r="V61" s="24">
        <f t="shared" si="94"/>
        <v>15</v>
      </c>
      <c r="W61" s="24">
        <f t="shared" si="60"/>
        <v>0</v>
      </c>
      <c r="X61" s="50">
        <f t="shared" si="79"/>
        <v>5</v>
      </c>
      <c r="Y61" s="50">
        <f t="shared" si="80"/>
        <v>5</v>
      </c>
      <c r="Z61" s="50">
        <f t="shared" si="81"/>
        <v>5</v>
      </c>
      <c r="AA61" s="50">
        <f t="shared" si="82"/>
        <v>5</v>
      </c>
      <c r="AB61" s="50">
        <f t="shared" si="83"/>
        <v>5</v>
      </c>
      <c r="AF61" s="24">
        <f t="shared" si="96"/>
        <v>7500</v>
      </c>
      <c r="AG61" s="24">
        <f t="shared" si="21"/>
        <v>7500</v>
      </c>
      <c r="AJ61" s="49"/>
      <c r="AK61" s="49">
        <v>3000000</v>
      </c>
      <c r="AL61" s="19"/>
    </row>
    <row r="62" spans="1:38" x14ac:dyDescent="0.35">
      <c r="A62" s="24">
        <f t="shared" si="30"/>
        <v>66</v>
      </c>
      <c r="B62" s="24">
        <f t="shared" si="12"/>
        <v>8000</v>
      </c>
      <c r="C62" s="2">
        <f t="shared" si="95"/>
        <v>1406</v>
      </c>
      <c r="D62" s="2">
        <v>0</v>
      </c>
      <c r="E62" s="59">
        <f t="shared" si="90"/>
        <v>4000000</v>
      </c>
      <c r="F62" s="24">
        <f t="shared" si="78"/>
        <v>2</v>
      </c>
      <c r="G62" s="24">
        <f t="shared" si="66"/>
        <v>24</v>
      </c>
      <c r="H62" s="24">
        <f t="shared" si="67"/>
        <v>24</v>
      </c>
      <c r="I62" s="24">
        <f t="shared" si="68"/>
        <v>24</v>
      </c>
      <c r="J62" s="24">
        <f t="shared" si="74"/>
        <v>600</v>
      </c>
      <c r="K62" s="24">
        <f t="shared" si="75"/>
        <v>600</v>
      </c>
      <c r="L62" s="24">
        <f t="shared" si="72"/>
        <v>60</v>
      </c>
      <c r="M62" s="24">
        <f t="shared" si="77"/>
        <v>280</v>
      </c>
      <c r="N62" s="24">
        <f t="shared" si="84"/>
        <v>5</v>
      </c>
      <c r="O62" s="24">
        <f t="shared" si="85"/>
        <v>0</v>
      </c>
      <c r="P62" s="24">
        <f t="shared" si="86"/>
        <v>0</v>
      </c>
      <c r="Q62" s="24">
        <f t="shared" si="87"/>
        <v>0</v>
      </c>
      <c r="R62" s="24">
        <f t="shared" si="76"/>
        <v>200000</v>
      </c>
      <c r="S62" s="24">
        <f t="shared" si="88"/>
        <v>0</v>
      </c>
      <c r="T62" s="24">
        <f t="shared" ref="T62:T105" si="97">T61</f>
        <v>0</v>
      </c>
      <c r="U62" s="24">
        <f t="shared" si="91"/>
        <v>100</v>
      </c>
      <c r="V62" s="24">
        <f t="shared" si="94"/>
        <v>15</v>
      </c>
      <c r="W62" s="24">
        <f t="shared" si="60"/>
        <v>0</v>
      </c>
      <c r="X62" s="50">
        <f t="shared" si="79"/>
        <v>5</v>
      </c>
      <c r="Y62" s="50">
        <f t="shared" si="80"/>
        <v>5</v>
      </c>
      <c r="Z62" s="50">
        <f t="shared" si="81"/>
        <v>5</v>
      </c>
      <c r="AA62" s="50">
        <f t="shared" si="82"/>
        <v>5</v>
      </c>
      <c r="AB62" s="50">
        <f t="shared" si="83"/>
        <v>5</v>
      </c>
      <c r="AF62" s="24">
        <f t="shared" si="96"/>
        <v>8000</v>
      </c>
      <c r="AG62" s="24">
        <f t="shared" si="21"/>
        <v>8000</v>
      </c>
      <c r="AJ62" s="49"/>
      <c r="AK62" s="49">
        <v>4000000</v>
      </c>
      <c r="AL62" s="19"/>
    </row>
    <row r="63" spans="1:38" x14ac:dyDescent="0.35">
      <c r="A63" s="24">
        <f t="shared" si="30"/>
        <v>67</v>
      </c>
      <c r="B63" s="24">
        <f t="shared" si="12"/>
        <v>8500</v>
      </c>
      <c r="C63" s="2">
        <f t="shared" si="95"/>
        <v>1406</v>
      </c>
      <c r="D63" s="2">
        <v>0</v>
      </c>
      <c r="E63" s="59">
        <f t="shared" si="90"/>
        <v>5000000</v>
      </c>
      <c r="F63" s="24">
        <f t="shared" si="78"/>
        <v>2</v>
      </c>
      <c r="G63" s="24">
        <f t="shared" ref="G63:G105" si="98">G62</f>
        <v>24</v>
      </c>
      <c r="H63" s="24">
        <f t="shared" ref="H63:H105" si="99">H62</f>
        <v>24</v>
      </c>
      <c r="I63" s="24">
        <f t="shared" ref="I63:I105" si="100">I62</f>
        <v>24</v>
      </c>
      <c r="J63" s="24">
        <f t="shared" si="74"/>
        <v>600</v>
      </c>
      <c r="K63" s="24">
        <f t="shared" si="75"/>
        <v>600</v>
      </c>
      <c r="L63" s="24">
        <f t="shared" si="72"/>
        <v>60</v>
      </c>
      <c r="M63" s="24">
        <f t="shared" si="77"/>
        <v>280</v>
      </c>
      <c r="N63" s="24">
        <f t="shared" si="84"/>
        <v>5</v>
      </c>
      <c r="O63" s="24">
        <f t="shared" si="85"/>
        <v>0</v>
      </c>
      <c r="P63" s="24">
        <f t="shared" si="86"/>
        <v>0</v>
      </c>
      <c r="Q63" s="24">
        <f t="shared" si="87"/>
        <v>0</v>
      </c>
      <c r="R63" s="24">
        <f t="shared" si="76"/>
        <v>200000</v>
      </c>
      <c r="S63" s="24">
        <f t="shared" si="88"/>
        <v>0</v>
      </c>
      <c r="T63" s="24">
        <f t="shared" si="97"/>
        <v>0</v>
      </c>
      <c r="U63" s="24">
        <f t="shared" si="91"/>
        <v>100</v>
      </c>
      <c r="V63" s="24">
        <f t="shared" si="94"/>
        <v>15</v>
      </c>
      <c r="W63" s="24">
        <f t="shared" ref="W63:W105" si="101">W62</f>
        <v>0</v>
      </c>
      <c r="X63" s="50">
        <f t="shared" si="79"/>
        <v>5</v>
      </c>
      <c r="Y63" s="50">
        <f t="shared" si="80"/>
        <v>5</v>
      </c>
      <c r="Z63" s="50">
        <f t="shared" si="81"/>
        <v>5</v>
      </c>
      <c r="AA63" s="50">
        <f t="shared" si="82"/>
        <v>5</v>
      </c>
      <c r="AB63" s="50">
        <f t="shared" si="83"/>
        <v>5</v>
      </c>
      <c r="AF63" s="24">
        <f t="shared" si="96"/>
        <v>8500</v>
      </c>
      <c r="AG63" s="24">
        <f t="shared" si="21"/>
        <v>8500</v>
      </c>
      <c r="AJ63" s="49"/>
      <c r="AK63" s="49">
        <v>5000000</v>
      </c>
      <c r="AL63" s="19"/>
    </row>
    <row r="64" spans="1:38" x14ac:dyDescent="0.35">
      <c r="A64" s="24">
        <f t="shared" si="30"/>
        <v>68</v>
      </c>
      <c r="B64" s="24">
        <f t="shared" si="12"/>
        <v>9000</v>
      </c>
      <c r="C64" s="2">
        <f t="shared" si="95"/>
        <v>1406</v>
      </c>
      <c r="D64" s="2">
        <v>0</v>
      </c>
      <c r="E64" s="59">
        <f t="shared" si="90"/>
        <v>6000000</v>
      </c>
      <c r="F64" s="24">
        <f t="shared" si="78"/>
        <v>2</v>
      </c>
      <c r="G64" s="24">
        <f t="shared" si="98"/>
        <v>24</v>
      </c>
      <c r="H64" s="24">
        <f t="shared" si="99"/>
        <v>24</v>
      </c>
      <c r="I64" s="24">
        <f t="shared" si="100"/>
        <v>24</v>
      </c>
      <c r="J64" s="24">
        <f t="shared" si="74"/>
        <v>600</v>
      </c>
      <c r="K64" s="24">
        <f t="shared" si="75"/>
        <v>600</v>
      </c>
      <c r="L64" s="24">
        <f t="shared" si="72"/>
        <v>60</v>
      </c>
      <c r="M64" s="24">
        <f t="shared" si="77"/>
        <v>280</v>
      </c>
      <c r="N64" s="24">
        <f t="shared" si="84"/>
        <v>5</v>
      </c>
      <c r="O64" s="24">
        <f t="shared" si="85"/>
        <v>0</v>
      </c>
      <c r="P64" s="24">
        <f t="shared" si="86"/>
        <v>0</v>
      </c>
      <c r="Q64" s="24">
        <f t="shared" si="87"/>
        <v>0</v>
      </c>
      <c r="R64" s="24">
        <f t="shared" si="76"/>
        <v>200000</v>
      </c>
      <c r="S64" s="24">
        <f t="shared" si="88"/>
        <v>0</v>
      </c>
      <c r="T64" s="24">
        <f t="shared" si="97"/>
        <v>0</v>
      </c>
      <c r="U64" s="24">
        <f t="shared" si="91"/>
        <v>100</v>
      </c>
      <c r="V64" s="24">
        <f t="shared" si="94"/>
        <v>15</v>
      </c>
      <c r="W64" s="24">
        <f t="shared" si="101"/>
        <v>0</v>
      </c>
      <c r="X64" s="50">
        <f t="shared" si="79"/>
        <v>5</v>
      </c>
      <c r="Y64" s="50">
        <f t="shared" si="80"/>
        <v>5</v>
      </c>
      <c r="Z64" s="50">
        <f t="shared" si="81"/>
        <v>5</v>
      </c>
      <c r="AA64" s="50">
        <f t="shared" si="82"/>
        <v>5</v>
      </c>
      <c r="AB64" s="50">
        <f t="shared" si="83"/>
        <v>5</v>
      </c>
      <c r="AF64" s="24">
        <f t="shared" si="96"/>
        <v>9000</v>
      </c>
      <c r="AG64" s="24">
        <f t="shared" si="21"/>
        <v>9000</v>
      </c>
      <c r="AJ64" s="49"/>
      <c r="AK64" s="49">
        <v>6000000</v>
      </c>
      <c r="AL64" s="19"/>
    </row>
    <row r="65" spans="1:38" x14ac:dyDescent="0.35">
      <c r="A65" s="24">
        <f t="shared" si="30"/>
        <v>69</v>
      </c>
      <c r="B65" s="24">
        <f t="shared" si="12"/>
        <v>9500</v>
      </c>
      <c r="C65" s="2">
        <f t="shared" si="95"/>
        <v>1406</v>
      </c>
      <c r="D65" s="2">
        <v>0</v>
      </c>
      <c r="E65" s="60">
        <f t="shared" si="90"/>
        <v>8000000</v>
      </c>
      <c r="F65" s="24">
        <f t="shared" si="78"/>
        <v>2</v>
      </c>
      <c r="G65" s="24">
        <f t="shared" si="98"/>
        <v>24</v>
      </c>
      <c r="H65" s="24">
        <f t="shared" si="99"/>
        <v>24</v>
      </c>
      <c r="I65" s="24">
        <f t="shared" si="100"/>
        <v>24</v>
      </c>
      <c r="J65" s="24">
        <f t="shared" si="74"/>
        <v>600</v>
      </c>
      <c r="K65" s="24">
        <f t="shared" si="75"/>
        <v>600</v>
      </c>
      <c r="L65" s="24">
        <f t="shared" si="72"/>
        <v>60</v>
      </c>
      <c r="M65" s="24">
        <f t="shared" si="77"/>
        <v>280</v>
      </c>
      <c r="N65" s="24">
        <f t="shared" si="84"/>
        <v>5</v>
      </c>
      <c r="O65" s="24">
        <f t="shared" si="85"/>
        <v>0</v>
      </c>
      <c r="P65" s="24">
        <f t="shared" si="86"/>
        <v>0</v>
      </c>
      <c r="Q65" s="24">
        <f t="shared" si="87"/>
        <v>0</v>
      </c>
      <c r="R65" s="24">
        <f t="shared" si="76"/>
        <v>200000</v>
      </c>
      <c r="S65" s="24">
        <f t="shared" si="88"/>
        <v>0</v>
      </c>
      <c r="T65" s="24">
        <f t="shared" si="97"/>
        <v>0</v>
      </c>
      <c r="U65" s="24">
        <f t="shared" si="91"/>
        <v>100</v>
      </c>
      <c r="V65" s="24">
        <f t="shared" si="94"/>
        <v>15</v>
      </c>
      <c r="W65" s="24">
        <f t="shared" si="101"/>
        <v>0</v>
      </c>
      <c r="X65" s="50">
        <f t="shared" si="79"/>
        <v>5</v>
      </c>
      <c r="Y65" s="50">
        <f t="shared" si="80"/>
        <v>5</v>
      </c>
      <c r="Z65" s="50">
        <f t="shared" si="81"/>
        <v>5</v>
      </c>
      <c r="AA65" s="50">
        <f t="shared" si="82"/>
        <v>5</v>
      </c>
      <c r="AB65" s="50">
        <f t="shared" si="83"/>
        <v>5</v>
      </c>
      <c r="AF65" s="24">
        <f t="shared" si="96"/>
        <v>9500</v>
      </c>
      <c r="AG65" s="24">
        <f t="shared" si="21"/>
        <v>9500</v>
      </c>
      <c r="AJ65" s="49"/>
      <c r="AK65" s="49">
        <v>8000000</v>
      </c>
      <c r="AL65" s="19"/>
    </row>
    <row r="66" spans="1:38" s="49" customFormat="1" x14ac:dyDescent="0.35">
      <c r="A66" s="55">
        <f t="shared" si="30"/>
        <v>70</v>
      </c>
      <c r="B66" s="56">
        <f>'VIP升级|VIPUp'!$B$12</f>
        <v>10000</v>
      </c>
      <c r="C66" s="57">
        <f>C67</f>
        <v>1407</v>
      </c>
      <c r="D66" s="57" t="str">
        <f>'VIP升级|VIPUp'!Q12</f>
        <v>1|2|25000000</v>
      </c>
      <c r="E66" s="57">
        <f t="shared" si="90"/>
        <v>10000000</v>
      </c>
      <c r="F66" s="49">
        <f t="shared" si="78"/>
        <v>2</v>
      </c>
      <c r="G66" s="49">
        <f t="shared" si="98"/>
        <v>24</v>
      </c>
      <c r="H66" s="49">
        <f t="shared" si="99"/>
        <v>24</v>
      </c>
      <c r="I66" s="49">
        <f t="shared" si="100"/>
        <v>24</v>
      </c>
      <c r="J66" s="49">
        <f t="shared" si="74"/>
        <v>600</v>
      </c>
      <c r="K66" s="49">
        <f t="shared" si="75"/>
        <v>600</v>
      </c>
      <c r="L66" s="49">
        <f t="shared" si="72"/>
        <v>60</v>
      </c>
      <c r="M66" s="49">
        <f t="shared" si="77"/>
        <v>280</v>
      </c>
      <c r="N66" s="49">
        <f t="shared" si="84"/>
        <v>5</v>
      </c>
      <c r="O66" s="49">
        <v>0</v>
      </c>
      <c r="P66" s="49">
        <f t="shared" si="86"/>
        <v>0</v>
      </c>
      <c r="Q66" s="49">
        <f t="shared" si="87"/>
        <v>0</v>
      </c>
      <c r="R66" s="49">
        <f t="shared" si="76"/>
        <v>200000</v>
      </c>
      <c r="S66" s="49">
        <f t="shared" si="88"/>
        <v>0</v>
      </c>
      <c r="T66" s="49">
        <f t="shared" si="97"/>
        <v>0</v>
      </c>
      <c r="U66" s="49">
        <f t="shared" si="91"/>
        <v>100</v>
      </c>
      <c r="V66" s="49">
        <f t="shared" si="94"/>
        <v>15</v>
      </c>
      <c r="W66" s="49">
        <f t="shared" si="101"/>
        <v>0</v>
      </c>
      <c r="X66" s="65">
        <f t="shared" si="79"/>
        <v>5</v>
      </c>
      <c r="Y66" s="65">
        <f t="shared" si="80"/>
        <v>5</v>
      </c>
      <c r="Z66" s="65">
        <f t="shared" si="81"/>
        <v>5</v>
      </c>
      <c r="AA66" s="65">
        <f t="shared" si="82"/>
        <v>5</v>
      </c>
      <c r="AB66" s="65">
        <f t="shared" si="83"/>
        <v>5</v>
      </c>
      <c r="AJ66" s="49">
        <v>70</v>
      </c>
      <c r="AK66" s="49">
        <v>10000000</v>
      </c>
      <c r="AL66" s="57">
        <f>'VIP升级|VIPUp'!W12</f>
        <v>10000000</v>
      </c>
    </row>
    <row r="67" spans="1:38" ht="16.2" x14ac:dyDescent="0.35">
      <c r="A67" s="24">
        <f t="shared" si="30"/>
        <v>71</v>
      </c>
      <c r="B67" s="24">
        <f t="shared" si="12"/>
        <v>11000</v>
      </c>
      <c r="C67" s="2">
        <f t="shared" ref="C67:C75" si="102">C57+1</f>
        <v>1407</v>
      </c>
      <c r="D67" s="2">
        <v>0</v>
      </c>
      <c r="E67" s="58">
        <f t="shared" si="90"/>
        <v>11000000</v>
      </c>
      <c r="F67" s="24">
        <f t="shared" si="78"/>
        <v>2</v>
      </c>
      <c r="G67" s="24">
        <f t="shared" si="98"/>
        <v>24</v>
      </c>
      <c r="H67" s="24">
        <f t="shared" si="99"/>
        <v>24</v>
      </c>
      <c r="I67" s="24">
        <f t="shared" si="100"/>
        <v>24</v>
      </c>
      <c r="J67" s="24">
        <f t="shared" si="74"/>
        <v>600</v>
      </c>
      <c r="K67" s="24">
        <f t="shared" si="75"/>
        <v>600</v>
      </c>
      <c r="L67" s="24">
        <f t="shared" si="72"/>
        <v>60</v>
      </c>
      <c r="M67" s="24">
        <f t="shared" si="77"/>
        <v>280</v>
      </c>
      <c r="N67" s="24">
        <f t="shared" si="84"/>
        <v>5</v>
      </c>
      <c r="O67" s="24">
        <f t="shared" si="85"/>
        <v>0</v>
      </c>
      <c r="P67" s="24">
        <f t="shared" si="86"/>
        <v>0</v>
      </c>
      <c r="Q67" s="24">
        <f t="shared" si="87"/>
        <v>0</v>
      </c>
      <c r="R67" s="24">
        <f t="shared" si="76"/>
        <v>200000</v>
      </c>
      <c r="S67" s="24">
        <f t="shared" si="88"/>
        <v>0</v>
      </c>
      <c r="T67" s="24">
        <f t="shared" si="97"/>
        <v>0</v>
      </c>
      <c r="U67" s="24">
        <f t="shared" si="91"/>
        <v>100</v>
      </c>
      <c r="V67" s="24">
        <f t="shared" si="94"/>
        <v>15</v>
      </c>
      <c r="W67" s="24">
        <f t="shared" si="101"/>
        <v>0</v>
      </c>
      <c r="X67" s="50">
        <f t="shared" si="79"/>
        <v>5</v>
      </c>
      <c r="Y67" s="50">
        <f t="shared" si="80"/>
        <v>5</v>
      </c>
      <c r="Z67" s="50">
        <f t="shared" si="81"/>
        <v>5</v>
      </c>
      <c r="AA67" s="50">
        <f t="shared" si="82"/>
        <v>5</v>
      </c>
      <c r="AB67" s="50">
        <f t="shared" si="83"/>
        <v>5</v>
      </c>
      <c r="AD67" s="24" t="s">
        <v>1591</v>
      </c>
      <c r="AF67" s="24">
        <f>B66+ROUNDDOWN(AE$68/10,0)</f>
        <v>11000</v>
      </c>
      <c r="AG67" s="24">
        <f t="shared" si="21"/>
        <v>11000</v>
      </c>
      <c r="AJ67" s="49"/>
      <c r="AK67" s="24">
        <v>11000000</v>
      </c>
      <c r="AL67" s="71"/>
    </row>
    <row r="68" spans="1:38" x14ac:dyDescent="0.35">
      <c r="A68" s="24">
        <f t="shared" si="30"/>
        <v>72</v>
      </c>
      <c r="B68" s="24">
        <f t="shared" si="12"/>
        <v>12000</v>
      </c>
      <c r="C68" s="2">
        <f t="shared" si="102"/>
        <v>1407</v>
      </c>
      <c r="D68" s="2">
        <v>0</v>
      </c>
      <c r="E68" s="59">
        <f t="shared" si="90"/>
        <v>12000000</v>
      </c>
      <c r="F68" s="24">
        <f t="shared" si="78"/>
        <v>2</v>
      </c>
      <c r="G68" s="24">
        <f t="shared" si="98"/>
        <v>24</v>
      </c>
      <c r="H68" s="24">
        <f t="shared" si="99"/>
        <v>24</v>
      </c>
      <c r="I68" s="24">
        <f t="shared" si="100"/>
        <v>24</v>
      </c>
      <c r="J68" s="24">
        <f t="shared" si="74"/>
        <v>600</v>
      </c>
      <c r="K68" s="24">
        <f t="shared" si="75"/>
        <v>600</v>
      </c>
      <c r="L68" s="24">
        <f t="shared" si="72"/>
        <v>60</v>
      </c>
      <c r="M68" s="24">
        <f t="shared" si="77"/>
        <v>280</v>
      </c>
      <c r="N68" s="24">
        <f t="shared" si="84"/>
        <v>5</v>
      </c>
      <c r="O68" s="24">
        <f t="shared" si="85"/>
        <v>0</v>
      </c>
      <c r="P68" s="24">
        <f t="shared" si="86"/>
        <v>0</v>
      </c>
      <c r="Q68" s="24">
        <f t="shared" si="87"/>
        <v>0</v>
      </c>
      <c r="R68" s="24">
        <f t="shared" si="76"/>
        <v>200000</v>
      </c>
      <c r="S68" s="24">
        <f t="shared" si="88"/>
        <v>0</v>
      </c>
      <c r="T68" s="24">
        <f t="shared" si="97"/>
        <v>0</v>
      </c>
      <c r="U68" s="24">
        <f t="shared" si="91"/>
        <v>100</v>
      </c>
      <c r="V68" s="24">
        <f t="shared" si="94"/>
        <v>15</v>
      </c>
      <c r="W68" s="24">
        <f t="shared" si="101"/>
        <v>0</v>
      </c>
      <c r="X68" s="50">
        <f t="shared" si="79"/>
        <v>5</v>
      </c>
      <c r="Y68" s="50">
        <f t="shared" si="80"/>
        <v>5</v>
      </c>
      <c r="Z68" s="50">
        <f t="shared" si="81"/>
        <v>5</v>
      </c>
      <c r="AA68" s="50">
        <f t="shared" si="82"/>
        <v>5</v>
      </c>
      <c r="AB68" s="50">
        <f t="shared" si="83"/>
        <v>5</v>
      </c>
      <c r="AD68" s="24" t="s">
        <v>1584</v>
      </c>
      <c r="AE68" s="24">
        <f>'VIP升级|VIPUp'!$B$13-B66</f>
        <v>10000</v>
      </c>
      <c r="AF68" s="24">
        <f t="shared" ref="AF68:AF75" si="103">AF67+ROUNDDOWN(AE$68/10,0)</f>
        <v>12000</v>
      </c>
      <c r="AG68" s="24">
        <f t="shared" si="21"/>
        <v>12000</v>
      </c>
      <c r="AJ68" s="49"/>
      <c r="AK68" s="49">
        <v>12000000</v>
      </c>
      <c r="AL68" s="19"/>
    </row>
    <row r="69" spans="1:38" x14ac:dyDescent="0.35">
      <c r="A69" s="24">
        <f t="shared" si="30"/>
        <v>73</v>
      </c>
      <c r="B69" s="24">
        <f t="shared" si="12"/>
        <v>13000</v>
      </c>
      <c r="C69" s="2">
        <f t="shared" si="102"/>
        <v>1407</v>
      </c>
      <c r="D69" s="2">
        <v>0</v>
      </c>
      <c r="E69" s="59">
        <f t="shared" si="90"/>
        <v>13000000</v>
      </c>
      <c r="F69" s="24">
        <f t="shared" si="78"/>
        <v>2</v>
      </c>
      <c r="G69" s="24">
        <f t="shared" si="98"/>
        <v>24</v>
      </c>
      <c r="H69" s="24">
        <f t="shared" si="99"/>
        <v>24</v>
      </c>
      <c r="I69" s="24">
        <f t="shared" si="100"/>
        <v>24</v>
      </c>
      <c r="J69" s="24">
        <f t="shared" si="74"/>
        <v>600</v>
      </c>
      <c r="K69" s="24">
        <f t="shared" si="75"/>
        <v>600</v>
      </c>
      <c r="L69" s="24">
        <f t="shared" si="72"/>
        <v>60</v>
      </c>
      <c r="M69" s="24">
        <f t="shared" si="77"/>
        <v>280</v>
      </c>
      <c r="N69" s="24">
        <f t="shared" si="84"/>
        <v>5</v>
      </c>
      <c r="O69" s="24">
        <f t="shared" si="85"/>
        <v>0</v>
      </c>
      <c r="P69" s="24">
        <f t="shared" si="86"/>
        <v>0</v>
      </c>
      <c r="Q69" s="24">
        <f t="shared" si="87"/>
        <v>0</v>
      </c>
      <c r="R69" s="24">
        <f t="shared" si="76"/>
        <v>200000</v>
      </c>
      <c r="S69" s="24">
        <f t="shared" si="88"/>
        <v>0</v>
      </c>
      <c r="T69" s="24">
        <f t="shared" si="97"/>
        <v>0</v>
      </c>
      <c r="U69" s="24">
        <f t="shared" si="91"/>
        <v>100</v>
      </c>
      <c r="V69" s="24">
        <f t="shared" si="94"/>
        <v>15</v>
      </c>
      <c r="W69" s="24">
        <f t="shared" si="101"/>
        <v>0</v>
      </c>
      <c r="X69" s="50">
        <f t="shared" si="79"/>
        <v>5</v>
      </c>
      <c r="Y69" s="50">
        <f t="shared" si="80"/>
        <v>5</v>
      </c>
      <c r="Z69" s="50">
        <f t="shared" si="81"/>
        <v>5</v>
      </c>
      <c r="AA69" s="50">
        <f t="shared" si="82"/>
        <v>5</v>
      </c>
      <c r="AB69" s="50">
        <f t="shared" si="83"/>
        <v>5</v>
      </c>
      <c r="AF69" s="24">
        <f t="shared" si="103"/>
        <v>13000</v>
      </c>
      <c r="AG69" s="24">
        <f t="shared" si="21"/>
        <v>13000</v>
      </c>
      <c r="AJ69" s="49"/>
      <c r="AK69" s="24">
        <v>13000000</v>
      </c>
      <c r="AL69" s="19"/>
    </row>
    <row r="70" spans="1:38" x14ac:dyDescent="0.35">
      <c r="A70" s="24">
        <f t="shared" si="30"/>
        <v>74</v>
      </c>
      <c r="B70" s="24">
        <f t="shared" si="12"/>
        <v>14000</v>
      </c>
      <c r="C70" s="2">
        <f t="shared" si="102"/>
        <v>1407</v>
      </c>
      <c r="D70" s="2">
        <v>0</v>
      </c>
      <c r="E70" s="59">
        <f t="shared" si="90"/>
        <v>14000000</v>
      </c>
      <c r="F70" s="24">
        <f t="shared" si="78"/>
        <v>2</v>
      </c>
      <c r="G70" s="24">
        <f t="shared" si="98"/>
        <v>24</v>
      </c>
      <c r="H70" s="24">
        <f t="shared" si="99"/>
        <v>24</v>
      </c>
      <c r="I70" s="24">
        <f t="shared" si="100"/>
        <v>24</v>
      </c>
      <c r="J70" s="24">
        <f t="shared" si="74"/>
        <v>600</v>
      </c>
      <c r="K70" s="24">
        <f t="shared" si="75"/>
        <v>600</v>
      </c>
      <c r="L70" s="24">
        <f t="shared" ref="L70:L105" si="104">L69</f>
        <v>60</v>
      </c>
      <c r="M70" s="24">
        <f t="shared" si="77"/>
        <v>280</v>
      </c>
      <c r="N70" s="24">
        <f t="shared" si="84"/>
        <v>5</v>
      </c>
      <c r="O70" s="24">
        <f t="shared" si="85"/>
        <v>0</v>
      </c>
      <c r="P70" s="24">
        <f t="shared" si="86"/>
        <v>0</v>
      </c>
      <c r="Q70" s="24">
        <f t="shared" si="87"/>
        <v>0</v>
      </c>
      <c r="R70" s="24">
        <f t="shared" si="76"/>
        <v>200000</v>
      </c>
      <c r="S70" s="24">
        <f t="shared" si="88"/>
        <v>0</v>
      </c>
      <c r="T70" s="24">
        <f t="shared" si="97"/>
        <v>0</v>
      </c>
      <c r="U70" s="24">
        <f t="shared" si="91"/>
        <v>100</v>
      </c>
      <c r="V70" s="24">
        <f t="shared" si="94"/>
        <v>15</v>
      </c>
      <c r="W70" s="24">
        <f t="shared" si="101"/>
        <v>0</v>
      </c>
      <c r="X70" s="50">
        <f t="shared" si="79"/>
        <v>5</v>
      </c>
      <c r="Y70" s="50">
        <f t="shared" si="80"/>
        <v>5</v>
      </c>
      <c r="Z70" s="50">
        <f t="shared" si="81"/>
        <v>5</v>
      </c>
      <c r="AA70" s="50">
        <f t="shared" si="82"/>
        <v>5</v>
      </c>
      <c r="AB70" s="50">
        <f t="shared" si="83"/>
        <v>5</v>
      </c>
      <c r="AF70" s="24">
        <f t="shared" si="103"/>
        <v>14000</v>
      </c>
      <c r="AG70" s="24">
        <f t="shared" si="21"/>
        <v>14000</v>
      </c>
      <c r="AJ70" s="49"/>
      <c r="AK70" s="49">
        <v>14000000</v>
      </c>
      <c r="AL70" s="19"/>
    </row>
    <row r="71" spans="1:38" x14ac:dyDescent="0.35">
      <c r="A71" s="24">
        <f t="shared" si="30"/>
        <v>75</v>
      </c>
      <c r="B71" s="24">
        <f t="shared" si="12"/>
        <v>15000</v>
      </c>
      <c r="C71" s="2">
        <f t="shared" si="102"/>
        <v>1407</v>
      </c>
      <c r="D71" s="2">
        <v>0</v>
      </c>
      <c r="E71" s="59">
        <f t="shared" si="90"/>
        <v>15000000</v>
      </c>
      <c r="F71" s="24">
        <f t="shared" si="78"/>
        <v>2</v>
      </c>
      <c r="G71" s="24">
        <f t="shared" si="98"/>
        <v>24</v>
      </c>
      <c r="H71" s="24">
        <f t="shared" si="99"/>
        <v>24</v>
      </c>
      <c r="I71" s="24">
        <f t="shared" si="100"/>
        <v>24</v>
      </c>
      <c r="J71" s="24">
        <f t="shared" si="74"/>
        <v>600</v>
      </c>
      <c r="K71" s="24">
        <f t="shared" si="75"/>
        <v>600</v>
      </c>
      <c r="L71" s="24">
        <f t="shared" si="104"/>
        <v>60</v>
      </c>
      <c r="M71" s="24">
        <f t="shared" si="77"/>
        <v>280</v>
      </c>
      <c r="N71" s="24">
        <f t="shared" si="84"/>
        <v>5</v>
      </c>
      <c r="O71" s="24">
        <f t="shared" si="85"/>
        <v>0</v>
      </c>
      <c r="P71" s="24">
        <f t="shared" si="86"/>
        <v>0</v>
      </c>
      <c r="Q71" s="24">
        <f t="shared" si="87"/>
        <v>0</v>
      </c>
      <c r="R71" s="24">
        <f t="shared" si="76"/>
        <v>200000</v>
      </c>
      <c r="S71" s="24">
        <f t="shared" si="88"/>
        <v>0</v>
      </c>
      <c r="T71" s="24">
        <f t="shared" si="97"/>
        <v>0</v>
      </c>
      <c r="U71" s="24">
        <f t="shared" si="91"/>
        <v>100</v>
      </c>
      <c r="V71" s="24">
        <f t="shared" si="94"/>
        <v>15</v>
      </c>
      <c r="W71" s="24">
        <f t="shared" si="101"/>
        <v>0</v>
      </c>
      <c r="X71" s="50">
        <f t="shared" si="79"/>
        <v>5</v>
      </c>
      <c r="Y71" s="50">
        <f t="shared" si="80"/>
        <v>5</v>
      </c>
      <c r="Z71" s="50">
        <f t="shared" si="81"/>
        <v>5</v>
      </c>
      <c r="AA71" s="50">
        <f t="shared" si="82"/>
        <v>5</v>
      </c>
      <c r="AB71" s="50">
        <f t="shared" si="83"/>
        <v>5</v>
      </c>
      <c r="AF71" s="24">
        <f t="shared" si="103"/>
        <v>15000</v>
      </c>
      <c r="AG71" s="24">
        <f t="shared" si="21"/>
        <v>15000</v>
      </c>
      <c r="AJ71" s="49"/>
      <c r="AK71" s="24">
        <v>15000000</v>
      </c>
      <c r="AL71" s="19"/>
    </row>
    <row r="72" spans="1:38" x14ac:dyDescent="0.35">
      <c r="A72" s="24">
        <f t="shared" si="30"/>
        <v>76</v>
      </c>
      <c r="B72" s="24">
        <f t="shared" si="12"/>
        <v>16000</v>
      </c>
      <c r="C72" s="2">
        <f t="shared" si="102"/>
        <v>1407</v>
      </c>
      <c r="D72" s="2">
        <v>0</v>
      </c>
      <c r="E72" s="59">
        <f t="shared" si="90"/>
        <v>16000000</v>
      </c>
      <c r="F72" s="24">
        <f t="shared" si="78"/>
        <v>2</v>
      </c>
      <c r="G72" s="24">
        <f t="shared" si="98"/>
        <v>24</v>
      </c>
      <c r="H72" s="24">
        <f t="shared" si="99"/>
        <v>24</v>
      </c>
      <c r="I72" s="24">
        <f t="shared" si="100"/>
        <v>24</v>
      </c>
      <c r="J72" s="24">
        <f t="shared" ref="J72:J105" si="105">J71</f>
        <v>600</v>
      </c>
      <c r="K72" s="24">
        <f t="shared" ref="K72:K105" si="106">K71</f>
        <v>600</v>
      </c>
      <c r="L72" s="24">
        <f t="shared" si="104"/>
        <v>60</v>
      </c>
      <c r="M72" s="24">
        <f t="shared" si="77"/>
        <v>280</v>
      </c>
      <c r="N72" s="24">
        <f t="shared" si="84"/>
        <v>5</v>
      </c>
      <c r="O72" s="24">
        <f t="shared" si="85"/>
        <v>0</v>
      </c>
      <c r="P72" s="24">
        <f t="shared" si="86"/>
        <v>0</v>
      </c>
      <c r="Q72" s="24">
        <f t="shared" si="87"/>
        <v>0</v>
      </c>
      <c r="R72" s="24">
        <f t="shared" ref="R72:R105" si="107">R71</f>
        <v>200000</v>
      </c>
      <c r="S72" s="24">
        <f t="shared" si="88"/>
        <v>0</v>
      </c>
      <c r="T72" s="24">
        <f t="shared" si="97"/>
        <v>0</v>
      </c>
      <c r="U72" s="24">
        <f t="shared" si="91"/>
        <v>100</v>
      </c>
      <c r="V72" s="24">
        <f t="shared" si="94"/>
        <v>15</v>
      </c>
      <c r="W72" s="24">
        <f t="shared" si="101"/>
        <v>0</v>
      </c>
      <c r="X72" s="50">
        <f t="shared" si="79"/>
        <v>5</v>
      </c>
      <c r="Y72" s="50">
        <f t="shared" si="80"/>
        <v>5</v>
      </c>
      <c r="Z72" s="50">
        <f t="shared" si="81"/>
        <v>5</v>
      </c>
      <c r="AA72" s="50">
        <f t="shared" si="82"/>
        <v>5</v>
      </c>
      <c r="AB72" s="50">
        <f t="shared" si="83"/>
        <v>5</v>
      </c>
      <c r="AF72" s="24">
        <f t="shared" si="103"/>
        <v>16000</v>
      </c>
      <c r="AG72" s="24">
        <f t="shared" si="21"/>
        <v>16000</v>
      </c>
      <c r="AJ72" s="49"/>
      <c r="AK72" s="49">
        <v>16000000</v>
      </c>
      <c r="AL72" s="19"/>
    </row>
    <row r="73" spans="1:38" x14ac:dyDescent="0.35">
      <c r="A73" s="24">
        <f t="shared" si="30"/>
        <v>77</v>
      </c>
      <c r="B73" s="24">
        <f t="shared" si="12"/>
        <v>17000</v>
      </c>
      <c r="C73" s="2">
        <f t="shared" si="102"/>
        <v>1407</v>
      </c>
      <c r="D73" s="2">
        <v>0</v>
      </c>
      <c r="E73" s="59">
        <f t="shared" si="90"/>
        <v>17000000</v>
      </c>
      <c r="F73" s="24">
        <f t="shared" si="78"/>
        <v>2</v>
      </c>
      <c r="G73" s="24">
        <f t="shared" si="98"/>
        <v>24</v>
      </c>
      <c r="H73" s="24">
        <f t="shared" si="99"/>
        <v>24</v>
      </c>
      <c r="I73" s="24">
        <f t="shared" si="100"/>
        <v>24</v>
      </c>
      <c r="J73" s="24">
        <f t="shared" si="105"/>
        <v>600</v>
      </c>
      <c r="K73" s="24">
        <f t="shared" si="106"/>
        <v>600</v>
      </c>
      <c r="L73" s="24">
        <f t="shared" si="104"/>
        <v>60</v>
      </c>
      <c r="M73" s="24">
        <f t="shared" ref="M73:M105" si="108">M72</f>
        <v>280</v>
      </c>
      <c r="N73" s="24">
        <f t="shared" si="84"/>
        <v>5</v>
      </c>
      <c r="O73" s="24">
        <f t="shared" si="85"/>
        <v>0</v>
      </c>
      <c r="P73" s="24">
        <f t="shared" si="86"/>
        <v>0</v>
      </c>
      <c r="Q73" s="24">
        <f t="shared" si="87"/>
        <v>0</v>
      </c>
      <c r="R73" s="24">
        <f t="shared" si="107"/>
        <v>200000</v>
      </c>
      <c r="S73" s="24">
        <f t="shared" si="88"/>
        <v>0</v>
      </c>
      <c r="T73" s="24">
        <f t="shared" si="97"/>
        <v>0</v>
      </c>
      <c r="U73" s="24">
        <f t="shared" si="91"/>
        <v>100</v>
      </c>
      <c r="V73" s="24">
        <f t="shared" si="94"/>
        <v>15</v>
      </c>
      <c r="W73" s="24">
        <f t="shared" si="101"/>
        <v>0</v>
      </c>
      <c r="X73" s="50">
        <f t="shared" si="79"/>
        <v>5</v>
      </c>
      <c r="Y73" s="50">
        <f t="shared" si="80"/>
        <v>5</v>
      </c>
      <c r="Z73" s="50">
        <f t="shared" si="81"/>
        <v>5</v>
      </c>
      <c r="AA73" s="50">
        <f t="shared" si="82"/>
        <v>5</v>
      </c>
      <c r="AB73" s="50">
        <f t="shared" si="83"/>
        <v>5</v>
      </c>
      <c r="AF73" s="24">
        <f t="shared" si="103"/>
        <v>17000</v>
      </c>
      <c r="AG73" s="24">
        <f t="shared" si="21"/>
        <v>17000</v>
      </c>
      <c r="AJ73" s="49"/>
      <c r="AK73" s="24">
        <v>17000000</v>
      </c>
      <c r="AL73" s="19"/>
    </row>
    <row r="74" spans="1:38" x14ac:dyDescent="0.35">
      <c r="A74" s="24">
        <f t="shared" si="30"/>
        <v>78</v>
      </c>
      <c r="B74" s="24">
        <f t="shared" si="12"/>
        <v>18000</v>
      </c>
      <c r="C74" s="2">
        <f t="shared" si="102"/>
        <v>1407</v>
      </c>
      <c r="D74" s="2">
        <v>0</v>
      </c>
      <c r="E74" s="59">
        <f t="shared" si="90"/>
        <v>18000000</v>
      </c>
      <c r="F74" s="24">
        <f t="shared" si="78"/>
        <v>2</v>
      </c>
      <c r="G74" s="24">
        <f t="shared" si="98"/>
        <v>24</v>
      </c>
      <c r="H74" s="24">
        <f t="shared" si="99"/>
        <v>24</v>
      </c>
      <c r="I74" s="24">
        <f t="shared" si="100"/>
        <v>24</v>
      </c>
      <c r="J74" s="24">
        <f t="shared" si="105"/>
        <v>600</v>
      </c>
      <c r="K74" s="24">
        <f t="shared" si="106"/>
        <v>600</v>
      </c>
      <c r="L74" s="24">
        <f t="shared" si="104"/>
        <v>60</v>
      </c>
      <c r="M74" s="24">
        <f t="shared" si="108"/>
        <v>280</v>
      </c>
      <c r="N74" s="24">
        <f t="shared" si="84"/>
        <v>5</v>
      </c>
      <c r="O74" s="24">
        <f t="shared" si="85"/>
        <v>0</v>
      </c>
      <c r="P74" s="24">
        <f t="shared" si="86"/>
        <v>0</v>
      </c>
      <c r="Q74" s="24">
        <f t="shared" si="87"/>
        <v>0</v>
      </c>
      <c r="R74" s="24">
        <f t="shared" si="107"/>
        <v>200000</v>
      </c>
      <c r="S74" s="24">
        <f t="shared" si="88"/>
        <v>0</v>
      </c>
      <c r="T74" s="24">
        <f t="shared" si="97"/>
        <v>0</v>
      </c>
      <c r="U74" s="24">
        <f t="shared" si="91"/>
        <v>100</v>
      </c>
      <c r="V74" s="24">
        <f t="shared" si="94"/>
        <v>15</v>
      </c>
      <c r="W74" s="24">
        <f t="shared" si="101"/>
        <v>0</v>
      </c>
      <c r="X74" s="50">
        <f t="shared" si="79"/>
        <v>5</v>
      </c>
      <c r="Y74" s="50">
        <f t="shared" si="80"/>
        <v>5</v>
      </c>
      <c r="Z74" s="50">
        <f t="shared" si="81"/>
        <v>5</v>
      </c>
      <c r="AA74" s="50">
        <f t="shared" si="82"/>
        <v>5</v>
      </c>
      <c r="AB74" s="50">
        <f t="shared" si="83"/>
        <v>5</v>
      </c>
      <c r="AF74" s="24">
        <f t="shared" si="103"/>
        <v>18000</v>
      </c>
      <c r="AG74" s="24">
        <f t="shared" si="21"/>
        <v>18000</v>
      </c>
      <c r="AJ74" s="49"/>
      <c r="AK74" s="49">
        <v>18000000</v>
      </c>
      <c r="AL74" s="19"/>
    </row>
    <row r="75" spans="1:38" x14ac:dyDescent="0.35">
      <c r="A75" s="24">
        <f t="shared" si="30"/>
        <v>79</v>
      </c>
      <c r="B75" s="24">
        <f t="shared" si="12"/>
        <v>19000</v>
      </c>
      <c r="C75" s="2">
        <f t="shared" si="102"/>
        <v>1407</v>
      </c>
      <c r="D75" s="2">
        <v>0</v>
      </c>
      <c r="E75" s="60">
        <f t="shared" si="90"/>
        <v>19000000</v>
      </c>
      <c r="F75" s="24">
        <f t="shared" ref="F75:F105" si="109">F74</f>
        <v>2</v>
      </c>
      <c r="G75" s="24">
        <f t="shared" si="98"/>
        <v>24</v>
      </c>
      <c r="H75" s="24">
        <f t="shared" si="99"/>
        <v>24</v>
      </c>
      <c r="I75" s="24">
        <f t="shared" si="100"/>
        <v>24</v>
      </c>
      <c r="J75" s="24">
        <f t="shared" si="105"/>
        <v>600</v>
      </c>
      <c r="K75" s="24">
        <f t="shared" si="106"/>
        <v>600</v>
      </c>
      <c r="L75" s="24">
        <f t="shared" si="104"/>
        <v>60</v>
      </c>
      <c r="M75" s="24">
        <f t="shared" si="108"/>
        <v>280</v>
      </c>
      <c r="N75" s="24">
        <f t="shared" si="84"/>
        <v>5</v>
      </c>
      <c r="O75" s="24">
        <f t="shared" si="85"/>
        <v>0</v>
      </c>
      <c r="P75" s="24">
        <f t="shared" si="86"/>
        <v>0</v>
      </c>
      <c r="Q75" s="24">
        <f t="shared" si="87"/>
        <v>0</v>
      </c>
      <c r="R75" s="24">
        <f t="shared" si="107"/>
        <v>200000</v>
      </c>
      <c r="S75" s="24">
        <f t="shared" si="88"/>
        <v>0</v>
      </c>
      <c r="T75" s="24">
        <f t="shared" si="97"/>
        <v>0</v>
      </c>
      <c r="U75" s="24">
        <f t="shared" si="91"/>
        <v>100</v>
      </c>
      <c r="V75" s="24">
        <f t="shared" si="94"/>
        <v>15</v>
      </c>
      <c r="W75" s="24">
        <f t="shared" si="101"/>
        <v>0</v>
      </c>
      <c r="X75" s="50">
        <f t="shared" si="79"/>
        <v>5</v>
      </c>
      <c r="Y75" s="50">
        <f t="shared" si="80"/>
        <v>5</v>
      </c>
      <c r="Z75" s="50">
        <f t="shared" si="81"/>
        <v>5</v>
      </c>
      <c r="AA75" s="50">
        <f t="shared" si="82"/>
        <v>5</v>
      </c>
      <c r="AB75" s="50">
        <f t="shared" si="83"/>
        <v>5</v>
      </c>
      <c r="AF75" s="24">
        <f t="shared" si="103"/>
        <v>19000</v>
      </c>
      <c r="AG75" s="24">
        <f t="shared" si="21"/>
        <v>19000</v>
      </c>
      <c r="AJ75" s="49"/>
      <c r="AK75" s="24">
        <v>19000000</v>
      </c>
      <c r="AL75" s="19"/>
    </row>
    <row r="76" spans="1:38" s="49" customFormat="1" x14ac:dyDescent="0.35">
      <c r="A76" s="55">
        <f t="shared" si="30"/>
        <v>80</v>
      </c>
      <c r="B76" s="56">
        <f>'VIP升级|VIPUp'!$B$13</f>
        <v>20000</v>
      </c>
      <c r="C76" s="57">
        <f>C77</f>
        <v>1408</v>
      </c>
      <c r="D76" s="57" t="str">
        <f>'VIP升级|VIPUp'!Q13</f>
        <v>1|2|50000000</v>
      </c>
      <c r="E76" s="57">
        <f t="shared" si="90"/>
        <v>20000000</v>
      </c>
      <c r="F76" s="49">
        <f t="shared" si="109"/>
        <v>2</v>
      </c>
      <c r="G76" s="49">
        <f t="shared" si="98"/>
        <v>24</v>
      </c>
      <c r="H76" s="49">
        <f t="shared" si="99"/>
        <v>24</v>
      </c>
      <c r="I76" s="49">
        <f t="shared" si="100"/>
        <v>24</v>
      </c>
      <c r="J76" s="49">
        <f t="shared" si="105"/>
        <v>600</v>
      </c>
      <c r="K76" s="49">
        <f t="shared" si="106"/>
        <v>600</v>
      </c>
      <c r="L76" s="49">
        <f t="shared" si="104"/>
        <v>60</v>
      </c>
      <c r="M76" s="49">
        <f t="shared" si="108"/>
        <v>280</v>
      </c>
      <c r="N76" s="49">
        <f t="shared" si="84"/>
        <v>5</v>
      </c>
      <c r="O76" s="49">
        <f t="shared" si="85"/>
        <v>0</v>
      </c>
      <c r="P76" s="49">
        <f t="shared" si="86"/>
        <v>0</v>
      </c>
      <c r="Q76" s="49">
        <f t="shared" si="87"/>
        <v>0</v>
      </c>
      <c r="R76" s="49">
        <f t="shared" si="107"/>
        <v>200000</v>
      </c>
      <c r="S76" s="49">
        <f t="shared" si="88"/>
        <v>0</v>
      </c>
      <c r="T76" s="49">
        <f t="shared" si="97"/>
        <v>0</v>
      </c>
      <c r="U76" s="49">
        <v>100</v>
      </c>
      <c r="V76" s="49">
        <f t="shared" si="94"/>
        <v>15</v>
      </c>
      <c r="W76" s="49">
        <f t="shared" si="101"/>
        <v>0</v>
      </c>
      <c r="X76" s="65">
        <f t="shared" si="79"/>
        <v>5</v>
      </c>
      <c r="Y76" s="65">
        <f t="shared" si="80"/>
        <v>5</v>
      </c>
      <c r="Z76" s="65">
        <f t="shared" si="81"/>
        <v>5</v>
      </c>
      <c r="AA76" s="65">
        <f t="shared" si="82"/>
        <v>5</v>
      </c>
      <c r="AB76" s="65">
        <f t="shared" si="83"/>
        <v>5</v>
      </c>
      <c r="AJ76" s="49">
        <v>80</v>
      </c>
      <c r="AK76" s="49">
        <v>20000000</v>
      </c>
      <c r="AL76" s="57">
        <f>'VIP升级|VIPUp'!W13</f>
        <v>20000000</v>
      </c>
    </row>
    <row r="77" spans="1:38" ht="16.2" x14ac:dyDescent="0.35">
      <c r="A77" s="24">
        <f t="shared" si="30"/>
        <v>81</v>
      </c>
      <c r="B77" s="24">
        <f t="shared" si="12"/>
        <v>23000</v>
      </c>
      <c r="C77" s="2">
        <f t="shared" ref="C77:C85" si="110">C67+1</f>
        <v>1408</v>
      </c>
      <c r="D77" s="2">
        <v>0</v>
      </c>
      <c r="E77" s="58">
        <f t="shared" si="90"/>
        <v>21000000</v>
      </c>
      <c r="F77" s="24">
        <f t="shared" si="109"/>
        <v>2</v>
      </c>
      <c r="G77" s="24">
        <f t="shared" si="98"/>
        <v>24</v>
      </c>
      <c r="H77" s="24">
        <f t="shared" si="99"/>
        <v>24</v>
      </c>
      <c r="I77" s="24">
        <f t="shared" si="100"/>
        <v>24</v>
      </c>
      <c r="J77" s="24">
        <f t="shared" si="105"/>
        <v>600</v>
      </c>
      <c r="K77" s="24">
        <f t="shared" si="106"/>
        <v>600</v>
      </c>
      <c r="L77" s="24">
        <f t="shared" si="104"/>
        <v>60</v>
      </c>
      <c r="M77" s="24">
        <f t="shared" si="108"/>
        <v>280</v>
      </c>
      <c r="N77" s="24">
        <f t="shared" si="84"/>
        <v>5</v>
      </c>
      <c r="O77" s="24">
        <f t="shared" si="85"/>
        <v>0</v>
      </c>
      <c r="P77" s="24">
        <f t="shared" si="86"/>
        <v>0</v>
      </c>
      <c r="Q77" s="24">
        <f t="shared" si="87"/>
        <v>0</v>
      </c>
      <c r="R77" s="24">
        <f t="shared" si="107"/>
        <v>200000</v>
      </c>
      <c r="S77" s="24">
        <f t="shared" si="88"/>
        <v>0</v>
      </c>
      <c r="T77" s="24">
        <f t="shared" si="97"/>
        <v>0</v>
      </c>
      <c r="U77" s="24">
        <f t="shared" si="91"/>
        <v>100</v>
      </c>
      <c r="V77" s="24">
        <f t="shared" si="94"/>
        <v>15</v>
      </c>
      <c r="W77" s="24">
        <f t="shared" si="101"/>
        <v>0</v>
      </c>
      <c r="X77" s="50">
        <f t="shared" ref="X77:X105" si="111">X76</f>
        <v>5</v>
      </c>
      <c r="Y77" s="50">
        <f t="shared" ref="Y77:Y105" si="112">Y76</f>
        <v>5</v>
      </c>
      <c r="Z77" s="50">
        <f t="shared" ref="Z77:Z105" si="113">Z76</f>
        <v>5</v>
      </c>
      <c r="AA77" s="50">
        <f t="shared" ref="AA77:AA105" si="114">AA76</f>
        <v>5</v>
      </c>
      <c r="AB77" s="50">
        <f t="shared" ref="AB77:AB105" si="115">AB76</f>
        <v>5</v>
      </c>
      <c r="AD77" s="24" t="s">
        <v>1592</v>
      </c>
      <c r="AF77" s="24">
        <f>B76+ROUNDDOWN(AE$78/10,0)</f>
        <v>23000</v>
      </c>
      <c r="AG77" s="24">
        <f t="shared" si="21"/>
        <v>23000</v>
      </c>
      <c r="AJ77" s="49"/>
      <c r="AK77" s="24">
        <v>21000000</v>
      </c>
      <c r="AL77" s="71"/>
    </row>
    <row r="78" spans="1:38" x14ac:dyDescent="0.35">
      <c r="A78" s="24">
        <f t="shared" si="30"/>
        <v>82</v>
      </c>
      <c r="B78" s="24">
        <f t="shared" si="12"/>
        <v>26000</v>
      </c>
      <c r="C78" s="2">
        <f t="shared" si="110"/>
        <v>1408</v>
      </c>
      <c r="D78" s="2">
        <v>0</v>
      </c>
      <c r="E78" s="59">
        <f t="shared" si="90"/>
        <v>23000000</v>
      </c>
      <c r="F78" s="24">
        <f t="shared" si="109"/>
        <v>2</v>
      </c>
      <c r="G78" s="24">
        <f t="shared" si="98"/>
        <v>24</v>
      </c>
      <c r="H78" s="24">
        <f t="shared" si="99"/>
        <v>24</v>
      </c>
      <c r="I78" s="24">
        <f t="shared" si="100"/>
        <v>24</v>
      </c>
      <c r="J78" s="24">
        <f t="shared" si="105"/>
        <v>600</v>
      </c>
      <c r="K78" s="24">
        <f t="shared" si="106"/>
        <v>600</v>
      </c>
      <c r="L78" s="24">
        <f t="shared" si="104"/>
        <v>60</v>
      </c>
      <c r="M78" s="24">
        <f t="shared" si="108"/>
        <v>280</v>
      </c>
      <c r="N78" s="24">
        <f t="shared" ref="N78:N105" si="116">N77</f>
        <v>5</v>
      </c>
      <c r="O78" s="24">
        <f t="shared" ref="O78:O105" si="117">O77</f>
        <v>0</v>
      </c>
      <c r="P78" s="24">
        <f t="shared" ref="P78:P105" si="118">P77</f>
        <v>0</v>
      </c>
      <c r="Q78" s="24">
        <f t="shared" ref="Q78:Q105" si="119">Q77</f>
        <v>0</v>
      </c>
      <c r="R78" s="24">
        <f t="shared" si="107"/>
        <v>200000</v>
      </c>
      <c r="S78" s="24">
        <f t="shared" ref="S78:S105" si="120">S77</f>
        <v>0</v>
      </c>
      <c r="T78" s="24">
        <f t="shared" si="97"/>
        <v>0</v>
      </c>
      <c r="U78" s="24">
        <f t="shared" ref="U78:U95" si="121">U77</f>
        <v>100</v>
      </c>
      <c r="V78" s="24">
        <f t="shared" si="94"/>
        <v>15</v>
      </c>
      <c r="W78" s="24">
        <f t="shared" si="101"/>
        <v>0</v>
      </c>
      <c r="X78" s="50">
        <f t="shared" si="111"/>
        <v>5</v>
      </c>
      <c r="Y78" s="50">
        <f t="shared" si="112"/>
        <v>5</v>
      </c>
      <c r="Z78" s="50">
        <f t="shared" si="113"/>
        <v>5</v>
      </c>
      <c r="AA78" s="50">
        <f t="shared" si="114"/>
        <v>5</v>
      </c>
      <c r="AB78" s="50">
        <f t="shared" si="115"/>
        <v>5</v>
      </c>
      <c r="AD78" s="24" t="s">
        <v>1584</v>
      </c>
      <c r="AE78" s="24">
        <f>'VIP升级|VIPUp'!$B$14-B76</f>
        <v>30000</v>
      </c>
      <c r="AF78" s="24">
        <f t="shared" ref="AF78:AF85" si="122">AF77+ROUNDDOWN(AE$78/10,0)</f>
        <v>26000</v>
      </c>
      <c r="AG78" s="24">
        <f t="shared" si="21"/>
        <v>26000</v>
      </c>
      <c r="AJ78" s="49"/>
      <c r="AK78" s="24">
        <v>23000000</v>
      </c>
      <c r="AL78" s="19"/>
    </row>
    <row r="79" spans="1:38" x14ac:dyDescent="0.35">
      <c r="A79" s="24">
        <f t="shared" si="30"/>
        <v>83</v>
      </c>
      <c r="B79" s="24">
        <f t="shared" ref="B79:B95" si="123">AG79</f>
        <v>29000</v>
      </c>
      <c r="C79" s="2">
        <f t="shared" si="110"/>
        <v>1408</v>
      </c>
      <c r="D79" s="2">
        <v>0</v>
      </c>
      <c r="E79" s="59">
        <f t="shared" ref="E79:E105" si="124">AK79</f>
        <v>25000000</v>
      </c>
      <c r="F79" s="24">
        <f t="shared" si="109"/>
        <v>2</v>
      </c>
      <c r="G79" s="24">
        <f t="shared" si="98"/>
        <v>24</v>
      </c>
      <c r="H79" s="24">
        <f t="shared" si="99"/>
        <v>24</v>
      </c>
      <c r="I79" s="24">
        <f t="shared" si="100"/>
        <v>24</v>
      </c>
      <c r="J79" s="24">
        <f t="shared" si="105"/>
        <v>600</v>
      </c>
      <c r="K79" s="24">
        <f t="shared" si="106"/>
        <v>600</v>
      </c>
      <c r="L79" s="24">
        <f t="shared" si="104"/>
        <v>60</v>
      </c>
      <c r="M79" s="24">
        <f t="shared" si="108"/>
        <v>280</v>
      </c>
      <c r="N79" s="24">
        <f t="shared" si="116"/>
        <v>5</v>
      </c>
      <c r="O79" s="24">
        <f t="shared" si="117"/>
        <v>0</v>
      </c>
      <c r="P79" s="24">
        <f t="shared" si="118"/>
        <v>0</v>
      </c>
      <c r="Q79" s="24">
        <f t="shared" si="119"/>
        <v>0</v>
      </c>
      <c r="R79" s="24">
        <f t="shared" si="107"/>
        <v>200000</v>
      </c>
      <c r="S79" s="24">
        <f t="shared" si="120"/>
        <v>0</v>
      </c>
      <c r="T79" s="24">
        <f t="shared" si="97"/>
        <v>0</v>
      </c>
      <c r="U79" s="24">
        <f t="shared" si="121"/>
        <v>100</v>
      </c>
      <c r="V79" s="24">
        <f t="shared" si="94"/>
        <v>15</v>
      </c>
      <c r="W79" s="24">
        <f t="shared" si="101"/>
        <v>0</v>
      </c>
      <c r="X79" s="50">
        <f t="shared" si="111"/>
        <v>5</v>
      </c>
      <c r="Y79" s="50">
        <f t="shared" si="112"/>
        <v>5</v>
      </c>
      <c r="Z79" s="50">
        <f t="shared" si="113"/>
        <v>5</v>
      </c>
      <c r="AA79" s="50">
        <f t="shared" si="114"/>
        <v>5</v>
      </c>
      <c r="AB79" s="50">
        <f t="shared" si="115"/>
        <v>5</v>
      </c>
      <c r="AF79" s="24">
        <f t="shared" si="122"/>
        <v>29000</v>
      </c>
      <c r="AG79" s="24">
        <f t="shared" ref="AG79:AG95" si="125">AF79</f>
        <v>29000</v>
      </c>
      <c r="AJ79" s="49"/>
      <c r="AK79" s="24">
        <v>25000000</v>
      </c>
      <c r="AL79" s="19"/>
    </row>
    <row r="80" spans="1:38" x14ac:dyDescent="0.35">
      <c r="A80" s="24">
        <f t="shared" si="30"/>
        <v>84</v>
      </c>
      <c r="B80" s="24">
        <f t="shared" si="123"/>
        <v>32000</v>
      </c>
      <c r="C80" s="2">
        <f t="shared" si="110"/>
        <v>1408</v>
      </c>
      <c r="D80" s="2">
        <v>0</v>
      </c>
      <c r="E80" s="59">
        <f t="shared" si="124"/>
        <v>27000000</v>
      </c>
      <c r="F80" s="24">
        <f t="shared" si="109"/>
        <v>2</v>
      </c>
      <c r="G80" s="24">
        <f t="shared" si="98"/>
        <v>24</v>
      </c>
      <c r="H80" s="24">
        <f t="shared" si="99"/>
        <v>24</v>
      </c>
      <c r="I80" s="24">
        <f t="shared" si="100"/>
        <v>24</v>
      </c>
      <c r="J80" s="24">
        <f t="shared" si="105"/>
        <v>600</v>
      </c>
      <c r="K80" s="24">
        <f t="shared" si="106"/>
        <v>600</v>
      </c>
      <c r="L80" s="24">
        <f t="shared" si="104"/>
        <v>60</v>
      </c>
      <c r="M80" s="24">
        <f t="shared" si="108"/>
        <v>280</v>
      </c>
      <c r="N80" s="24">
        <f t="shared" si="116"/>
        <v>5</v>
      </c>
      <c r="O80" s="24">
        <f t="shared" si="117"/>
        <v>0</v>
      </c>
      <c r="P80" s="24">
        <f t="shared" si="118"/>
        <v>0</v>
      </c>
      <c r="Q80" s="24">
        <f t="shared" si="119"/>
        <v>0</v>
      </c>
      <c r="R80" s="24">
        <f t="shared" si="107"/>
        <v>200000</v>
      </c>
      <c r="S80" s="24">
        <f t="shared" si="120"/>
        <v>0</v>
      </c>
      <c r="T80" s="24">
        <f t="shared" si="97"/>
        <v>0</v>
      </c>
      <c r="U80" s="24">
        <f t="shared" si="121"/>
        <v>100</v>
      </c>
      <c r="V80" s="24">
        <f t="shared" si="94"/>
        <v>15</v>
      </c>
      <c r="W80" s="24">
        <f t="shared" si="101"/>
        <v>0</v>
      </c>
      <c r="X80" s="50">
        <f t="shared" si="111"/>
        <v>5</v>
      </c>
      <c r="Y80" s="50">
        <f t="shared" si="112"/>
        <v>5</v>
      </c>
      <c r="Z80" s="50">
        <f t="shared" si="113"/>
        <v>5</v>
      </c>
      <c r="AA80" s="50">
        <f t="shared" si="114"/>
        <v>5</v>
      </c>
      <c r="AB80" s="50">
        <f t="shared" si="115"/>
        <v>5</v>
      </c>
      <c r="AF80" s="24">
        <f t="shared" si="122"/>
        <v>32000</v>
      </c>
      <c r="AG80" s="24">
        <f t="shared" si="125"/>
        <v>32000</v>
      </c>
      <c r="AJ80" s="49"/>
      <c r="AK80" s="24">
        <v>27000000</v>
      </c>
      <c r="AL80" s="19"/>
    </row>
    <row r="81" spans="1:38" x14ac:dyDescent="0.35">
      <c r="A81" s="24">
        <f t="shared" ref="A81:A105" si="126">A71+10</f>
        <v>85</v>
      </c>
      <c r="B81" s="24">
        <f t="shared" si="123"/>
        <v>35000</v>
      </c>
      <c r="C81" s="2">
        <f t="shared" si="110"/>
        <v>1408</v>
      </c>
      <c r="D81" s="2">
        <v>0</v>
      </c>
      <c r="E81" s="59">
        <f t="shared" si="124"/>
        <v>30000000</v>
      </c>
      <c r="F81" s="24">
        <f t="shared" si="109"/>
        <v>2</v>
      </c>
      <c r="G81" s="24">
        <f t="shared" si="98"/>
        <v>24</v>
      </c>
      <c r="H81" s="24">
        <f t="shared" si="99"/>
        <v>24</v>
      </c>
      <c r="I81" s="24">
        <f t="shared" si="100"/>
        <v>24</v>
      </c>
      <c r="J81" s="24">
        <f t="shared" si="105"/>
        <v>600</v>
      </c>
      <c r="K81" s="24">
        <f t="shared" si="106"/>
        <v>600</v>
      </c>
      <c r="L81" s="24">
        <f t="shared" si="104"/>
        <v>60</v>
      </c>
      <c r="M81" s="24">
        <f t="shared" si="108"/>
        <v>280</v>
      </c>
      <c r="N81" s="24">
        <f t="shared" si="116"/>
        <v>5</v>
      </c>
      <c r="O81" s="24">
        <f t="shared" si="117"/>
        <v>0</v>
      </c>
      <c r="P81" s="24">
        <f t="shared" si="118"/>
        <v>0</v>
      </c>
      <c r="Q81" s="24">
        <f t="shared" si="119"/>
        <v>0</v>
      </c>
      <c r="R81" s="24">
        <f t="shared" si="107"/>
        <v>200000</v>
      </c>
      <c r="S81" s="24">
        <f t="shared" si="120"/>
        <v>0</v>
      </c>
      <c r="T81" s="24">
        <f t="shared" si="97"/>
        <v>0</v>
      </c>
      <c r="U81" s="24">
        <f t="shared" si="121"/>
        <v>100</v>
      </c>
      <c r="V81" s="24">
        <f t="shared" si="94"/>
        <v>15</v>
      </c>
      <c r="W81" s="24">
        <f t="shared" si="101"/>
        <v>0</v>
      </c>
      <c r="X81" s="50">
        <f t="shared" si="111"/>
        <v>5</v>
      </c>
      <c r="Y81" s="50">
        <f t="shared" si="112"/>
        <v>5</v>
      </c>
      <c r="Z81" s="50">
        <f t="shared" si="113"/>
        <v>5</v>
      </c>
      <c r="AA81" s="50">
        <f t="shared" si="114"/>
        <v>5</v>
      </c>
      <c r="AB81" s="50">
        <f t="shared" si="115"/>
        <v>5</v>
      </c>
      <c r="AF81" s="24">
        <f t="shared" si="122"/>
        <v>35000</v>
      </c>
      <c r="AG81" s="24">
        <f t="shared" si="125"/>
        <v>35000</v>
      </c>
      <c r="AJ81" s="49"/>
      <c r="AK81" s="24">
        <v>30000000</v>
      </c>
      <c r="AL81" s="19"/>
    </row>
    <row r="82" spans="1:38" x14ac:dyDescent="0.35">
      <c r="A82" s="24">
        <f t="shared" si="126"/>
        <v>86</v>
      </c>
      <c r="B82" s="24">
        <f t="shared" si="123"/>
        <v>38000</v>
      </c>
      <c r="C82" s="2">
        <f t="shared" si="110"/>
        <v>1408</v>
      </c>
      <c r="D82" s="2">
        <v>0</v>
      </c>
      <c r="E82" s="59">
        <f t="shared" si="124"/>
        <v>32000000</v>
      </c>
      <c r="F82" s="24">
        <f t="shared" si="109"/>
        <v>2</v>
      </c>
      <c r="G82" s="24">
        <f t="shared" si="98"/>
        <v>24</v>
      </c>
      <c r="H82" s="24">
        <f t="shared" si="99"/>
        <v>24</v>
      </c>
      <c r="I82" s="24">
        <f t="shared" si="100"/>
        <v>24</v>
      </c>
      <c r="J82" s="24">
        <f t="shared" si="105"/>
        <v>600</v>
      </c>
      <c r="K82" s="24">
        <f t="shared" si="106"/>
        <v>600</v>
      </c>
      <c r="L82" s="24">
        <f t="shared" si="104"/>
        <v>60</v>
      </c>
      <c r="M82" s="24">
        <f t="shared" si="108"/>
        <v>280</v>
      </c>
      <c r="N82" s="24">
        <f t="shared" si="116"/>
        <v>5</v>
      </c>
      <c r="O82" s="24">
        <f t="shared" si="117"/>
        <v>0</v>
      </c>
      <c r="P82" s="24">
        <f t="shared" si="118"/>
        <v>0</v>
      </c>
      <c r="Q82" s="24">
        <f t="shared" si="119"/>
        <v>0</v>
      </c>
      <c r="R82" s="24">
        <f t="shared" si="107"/>
        <v>200000</v>
      </c>
      <c r="S82" s="24">
        <f t="shared" si="120"/>
        <v>0</v>
      </c>
      <c r="T82" s="24">
        <f t="shared" si="97"/>
        <v>0</v>
      </c>
      <c r="U82" s="24">
        <f t="shared" si="121"/>
        <v>100</v>
      </c>
      <c r="V82" s="24">
        <f t="shared" si="94"/>
        <v>15</v>
      </c>
      <c r="W82" s="24">
        <f t="shared" si="101"/>
        <v>0</v>
      </c>
      <c r="X82" s="50">
        <f t="shared" si="111"/>
        <v>5</v>
      </c>
      <c r="Y82" s="50">
        <f t="shared" si="112"/>
        <v>5</v>
      </c>
      <c r="Z82" s="50">
        <f t="shared" si="113"/>
        <v>5</v>
      </c>
      <c r="AA82" s="50">
        <f t="shared" si="114"/>
        <v>5</v>
      </c>
      <c r="AB82" s="50">
        <f t="shared" si="115"/>
        <v>5</v>
      </c>
      <c r="AF82" s="24">
        <f t="shared" si="122"/>
        <v>38000</v>
      </c>
      <c r="AG82" s="24">
        <f t="shared" si="125"/>
        <v>38000</v>
      </c>
      <c r="AJ82" s="49"/>
      <c r="AK82" s="24">
        <v>32000000</v>
      </c>
      <c r="AL82" s="19"/>
    </row>
    <row r="83" spans="1:38" x14ac:dyDescent="0.35">
      <c r="A83" s="24">
        <f t="shared" si="126"/>
        <v>87</v>
      </c>
      <c r="B83" s="24">
        <f t="shared" si="123"/>
        <v>41000</v>
      </c>
      <c r="C83" s="2">
        <f t="shared" si="110"/>
        <v>1408</v>
      </c>
      <c r="D83" s="2">
        <v>0</v>
      </c>
      <c r="E83" s="59">
        <f t="shared" si="124"/>
        <v>34000000</v>
      </c>
      <c r="F83" s="24">
        <f t="shared" si="109"/>
        <v>2</v>
      </c>
      <c r="G83" s="24">
        <f t="shared" si="98"/>
        <v>24</v>
      </c>
      <c r="H83" s="24">
        <f t="shared" si="99"/>
        <v>24</v>
      </c>
      <c r="I83" s="24">
        <f t="shared" si="100"/>
        <v>24</v>
      </c>
      <c r="J83" s="24">
        <f t="shared" si="105"/>
        <v>600</v>
      </c>
      <c r="K83" s="24">
        <f t="shared" si="106"/>
        <v>600</v>
      </c>
      <c r="L83" s="24">
        <f t="shared" si="104"/>
        <v>60</v>
      </c>
      <c r="M83" s="24">
        <f t="shared" si="108"/>
        <v>280</v>
      </c>
      <c r="N83" s="24">
        <f t="shared" si="116"/>
        <v>5</v>
      </c>
      <c r="O83" s="24">
        <f t="shared" si="117"/>
        <v>0</v>
      </c>
      <c r="P83" s="24">
        <f t="shared" si="118"/>
        <v>0</v>
      </c>
      <c r="Q83" s="24">
        <f t="shared" si="119"/>
        <v>0</v>
      </c>
      <c r="R83" s="24">
        <f t="shared" si="107"/>
        <v>200000</v>
      </c>
      <c r="S83" s="24">
        <f t="shared" si="120"/>
        <v>0</v>
      </c>
      <c r="T83" s="24">
        <f t="shared" si="97"/>
        <v>0</v>
      </c>
      <c r="U83" s="24">
        <f t="shared" si="121"/>
        <v>100</v>
      </c>
      <c r="V83" s="24">
        <f t="shared" si="94"/>
        <v>15</v>
      </c>
      <c r="W83" s="24">
        <f t="shared" si="101"/>
        <v>0</v>
      </c>
      <c r="X83" s="50">
        <f t="shared" si="111"/>
        <v>5</v>
      </c>
      <c r="Y83" s="50">
        <f t="shared" si="112"/>
        <v>5</v>
      </c>
      <c r="Z83" s="50">
        <f t="shared" si="113"/>
        <v>5</v>
      </c>
      <c r="AA83" s="50">
        <f t="shared" si="114"/>
        <v>5</v>
      </c>
      <c r="AB83" s="50">
        <f t="shared" si="115"/>
        <v>5</v>
      </c>
      <c r="AF83" s="24">
        <f t="shared" si="122"/>
        <v>41000</v>
      </c>
      <c r="AG83" s="24">
        <f t="shared" si="125"/>
        <v>41000</v>
      </c>
      <c r="AJ83" s="49"/>
      <c r="AK83" s="24">
        <v>34000000</v>
      </c>
      <c r="AL83" s="19"/>
    </row>
    <row r="84" spans="1:38" x14ac:dyDescent="0.35">
      <c r="A84" s="24">
        <f t="shared" si="126"/>
        <v>88</v>
      </c>
      <c r="B84" s="24">
        <f t="shared" si="123"/>
        <v>44000</v>
      </c>
      <c r="C84" s="2">
        <f t="shared" si="110"/>
        <v>1408</v>
      </c>
      <c r="D84" s="2">
        <v>0</v>
      </c>
      <c r="E84" s="59">
        <f t="shared" si="124"/>
        <v>36000000</v>
      </c>
      <c r="F84" s="24">
        <f t="shared" si="109"/>
        <v>2</v>
      </c>
      <c r="G84" s="24">
        <f t="shared" si="98"/>
        <v>24</v>
      </c>
      <c r="H84" s="24">
        <f t="shared" si="99"/>
        <v>24</v>
      </c>
      <c r="I84" s="24">
        <f t="shared" si="100"/>
        <v>24</v>
      </c>
      <c r="J84" s="24">
        <f t="shared" si="105"/>
        <v>600</v>
      </c>
      <c r="K84" s="24">
        <f t="shared" si="106"/>
        <v>600</v>
      </c>
      <c r="L84" s="24">
        <f t="shared" si="104"/>
        <v>60</v>
      </c>
      <c r="M84" s="24">
        <f t="shared" si="108"/>
        <v>280</v>
      </c>
      <c r="N84" s="24">
        <f t="shared" si="116"/>
        <v>5</v>
      </c>
      <c r="O84" s="24">
        <f t="shared" si="117"/>
        <v>0</v>
      </c>
      <c r="P84" s="24">
        <f t="shared" si="118"/>
        <v>0</v>
      </c>
      <c r="Q84" s="24">
        <f t="shared" si="119"/>
        <v>0</v>
      </c>
      <c r="R84" s="24">
        <f t="shared" si="107"/>
        <v>200000</v>
      </c>
      <c r="S84" s="24">
        <f t="shared" si="120"/>
        <v>0</v>
      </c>
      <c r="T84" s="24">
        <f t="shared" si="97"/>
        <v>0</v>
      </c>
      <c r="U84" s="24">
        <f t="shared" si="121"/>
        <v>100</v>
      </c>
      <c r="V84" s="24">
        <f t="shared" si="94"/>
        <v>15</v>
      </c>
      <c r="W84" s="24">
        <f t="shared" si="101"/>
        <v>0</v>
      </c>
      <c r="X84" s="50">
        <f t="shared" si="111"/>
        <v>5</v>
      </c>
      <c r="Y84" s="50">
        <f t="shared" si="112"/>
        <v>5</v>
      </c>
      <c r="Z84" s="50">
        <f t="shared" si="113"/>
        <v>5</v>
      </c>
      <c r="AA84" s="50">
        <f t="shared" si="114"/>
        <v>5</v>
      </c>
      <c r="AB84" s="50">
        <f t="shared" si="115"/>
        <v>5</v>
      </c>
      <c r="AF84" s="24">
        <f t="shared" si="122"/>
        <v>44000</v>
      </c>
      <c r="AG84" s="24">
        <f t="shared" si="125"/>
        <v>44000</v>
      </c>
      <c r="AJ84" s="49"/>
      <c r="AK84" s="24">
        <v>36000000</v>
      </c>
      <c r="AL84" s="19"/>
    </row>
    <row r="85" spans="1:38" x14ac:dyDescent="0.35">
      <c r="A85" s="24">
        <f t="shared" si="126"/>
        <v>89</v>
      </c>
      <c r="B85" s="24">
        <f t="shared" si="123"/>
        <v>47000</v>
      </c>
      <c r="C85" s="2">
        <f t="shared" si="110"/>
        <v>1408</v>
      </c>
      <c r="D85" s="2">
        <v>0</v>
      </c>
      <c r="E85" s="60">
        <f t="shared" si="124"/>
        <v>38000000</v>
      </c>
      <c r="F85" s="24">
        <f t="shared" si="109"/>
        <v>2</v>
      </c>
      <c r="G85" s="24">
        <f t="shared" si="98"/>
        <v>24</v>
      </c>
      <c r="H85" s="24">
        <f t="shared" si="99"/>
        <v>24</v>
      </c>
      <c r="I85" s="24">
        <f t="shared" si="100"/>
        <v>24</v>
      </c>
      <c r="J85" s="24">
        <f t="shared" si="105"/>
        <v>600</v>
      </c>
      <c r="K85" s="24">
        <f t="shared" si="106"/>
        <v>600</v>
      </c>
      <c r="L85" s="24">
        <f t="shared" si="104"/>
        <v>60</v>
      </c>
      <c r="M85" s="24">
        <f t="shared" si="108"/>
        <v>280</v>
      </c>
      <c r="N85" s="24">
        <f t="shared" si="116"/>
        <v>5</v>
      </c>
      <c r="O85" s="24">
        <f t="shared" si="117"/>
        <v>0</v>
      </c>
      <c r="P85" s="24">
        <f t="shared" si="118"/>
        <v>0</v>
      </c>
      <c r="Q85" s="24">
        <f t="shared" si="119"/>
        <v>0</v>
      </c>
      <c r="R85" s="24">
        <f t="shared" si="107"/>
        <v>200000</v>
      </c>
      <c r="S85" s="24">
        <f t="shared" si="120"/>
        <v>0</v>
      </c>
      <c r="T85" s="24">
        <f t="shared" si="97"/>
        <v>0</v>
      </c>
      <c r="U85" s="24">
        <f t="shared" si="121"/>
        <v>100</v>
      </c>
      <c r="V85" s="24">
        <f t="shared" si="94"/>
        <v>15</v>
      </c>
      <c r="W85" s="24">
        <f t="shared" si="101"/>
        <v>0</v>
      </c>
      <c r="X85" s="50">
        <f t="shared" si="111"/>
        <v>5</v>
      </c>
      <c r="Y85" s="50">
        <f t="shared" si="112"/>
        <v>5</v>
      </c>
      <c r="Z85" s="50">
        <f t="shared" si="113"/>
        <v>5</v>
      </c>
      <c r="AA85" s="50">
        <f t="shared" si="114"/>
        <v>5</v>
      </c>
      <c r="AB85" s="50">
        <f t="shared" si="115"/>
        <v>5</v>
      </c>
      <c r="AF85" s="24">
        <f t="shared" si="122"/>
        <v>47000</v>
      </c>
      <c r="AG85" s="24">
        <f t="shared" si="125"/>
        <v>47000</v>
      </c>
      <c r="AJ85" s="49"/>
      <c r="AK85" s="24">
        <v>38000000</v>
      </c>
      <c r="AL85" s="19"/>
    </row>
    <row r="86" spans="1:38" s="49" customFormat="1" x14ac:dyDescent="0.35">
      <c r="A86" s="55">
        <f t="shared" si="126"/>
        <v>90</v>
      </c>
      <c r="B86" s="56">
        <f>'VIP升级|VIPUp'!$B$14</f>
        <v>50000</v>
      </c>
      <c r="C86" s="57">
        <f>C87</f>
        <v>1409</v>
      </c>
      <c r="D86" s="57" t="str">
        <f>'VIP升级|VIPUp'!Q14</f>
        <v>1|2|100000000</v>
      </c>
      <c r="E86" s="57">
        <f t="shared" si="124"/>
        <v>40000000</v>
      </c>
      <c r="F86" s="49">
        <f t="shared" si="109"/>
        <v>2</v>
      </c>
      <c r="G86" s="49">
        <f t="shared" si="98"/>
        <v>24</v>
      </c>
      <c r="H86" s="49">
        <f t="shared" si="99"/>
        <v>24</v>
      </c>
      <c r="I86" s="49">
        <f t="shared" si="100"/>
        <v>24</v>
      </c>
      <c r="J86" s="49">
        <f t="shared" si="105"/>
        <v>600</v>
      </c>
      <c r="K86" s="49">
        <f t="shared" si="106"/>
        <v>600</v>
      </c>
      <c r="L86" s="49">
        <f t="shared" si="104"/>
        <v>60</v>
      </c>
      <c r="M86" s="49">
        <f t="shared" si="108"/>
        <v>280</v>
      </c>
      <c r="N86" s="49">
        <f t="shared" si="116"/>
        <v>5</v>
      </c>
      <c r="O86" s="49">
        <f t="shared" si="117"/>
        <v>0</v>
      </c>
      <c r="P86" s="49">
        <f t="shared" si="118"/>
        <v>0</v>
      </c>
      <c r="Q86" s="49">
        <f t="shared" si="119"/>
        <v>0</v>
      </c>
      <c r="R86" s="49">
        <f t="shared" si="107"/>
        <v>200000</v>
      </c>
      <c r="S86" s="49">
        <f t="shared" si="120"/>
        <v>0</v>
      </c>
      <c r="T86" s="49">
        <f t="shared" si="97"/>
        <v>0</v>
      </c>
      <c r="U86" s="49">
        <v>100</v>
      </c>
      <c r="V86" s="49">
        <f t="shared" si="94"/>
        <v>15</v>
      </c>
      <c r="W86" s="49">
        <f t="shared" si="101"/>
        <v>0</v>
      </c>
      <c r="X86" s="65">
        <f t="shared" si="111"/>
        <v>5</v>
      </c>
      <c r="Y86" s="65">
        <f t="shared" si="112"/>
        <v>5</v>
      </c>
      <c r="Z86" s="65">
        <f t="shared" si="113"/>
        <v>5</v>
      </c>
      <c r="AA86" s="65">
        <f t="shared" si="114"/>
        <v>5</v>
      </c>
      <c r="AB86" s="65">
        <f t="shared" si="115"/>
        <v>5</v>
      </c>
      <c r="AJ86" s="49">
        <v>90</v>
      </c>
      <c r="AK86" s="49">
        <v>40000000</v>
      </c>
      <c r="AL86" s="57">
        <f>'VIP升级|VIPUp'!W14</f>
        <v>40000000</v>
      </c>
    </row>
    <row r="87" spans="1:38" ht="16.2" x14ac:dyDescent="0.35">
      <c r="A87" s="24">
        <f t="shared" si="126"/>
        <v>91</v>
      </c>
      <c r="B87" s="24">
        <f t="shared" si="123"/>
        <v>55000</v>
      </c>
      <c r="C87" s="2">
        <f t="shared" ref="C87:C95" si="127">C77+1</f>
        <v>1409</v>
      </c>
      <c r="D87" s="2">
        <v>0</v>
      </c>
      <c r="E87" s="58">
        <f t="shared" si="124"/>
        <v>41000000</v>
      </c>
      <c r="F87" s="24">
        <f t="shared" si="109"/>
        <v>2</v>
      </c>
      <c r="G87" s="24">
        <f t="shared" si="98"/>
        <v>24</v>
      </c>
      <c r="H87" s="24">
        <f t="shared" si="99"/>
        <v>24</v>
      </c>
      <c r="I87" s="24">
        <f t="shared" si="100"/>
        <v>24</v>
      </c>
      <c r="J87" s="24">
        <f t="shared" si="105"/>
        <v>600</v>
      </c>
      <c r="K87" s="24">
        <f t="shared" si="106"/>
        <v>600</v>
      </c>
      <c r="L87" s="24">
        <f t="shared" si="104"/>
        <v>60</v>
      </c>
      <c r="M87" s="24">
        <f t="shared" si="108"/>
        <v>280</v>
      </c>
      <c r="N87" s="24">
        <f t="shared" si="116"/>
        <v>5</v>
      </c>
      <c r="O87" s="24">
        <f t="shared" si="117"/>
        <v>0</v>
      </c>
      <c r="P87" s="24">
        <f t="shared" si="118"/>
        <v>0</v>
      </c>
      <c r="Q87" s="24">
        <f t="shared" si="119"/>
        <v>0</v>
      </c>
      <c r="R87" s="24">
        <f t="shared" si="107"/>
        <v>200000</v>
      </c>
      <c r="S87" s="24">
        <f t="shared" si="120"/>
        <v>0</v>
      </c>
      <c r="T87" s="24">
        <f t="shared" si="97"/>
        <v>0</v>
      </c>
      <c r="U87" s="24">
        <f t="shared" si="121"/>
        <v>100</v>
      </c>
      <c r="V87" s="24">
        <f t="shared" si="94"/>
        <v>15</v>
      </c>
      <c r="W87" s="24">
        <f t="shared" si="101"/>
        <v>0</v>
      </c>
      <c r="X87" s="50">
        <f t="shared" si="111"/>
        <v>5</v>
      </c>
      <c r="Y87" s="50">
        <f t="shared" si="112"/>
        <v>5</v>
      </c>
      <c r="Z87" s="50">
        <f t="shared" si="113"/>
        <v>5</v>
      </c>
      <c r="AA87" s="50">
        <f t="shared" si="114"/>
        <v>5</v>
      </c>
      <c r="AB87" s="50">
        <f t="shared" si="115"/>
        <v>5</v>
      </c>
      <c r="AD87" s="24" t="s">
        <v>1593</v>
      </c>
      <c r="AF87" s="24">
        <f>B86+ROUNDDOWN(AE$88/10,0)</f>
        <v>55000</v>
      </c>
      <c r="AG87" s="24">
        <f t="shared" si="125"/>
        <v>55000</v>
      </c>
      <c r="AJ87" s="49"/>
      <c r="AK87" s="24">
        <v>41000000</v>
      </c>
      <c r="AL87" s="71"/>
    </row>
    <row r="88" spans="1:38" x14ac:dyDescent="0.35">
      <c r="A88" s="24">
        <f t="shared" si="126"/>
        <v>92</v>
      </c>
      <c r="B88" s="24">
        <f t="shared" si="123"/>
        <v>60000</v>
      </c>
      <c r="C88" s="2">
        <f t="shared" si="127"/>
        <v>1409</v>
      </c>
      <c r="D88" s="2">
        <v>0</v>
      </c>
      <c r="E88" s="59">
        <f t="shared" si="124"/>
        <v>42000000</v>
      </c>
      <c r="F88" s="24">
        <f t="shared" si="109"/>
        <v>2</v>
      </c>
      <c r="G88" s="24">
        <f t="shared" si="98"/>
        <v>24</v>
      </c>
      <c r="H88" s="24">
        <f t="shared" si="99"/>
        <v>24</v>
      </c>
      <c r="I88" s="24">
        <f t="shared" si="100"/>
        <v>24</v>
      </c>
      <c r="J88" s="24">
        <f t="shared" si="105"/>
        <v>600</v>
      </c>
      <c r="K88" s="24">
        <f t="shared" si="106"/>
        <v>600</v>
      </c>
      <c r="L88" s="24">
        <f t="shared" si="104"/>
        <v>60</v>
      </c>
      <c r="M88" s="24">
        <f t="shared" si="108"/>
        <v>280</v>
      </c>
      <c r="N88" s="24">
        <f t="shared" si="116"/>
        <v>5</v>
      </c>
      <c r="O88" s="24">
        <f t="shared" si="117"/>
        <v>0</v>
      </c>
      <c r="P88" s="24">
        <f t="shared" si="118"/>
        <v>0</v>
      </c>
      <c r="Q88" s="24">
        <f t="shared" si="119"/>
        <v>0</v>
      </c>
      <c r="R88" s="24">
        <f t="shared" si="107"/>
        <v>200000</v>
      </c>
      <c r="S88" s="24">
        <f t="shared" si="120"/>
        <v>0</v>
      </c>
      <c r="T88" s="24">
        <f t="shared" si="97"/>
        <v>0</v>
      </c>
      <c r="U88" s="24">
        <f t="shared" si="121"/>
        <v>100</v>
      </c>
      <c r="V88" s="24">
        <f t="shared" ref="V88:V105" si="128">V87</f>
        <v>15</v>
      </c>
      <c r="W88" s="24">
        <f t="shared" si="101"/>
        <v>0</v>
      </c>
      <c r="X88" s="50">
        <f t="shared" si="111"/>
        <v>5</v>
      </c>
      <c r="Y88" s="50">
        <f t="shared" si="112"/>
        <v>5</v>
      </c>
      <c r="Z88" s="50">
        <f t="shared" si="113"/>
        <v>5</v>
      </c>
      <c r="AA88" s="50">
        <f t="shared" si="114"/>
        <v>5</v>
      </c>
      <c r="AB88" s="50">
        <f t="shared" si="115"/>
        <v>5</v>
      </c>
      <c r="AD88" s="24" t="s">
        <v>1584</v>
      </c>
      <c r="AE88" s="24">
        <f>'VIP升级|VIPUp'!$B$15-B86</f>
        <v>50000</v>
      </c>
      <c r="AF88" s="24">
        <f t="shared" ref="AF88:AF95" si="129">AF87+ROUNDDOWN(AE$88/10,0)</f>
        <v>60000</v>
      </c>
      <c r="AG88" s="24">
        <f t="shared" si="125"/>
        <v>60000</v>
      </c>
      <c r="AJ88" s="49"/>
      <c r="AK88" s="49">
        <v>42000000</v>
      </c>
      <c r="AL88" s="19"/>
    </row>
    <row r="89" spans="1:38" x14ac:dyDescent="0.35">
      <c r="A89" s="24">
        <f t="shared" si="126"/>
        <v>93</v>
      </c>
      <c r="B89" s="24">
        <f t="shared" si="123"/>
        <v>65000</v>
      </c>
      <c r="C89" s="2">
        <f t="shared" si="127"/>
        <v>1409</v>
      </c>
      <c r="D89" s="2">
        <v>0</v>
      </c>
      <c r="E89" s="59">
        <f t="shared" si="124"/>
        <v>43000000</v>
      </c>
      <c r="F89" s="24">
        <f t="shared" si="109"/>
        <v>2</v>
      </c>
      <c r="G89" s="24">
        <f t="shared" si="98"/>
        <v>24</v>
      </c>
      <c r="H89" s="24">
        <f t="shared" si="99"/>
        <v>24</v>
      </c>
      <c r="I89" s="24">
        <f t="shared" si="100"/>
        <v>24</v>
      </c>
      <c r="J89" s="24">
        <f t="shared" si="105"/>
        <v>600</v>
      </c>
      <c r="K89" s="24">
        <f t="shared" si="106"/>
        <v>600</v>
      </c>
      <c r="L89" s="24">
        <f t="shared" si="104"/>
        <v>60</v>
      </c>
      <c r="M89" s="24">
        <f t="shared" si="108"/>
        <v>280</v>
      </c>
      <c r="N89" s="24">
        <f t="shared" si="116"/>
        <v>5</v>
      </c>
      <c r="O89" s="24">
        <f t="shared" si="117"/>
        <v>0</v>
      </c>
      <c r="P89" s="24">
        <f t="shared" si="118"/>
        <v>0</v>
      </c>
      <c r="Q89" s="24">
        <f t="shared" si="119"/>
        <v>0</v>
      </c>
      <c r="R89" s="24">
        <f t="shared" si="107"/>
        <v>200000</v>
      </c>
      <c r="S89" s="24">
        <f t="shared" si="120"/>
        <v>0</v>
      </c>
      <c r="T89" s="24">
        <f t="shared" si="97"/>
        <v>0</v>
      </c>
      <c r="U89" s="24">
        <f t="shared" si="121"/>
        <v>100</v>
      </c>
      <c r="V89" s="24">
        <f t="shared" si="128"/>
        <v>15</v>
      </c>
      <c r="W89" s="24">
        <f t="shared" si="101"/>
        <v>0</v>
      </c>
      <c r="X89" s="50">
        <f t="shared" si="111"/>
        <v>5</v>
      </c>
      <c r="Y89" s="50">
        <f t="shared" si="112"/>
        <v>5</v>
      </c>
      <c r="Z89" s="50">
        <f t="shared" si="113"/>
        <v>5</v>
      </c>
      <c r="AA89" s="50">
        <f t="shared" si="114"/>
        <v>5</v>
      </c>
      <c r="AB89" s="50">
        <f t="shared" si="115"/>
        <v>5</v>
      </c>
      <c r="AF89" s="24">
        <f t="shared" si="129"/>
        <v>65000</v>
      </c>
      <c r="AG89" s="24">
        <f t="shared" si="125"/>
        <v>65000</v>
      </c>
      <c r="AJ89" s="49"/>
      <c r="AK89" s="24">
        <v>43000000</v>
      </c>
      <c r="AL89" s="19"/>
    </row>
    <row r="90" spans="1:38" x14ac:dyDescent="0.35">
      <c r="A90" s="24">
        <f t="shared" si="126"/>
        <v>94</v>
      </c>
      <c r="B90" s="24">
        <f t="shared" si="123"/>
        <v>70000</v>
      </c>
      <c r="C90" s="2">
        <f t="shared" si="127"/>
        <v>1409</v>
      </c>
      <c r="D90" s="2">
        <v>0</v>
      </c>
      <c r="E90" s="59">
        <f t="shared" si="124"/>
        <v>44000000</v>
      </c>
      <c r="F90" s="24">
        <f t="shared" si="109"/>
        <v>2</v>
      </c>
      <c r="G90" s="24">
        <f t="shared" si="98"/>
        <v>24</v>
      </c>
      <c r="H90" s="24">
        <f t="shared" si="99"/>
        <v>24</v>
      </c>
      <c r="I90" s="24">
        <f t="shared" si="100"/>
        <v>24</v>
      </c>
      <c r="J90" s="24">
        <f t="shared" si="105"/>
        <v>600</v>
      </c>
      <c r="K90" s="24">
        <f t="shared" si="106"/>
        <v>600</v>
      </c>
      <c r="L90" s="24">
        <f t="shared" si="104"/>
        <v>60</v>
      </c>
      <c r="M90" s="24">
        <f t="shared" si="108"/>
        <v>280</v>
      </c>
      <c r="N90" s="24">
        <f t="shared" si="116"/>
        <v>5</v>
      </c>
      <c r="O90" s="24">
        <f t="shared" si="117"/>
        <v>0</v>
      </c>
      <c r="P90" s="24">
        <f t="shared" si="118"/>
        <v>0</v>
      </c>
      <c r="Q90" s="24">
        <f t="shared" si="119"/>
        <v>0</v>
      </c>
      <c r="R90" s="24">
        <f t="shared" si="107"/>
        <v>200000</v>
      </c>
      <c r="S90" s="24">
        <f t="shared" si="120"/>
        <v>0</v>
      </c>
      <c r="T90" s="24">
        <f t="shared" si="97"/>
        <v>0</v>
      </c>
      <c r="U90" s="24">
        <f t="shared" si="121"/>
        <v>100</v>
      </c>
      <c r="V90" s="24">
        <f t="shared" si="128"/>
        <v>15</v>
      </c>
      <c r="W90" s="24">
        <f t="shared" si="101"/>
        <v>0</v>
      </c>
      <c r="X90" s="50">
        <f t="shared" si="111"/>
        <v>5</v>
      </c>
      <c r="Y90" s="50">
        <f t="shared" si="112"/>
        <v>5</v>
      </c>
      <c r="Z90" s="50">
        <f t="shared" si="113"/>
        <v>5</v>
      </c>
      <c r="AA90" s="50">
        <f t="shared" si="114"/>
        <v>5</v>
      </c>
      <c r="AB90" s="50">
        <f t="shared" si="115"/>
        <v>5</v>
      </c>
      <c r="AF90" s="24">
        <f t="shared" si="129"/>
        <v>70000</v>
      </c>
      <c r="AG90" s="24">
        <f t="shared" si="125"/>
        <v>70000</v>
      </c>
      <c r="AJ90" s="49"/>
      <c r="AK90" s="49">
        <v>44000000</v>
      </c>
      <c r="AL90" s="19"/>
    </row>
    <row r="91" spans="1:38" x14ac:dyDescent="0.35">
      <c r="A91" s="24">
        <f t="shared" si="126"/>
        <v>95</v>
      </c>
      <c r="B91" s="24">
        <f t="shared" si="123"/>
        <v>75000</v>
      </c>
      <c r="C91" s="2">
        <f t="shared" si="127"/>
        <v>1409</v>
      </c>
      <c r="D91" s="2">
        <v>0</v>
      </c>
      <c r="E91" s="59">
        <f t="shared" si="124"/>
        <v>45000000</v>
      </c>
      <c r="F91" s="24">
        <f t="shared" si="109"/>
        <v>2</v>
      </c>
      <c r="G91" s="24">
        <f t="shared" si="98"/>
        <v>24</v>
      </c>
      <c r="H91" s="24">
        <f t="shared" si="99"/>
        <v>24</v>
      </c>
      <c r="I91" s="24">
        <f t="shared" si="100"/>
        <v>24</v>
      </c>
      <c r="J91" s="24">
        <f t="shared" si="105"/>
        <v>600</v>
      </c>
      <c r="K91" s="24">
        <f t="shared" si="106"/>
        <v>600</v>
      </c>
      <c r="L91" s="24">
        <f t="shared" si="104"/>
        <v>60</v>
      </c>
      <c r="M91" s="24">
        <f t="shared" si="108"/>
        <v>280</v>
      </c>
      <c r="N91" s="24">
        <f t="shared" si="116"/>
        <v>5</v>
      </c>
      <c r="O91" s="24">
        <f t="shared" si="117"/>
        <v>0</v>
      </c>
      <c r="P91" s="24">
        <f t="shared" si="118"/>
        <v>0</v>
      </c>
      <c r="Q91" s="24">
        <f t="shared" si="119"/>
        <v>0</v>
      </c>
      <c r="R91" s="24">
        <f t="shared" si="107"/>
        <v>200000</v>
      </c>
      <c r="S91" s="24">
        <f t="shared" si="120"/>
        <v>0</v>
      </c>
      <c r="T91" s="24">
        <f t="shared" si="97"/>
        <v>0</v>
      </c>
      <c r="U91" s="24">
        <f t="shared" si="121"/>
        <v>100</v>
      </c>
      <c r="V91" s="24">
        <f t="shared" si="128"/>
        <v>15</v>
      </c>
      <c r="W91" s="24">
        <f t="shared" si="101"/>
        <v>0</v>
      </c>
      <c r="X91" s="50">
        <f t="shared" si="111"/>
        <v>5</v>
      </c>
      <c r="Y91" s="50">
        <f t="shared" si="112"/>
        <v>5</v>
      </c>
      <c r="Z91" s="50">
        <f t="shared" si="113"/>
        <v>5</v>
      </c>
      <c r="AA91" s="50">
        <f t="shared" si="114"/>
        <v>5</v>
      </c>
      <c r="AB91" s="50">
        <f t="shared" si="115"/>
        <v>5</v>
      </c>
      <c r="AF91" s="24">
        <f t="shared" si="129"/>
        <v>75000</v>
      </c>
      <c r="AG91" s="24">
        <f t="shared" si="125"/>
        <v>75000</v>
      </c>
      <c r="AJ91" s="49"/>
      <c r="AK91" s="24">
        <v>45000000</v>
      </c>
      <c r="AL91" s="19"/>
    </row>
    <row r="92" spans="1:38" x14ac:dyDescent="0.35">
      <c r="A92" s="24">
        <f t="shared" si="126"/>
        <v>96</v>
      </c>
      <c r="B92" s="24">
        <f t="shared" si="123"/>
        <v>80000</v>
      </c>
      <c r="C92" s="2">
        <f t="shared" si="127"/>
        <v>1409</v>
      </c>
      <c r="D92" s="2">
        <v>0</v>
      </c>
      <c r="E92" s="59">
        <f t="shared" si="124"/>
        <v>46000000</v>
      </c>
      <c r="F92" s="24">
        <f t="shared" si="109"/>
        <v>2</v>
      </c>
      <c r="G92" s="24">
        <f t="shared" si="98"/>
        <v>24</v>
      </c>
      <c r="H92" s="24">
        <f t="shared" si="99"/>
        <v>24</v>
      </c>
      <c r="I92" s="24">
        <f t="shared" si="100"/>
        <v>24</v>
      </c>
      <c r="J92" s="24">
        <f t="shared" si="105"/>
        <v>600</v>
      </c>
      <c r="K92" s="24">
        <f t="shared" si="106"/>
        <v>600</v>
      </c>
      <c r="L92" s="24">
        <f t="shared" si="104"/>
        <v>60</v>
      </c>
      <c r="M92" s="24">
        <f t="shared" si="108"/>
        <v>280</v>
      </c>
      <c r="N92" s="24">
        <f t="shared" si="116"/>
        <v>5</v>
      </c>
      <c r="O92" s="24">
        <f t="shared" si="117"/>
        <v>0</v>
      </c>
      <c r="P92" s="24">
        <f t="shared" si="118"/>
        <v>0</v>
      </c>
      <c r="Q92" s="24">
        <f t="shared" si="119"/>
        <v>0</v>
      </c>
      <c r="R92" s="24">
        <f t="shared" si="107"/>
        <v>200000</v>
      </c>
      <c r="S92" s="24">
        <f t="shared" si="120"/>
        <v>0</v>
      </c>
      <c r="T92" s="24">
        <f t="shared" si="97"/>
        <v>0</v>
      </c>
      <c r="U92" s="24">
        <f t="shared" si="121"/>
        <v>100</v>
      </c>
      <c r="V92" s="24">
        <f t="shared" si="128"/>
        <v>15</v>
      </c>
      <c r="W92" s="24">
        <f t="shared" si="101"/>
        <v>0</v>
      </c>
      <c r="X92" s="50">
        <f t="shared" si="111"/>
        <v>5</v>
      </c>
      <c r="Y92" s="50">
        <f t="shared" si="112"/>
        <v>5</v>
      </c>
      <c r="Z92" s="50">
        <f t="shared" si="113"/>
        <v>5</v>
      </c>
      <c r="AA92" s="50">
        <f t="shared" si="114"/>
        <v>5</v>
      </c>
      <c r="AB92" s="50">
        <f t="shared" si="115"/>
        <v>5</v>
      </c>
      <c r="AF92" s="24">
        <f t="shared" si="129"/>
        <v>80000</v>
      </c>
      <c r="AG92" s="24">
        <f t="shared" si="125"/>
        <v>80000</v>
      </c>
      <c r="AJ92" s="49"/>
      <c r="AK92" s="49">
        <v>46000000</v>
      </c>
      <c r="AL92" s="19"/>
    </row>
    <row r="93" spans="1:38" x14ac:dyDescent="0.35">
      <c r="A93" s="24">
        <f t="shared" si="126"/>
        <v>97</v>
      </c>
      <c r="B93" s="24">
        <f t="shared" si="123"/>
        <v>85000</v>
      </c>
      <c r="C93" s="2">
        <f t="shared" si="127"/>
        <v>1409</v>
      </c>
      <c r="D93" s="2">
        <v>0</v>
      </c>
      <c r="E93" s="59">
        <f t="shared" si="124"/>
        <v>47000000</v>
      </c>
      <c r="F93" s="24">
        <f t="shared" si="109"/>
        <v>2</v>
      </c>
      <c r="G93" s="24">
        <f t="shared" si="98"/>
        <v>24</v>
      </c>
      <c r="H93" s="24">
        <f t="shared" si="99"/>
        <v>24</v>
      </c>
      <c r="I93" s="24">
        <f t="shared" si="100"/>
        <v>24</v>
      </c>
      <c r="J93" s="24">
        <f t="shared" si="105"/>
        <v>600</v>
      </c>
      <c r="K93" s="24">
        <f t="shared" si="106"/>
        <v>600</v>
      </c>
      <c r="L93" s="24">
        <f t="shared" si="104"/>
        <v>60</v>
      </c>
      <c r="M93" s="24">
        <f t="shared" si="108"/>
        <v>280</v>
      </c>
      <c r="N93" s="24">
        <f t="shared" si="116"/>
        <v>5</v>
      </c>
      <c r="O93" s="24">
        <f t="shared" si="117"/>
        <v>0</v>
      </c>
      <c r="P93" s="24">
        <f t="shared" si="118"/>
        <v>0</v>
      </c>
      <c r="Q93" s="24">
        <f t="shared" si="119"/>
        <v>0</v>
      </c>
      <c r="R93" s="24">
        <f t="shared" si="107"/>
        <v>200000</v>
      </c>
      <c r="S93" s="24">
        <f t="shared" si="120"/>
        <v>0</v>
      </c>
      <c r="T93" s="24">
        <f t="shared" si="97"/>
        <v>0</v>
      </c>
      <c r="U93" s="24">
        <f t="shared" si="121"/>
        <v>100</v>
      </c>
      <c r="V93" s="24">
        <f t="shared" si="128"/>
        <v>15</v>
      </c>
      <c r="W93" s="24">
        <f t="shared" si="101"/>
        <v>0</v>
      </c>
      <c r="X93" s="50">
        <f t="shared" si="111"/>
        <v>5</v>
      </c>
      <c r="Y93" s="50">
        <f t="shared" si="112"/>
        <v>5</v>
      </c>
      <c r="Z93" s="50">
        <f t="shared" si="113"/>
        <v>5</v>
      </c>
      <c r="AA93" s="50">
        <f t="shared" si="114"/>
        <v>5</v>
      </c>
      <c r="AB93" s="50">
        <f t="shared" si="115"/>
        <v>5</v>
      </c>
      <c r="AF93" s="24">
        <f t="shared" si="129"/>
        <v>85000</v>
      </c>
      <c r="AG93" s="24">
        <f t="shared" si="125"/>
        <v>85000</v>
      </c>
      <c r="AJ93" s="49"/>
      <c r="AK93" s="24">
        <v>47000000</v>
      </c>
      <c r="AL93" s="19"/>
    </row>
    <row r="94" spans="1:38" x14ac:dyDescent="0.35">
      <c r="A94" s="24">
        <f t="shared" si="126"/>
        <v>98</v>
      </c>
      <c r="B94" s="24">
        <f t="shared" si="123"/>
        <v>90000</v>
      </c>
      <c r="C94" s="2">
        <f t="shared" si="127"/>
        <v>1409</v>
      </c>
      <c r="D94" s="2">
        <v>0</v>
      </c>
      <c r="E94" s="59">
        <f t="shared" si="124"/>
        <v>48000000</v>
      </c>
      <c r="F94" s="24">
        <f t="shared" si="109"/>
        <v>2</v>
      </c>
      <c r="G94" s="24">
        <f t="shared" si="98"/>
        <v>24</v>
      </c>
      <c r="H94" s="24">
        <f t="shared" si="99"/>
        <v>24</v>
      </c>
      <c r="I94" s="24">
        <f t="shared" si="100"/>
        <v>24</v>
      </c>
      <c r="J94" s="24">
        <f t="shared" si="105"/>
        <v>600</v>
      </c>
      <c r="K94" s="24">
        <f t="shared" si="106"/>
        <v>600</v>
      </c>
      <c r="L94" s="24">
        <f t="shared" si="104"/>
        <v>60</v>
      </c>
      <c r="M94" s="24">
        <f t="shared" si="108"/>
        <v>280</v>
      </c>
      <c r="N94" s="24">
        <f t="shared" si="116"/>
        <v>5</v>
      </c>
      <c r="O94" s="24">
        <f t="shared" si="117"/>
        <v>0</v>
      </c>
      <c r="P94" s="24">
        <f t="shared" si="118"/>
        <v>0</v>
      </c>
      <c r="Q94" s="24">
        <f t="shared" si="119"/>
        <v>0</v>
      </c>
      <c r="R94" s="24">
        <f t="shared" si="107"/>
        <v>200000</v>
      </c>
      <c r="S94" s="24">
        <f t="shared" si="120"/>
        <v>0</v>
      </c>
      <c r="T94" s="24">
        <f t="shared" si="97"/>
        <v>0</v>
      </c>
      <c r="U94" s="24">
        <f t="shared" si="121"/>
        <v>100</v>
      </c>
      <c r="V94" s="24">
        <f t="shared" si="128"/>
        <v>15</v>
      </c>
      <c r="W94" s="24">
        <f t="shared" si="101"/>
        <v>0</v>
      </c>
      <c r="X94" s="50">
        <f t="shared" si="111"/>
        <v>5</v>
      </c>
      <c r="Y94" s="50">
        <f t="shared" si="112"/>
        <v>5</v>
      </c>
      <c r="Z94" s="50">
        <f t="shared" si="113"/>
        <v>5</v>
      </c>
      <c r="AA94" s="50">
        <f t="shared" si="114"/>
        <v>5</v>
      </c>
      <c r="AB94" s="50">
        <f t="shared" si="115"/>
        <v>5</v>
      </c>
      <c r="AF94" s="24">
        <f t="shared" si="129"/>
        <v>90000</v>
      </c>
      <c r="AG94" s="24">
        <f t="shared" si="125"/>
        <v>90000</v>
      </c>
      <c r="AJ94" s="49"/>
      <c r="AK94" s="49">
        <v>48000000</v>
      </c>
      <c r="AL94" s="19"/>
    </row>
    <row r="95" spans="1:38" x14ac:dyDescent="0.35">
      <c r="A95" s="24">
        <f t="shared" si="126"/>
        <v>99</v>
      </c>
      <c r="B95" s="24">
        <f t="shared" si="123"/>
        <v>95000</v>
      </c>
      <c r="C95" s="2">
        <f t="shared" si="127"/>
        <v>1409</v>
      </c>
      <c r="D95" s="2">
        <v>0</v>
      </c>
      <c r="E95" s="60">
        <f t="shared" si="124"/>
        <v>49000000</v>
      </c>
      <c r="F95" s="24">
        <f t="shared" si="109"/>
        <v>2</v>
      </c>
      <c r="G95" s="24">
        <f t="shared" si="98"/>
        <v>24</v>
      </c>
      <c r="H95" s="24">
        <f t="shared" si="99"/>
        <v>24</v>
      </c>
      <c r="I95" s="24">
        <f t="shared" si="100"/>
        <v>24</v>
      </c>
      <c r="J95" s="24">
        <f t="shared" si="105"/>
        <v>600</v>
      </c>
      <c r="K95" s="24">
        <f t="shared" si="106"/>
        <v>600</v>
      </c>
      <c r="L95" s="24">
        <f t="shared" si="104"/>
        <v>60</v>
      </c>
      <c r="M95" s="24">
        <f t="shared" si="108"/>
        <v>280</v>
      </c>
      <c r="N95" s="24">
        <f t="shared" si="116"/>
        <v>5</v>
      </c>
      <c r="O95" s="24">
        <f t="shared" si="117"/>
        <v>0</v>
      </c>
      <c r="P95" s="24">
        <f t="shared" si="118"/>
        <v>0</v>
      </c>
      <c r="Q95" s="24">
        <f t="shared" si="119"/>
        <v>0</v>
      </c>
      <c r="R95" s="24">
        <f t="shared" si="107"/>
        <v>200000</v>
      </c>
      <c r="S95" s="24">
        <f t="shared" si="120"/>
        <v>0</v>
      </c>
      <c r="T95" s="24">
        <f t="shared" si="97"/>
        <v>0</v>
      </c>
      <c r="U95" s="24">
        <f t="shared" si="121"/>
        <v>100</v>
      </c>
      <c r="V95" s="24">
        <f t="shared" si="128"/>
        <v>15</v>
      </c>
      <c r="W95" s="24">
        <f t="shared" si="101"/>
        <v>0</v>
      </c>
      <c r="X95" s="50">
        <f t="shared" si="111"/>
        <v>5</v>
      </c>
      <c r="Y95" s="50">
        <f t="shared" si="112"/>
        <v>5</v>
      </c>
      <c r="Z95" s="50">
        <f t="shared" si="113"/>
        <v>5</v>
      </c>
      <c r="AA95" s="50">
        <f t="shared" si="114"/>
        <v>5</v>
      </c>
      <c r="AB95" s="50">
        <f t="shared" si="115"/>
        <v>5</v>
      </c>
      <c r="AF95" s="24">
        <f t="shared" si="129"/>
        <v>95000</v>
      </c>
      <c r="AG95" s="24">
        <f t="shared" si="125"/>
        <v>95000</v>
      </c>
      <c r="AJ95" s="49"/>
      <c r="AK95" s="24">
        <v>49000000</v>
      </c>
      <c r="AL95" s="19"/>
    </row>
    <row r="96" spans="1:38" s="49" customFormat="1" x14ac:dyDescent="0.35">
      <c r="A96" s="55">
        <f t="shared" si="126"/>
        <v>100</v>
      </c>
      <c r="B96" s="56">
        <f>'VIP升级|VIPUp'!$B$15</f>
        <v>100000</v>
      </c>
      <c r="C96" s="57">
        <f>C97</f>
        <v>1410</v>
      </c>
      <c r="D96" s="57" t="str">
        <f>'VIP升级|VIPUp'!Q15</f>
        <v>1|2|200000000</v>
      </c>
      <c r="E96" s="57">
        <f t="shared" si="124"/>
        <v>50000000</v>
      </c>
      <c r="F96" s="49">
        <f t="shared" si="109"/>
        <v>2</v>
      </c>
      <c r="G96" s="49">
        <f t="shared" si="98"/>
        <v>24</v>
      </c>
      <c r="H96" s="49">
        <f t="shared" si="99"/>
        <v>24</v>
      </c>
      <c r="I96" s="49">
        <f t="shared" si="100"/>
        <v>24</v>
      </c>
      <c r="J96" s="49">
        <f t="shared" si="105"/>
        <v>600</v>
      </c>
      <c r="K96" s="49">
        <f t="shared" si="106"/>
        <v>600</v>
      </c>
      <c r="L96" s="49">
        <f t="shared" si="104"/>
        <v>60</v>
      </c>
      <c r="M96" s="49">
        <f t="shared" si="108"/>
        <v>280</v>
      </c>
      <c r="N96" s="49">
        <f t="shared" si="116"/>
        <v>5</v>
      </c>
      <c r="O96" s="49">
        <f t="shared" si="117"/>
        <v>0</v>
      </c>
      <c r="P96" s="49">
        <f t="shared" si="118"/>
        <v>0</v>
      </c>
      <c r="Q96" s="49">
        <f t="shared" si="119"/>
        <v>0</v>
      </c>
      <c r="R96" s="49">
        <f t="shared" si="107"/>
        <v>200000</v>
      </c>
      <c r="S96" s="49">
        <f t="shared" si="120"/>
        <v>0</v>
      </c>
      <c r="T96" s="49">
        <f t="shared" si="97"/>
        <v>0</v>
      </c>
      <c r="U96" s="49">
        <v>100</v>
      </c>
      <c r="V96" s="49">
        <f t="shared" si="128"/>
        <v>15</v>
      </c>
      <c r="W96" s="49">
        <f t="shared" si="101"/>
        <v>0</v>
      </c>
      <c r="X96" s="65">
        <f t="shared" si="111"/>
        <v>5</v>
      </c>
      <c r="Y96" s="65">
        <f t="shared" si="112"/>
        <v>5</v>
      </c>
      <c r="Z96" s="65">
        <f t="shared" si="113"/>
        <v>5</v>
      </c>
      <c r="AA96" s="65">
        <f t="shared" si="114"/>
        <v>5</v>
      </c>
      <c r="AB96" s="65">
        <f t="shared" si="115"/>
        <v>5</v>
      </c>
      <c r="AJ96" s="49">
        <v>100</v>
      </c>
      <c r="AK96" s="24">
        <v>50000000</v>
      </c>
      <c r="AL96" s="57">
        <f>'VIP升级|VIPUp'!W15</f>
        <v>50000000</v>
      </c>
    </row>
    <row r="97" spans="1:38" ht="16.2" x14ac:dyDescent="0.35">
      <c r="A97" s="24">
        <f t="shared" si="126"/>
        <v>101</v>
      </c>
      <c r="B97" s="24">
        <v>110000</v>
      </c>
      <c r="C97" s="2">
        <v>1410</v>
      </c>
      <c r="D97" s="2">
        <v>0</v>
      </c>
      <c r="E97" s="58">
        <f t="shared" si="124"/>
        <v>51000000</v>
      </c>
      <c r="F97" s="24">
        <f t="shared" si="109"/>
        <v>2</v>
      </c>
      <c r="G97" s="24">
        <f t="shared" si="98"/>
        <v>24</v>
      </c>
      <c r="H97" s="24">
        <f t="shared" si="99"/>
        <v>24</v>
      </c>
      <c r="I97" s="24">
        <f t="shared" si="100"/>
        <v>24</v>
      </c>
      <c r="J97" s="24">
        <f t="shared" si="105"/>
        <v>600</v>
      </c>
      <c r="K97" s="24">
        <f t="shared" si="106"/>
        <v>600</v>
      </c>
      <c r="L97" s="24">
        <f t="shared" si="104"/>
        <v>60</v>
      </c>
      <c r="M97" s="24">
        <f t="shared" si="108"/>
        <v>280</v>
      </c>
      <c r="N97" s="24">
        <f t="shared" si="116"/>
        <v>5</v>
      </c>
      <c r="O97" s="24">
        <f t="shared" si="117"/>
        <v>0</v>
      </c>
      <c r="P97" s="24">
        <f t="shared" si="118"/>
        <v>0</v>
      </c>
      <c r="Q97" s="24">
        <f t="shared" si="119"/>
        <v>0</v>
      </c>
      <c r="R97" s="24">
        <f t="shared" si="107"/>
        <v>200000</v>
      </c>
      <c r="S97" s="24">
        <f t="shared" si="120"/>
        <v>0</v>
      </c>
      <c r="T97" s="24">
        <f t="shared" si="97"/>
        <v>0</v>
      </c>
      <c r="U97" s="24">
        <f t="shared" ref="U97:U105" si="130">U96</f>
        <v>100</v>
      </c>
      <c r="V97" s="24">
        <f t="shared" si="128"/>
        <v>15</v>
      </c>
      <c r="W97" s="24">
        <f t="shared" si="101"/>
        <v>0</v>
      </c>
      <c r="X97" s="50">
        <f t="shared" si="111"/>
        <v>5</v>
      </c>
      <c r="Y97" s="50">
        <f t="shared" si="112"/>
        <v>5</v>
      </c>
      <c r="Z97" s="50">
        <f t="shared" si="113"/>
        <v>5</v>
      </c>
      <c r="AA97" s="50">
        <f t="shared" si="114"/>
        <v>5</v>
      </c>
      <c r="AB97" s="50">
        <f t="shared" si="115"/>
        <v>5</v>
      </c>
      <c r="AJ97" s="49"/>
      <c r="AK97" s="24">
        <v>51000000</v>
      </c>
      <c r="AL97" s="71"/>
    </row>
    <row r="98" spans="1:38" x14ac:dyDescent="0.35">
      <c r="A98" s="24">
        <f t="shared" si="126"/>
        <v>102</v>
      </c>
      <c r="B98" s="24">
        <v>115000</v>
      </c>
      <c r="C98" s="2">
        <v>1410</v>
      </c>
      <c r="D98" s="2">
        <v>0</v>
      </c>
      <c r="E98" s="59">
        <f t="shared" si="124"/>
        <v>52000000</v>
      </c>
      <c r="F98" s="24">
        <f t="shared" si="109"/>
        <v>2</v>
      </c>
      <c r="G98" s="24">
        <f t="shared" si="98"/>
        <v>24</v>
      </c>
      <c r="H98" s="24">
        <f t="shared" si="99"/>
        <v>24</v>
      </c>
      <c r="I98" s="24">
        <f t="shared" si="100"/>
        <v>24</v>
      </c>
      <c r="J98" s="24">
        <f t="shared" si="105"/>
        <v>600</v>
      </c>
      <c r="K98" s="24">
        <f t="shared" si="106"/>
        <v>600</v>
      </c>
      <c r="L98" s="24">
        <f t="shared" si="104"/>
        <v>60</v>
      </c>
      <c r="M98" s="24">
        <f t="shared" si="108"/>
        <v>280</v>
      </c>
      <c r="N98" s="24">
        <f t="shared" si="116"/>
        <v>5</v>
      </c>
      <c r="O98" s="24">
        <f t="shared" si="117"/>
        <v>0</v>
      </c>
      <c r="P98" s="24">
        <f t="shared" si="118"/>
        <v>0</v>
      </c>
      <c r="Q98" s="24">
        <f t="shared" si="119"/>
        <v>0</v>
      </c>
      <c r="R98" s="24">
        <f t="shared" si="107"/>
        <v>200000</v>
      </c>
      <c r="S98" s="24">
        <f t="shared" si="120"/>
        <v>0</v>
      </c>
      <c r="T98" s="24">
        <f t="shared" si="97"/>
        <v>0</v>
      </c>
      <c r="U98" s="24">
        <f t="shared" si="130"/>
        <v>100</v>
      </c>
      <c r="V98" s="24">
        <f t="shared" si="128"/>
        <v>15</v>
      </c>
      <c r="W98" s="24">
        <f t="shared" si="101"/>
        <v>0</v>
      </c>
      <c r="X98" s="50">
        <f t="shared" si="111"/>
        <v>5</v>
      </c>
      <c r="Y98" s="50">
        <f t="shared" si="112"/>
        <v>5</v>
      </c>
      <c r="Z98" s="50">
        <f t="shared" si="113"/>
        <v>5</v>
      </c>
      <c r="AA98" s="50">
        <f t="shared" si="114"/>
        <v>5</v>
      </c>
      <c r="AB98" s="50">
        <f t="shared" si="115"/>
        <v>5</v>
      </c>
      <c r="AJ98" s="49"/>
      <c r="AK98" s="24">
        <v>52000000</v>
      </c>
      <c r="AL98" s="19"/>
    </row>
    <row r="99" spans="1:38" x14ac:dyDescent="0.35">
      <c r="A99" s="24">
        <f t="shared" si="126"/>
        <v>103</v>
      </c>
      <c r="B99" s="24">
        <v>120000</v>
      </c>
      <c r="C99" s="2">
        <v>1410</v>
      </c>
      <c r="D99" s="2">
        <v>0</v>
      </c>
      <c r="E99" s="59">
        <f t="shared" si="124"/>
        <v>53000000</v>
      </c>
      <c r="F99" s="24">
        <f t="shared" si="109"/>
        <v>2</v>
      </c>
      <c r="G99" s="24">
        <f t="shared" si="98"/>
        <v>24</v>
      </c>
      <c r="H99" s="24">
        <f t="shared" si="99"/>
        <v>24</v>
      </c>
      <c r="I99" s="24">
        <f t="shared" si="100"/>
        <v>24</v>
      </c>
      <c r="J99" s="24">
        <f t="shared" si="105"/>
        <v>600</v>
      </c>
      <c r="K99" s="24">
        <f t="shared" si="106"/>
        <v>600</v>
      </c>
      <c r="L99" s="24">
        <f t="shared" si="104"/>
        <v>60</v>
      </c>
      <c r="M99" s="24">
        <f t="shared" si="108"/>
        <v>280</v>
      </c>
      <c r="N99" s="24">
        <f t="shared" si="116"/>
        <v>5</v>
      </c>
      <c r="O99" s="24">
        <f t="shared" si="117"/>
        <v>0</v>
      </c>
      <c r="P99" s="24">
        <f t="shared" si="118"/>
        <v>0</v>
      </c>
      <c r="Q99" s="24">
        <f t="shared" si="119"/>
        <v>0</v>
      </c>
      <c r="R99" s="24">
        <f t="shared" si="107"/>
        <v>200000</v>
      </c>
      <c r="S99" s="24">
        <f t="shared" si="120"/>
        <v>0</v>
      </c>
      <c r="T99" s="24">
        <f t="shared" si="97"/>
        <v>0</v>
      </c>
      <c r="U99" s="24">
        <f t="shared" si="130"/>
        <v>100</v>
      </c>
      <c r="V99" s="24">
        <f t="shared" si="128"/>
        <v>15</v>
      </c>
      <c r="W99" s="24">
        <f t="shared" si="101"/>
        <v>0</v>
      </c>
      <c r="X99" s="50">
        <f t="shared" si="111"/>
        <v>5</v>
      </c>
      <c r="Y99" s="50">
        <f t="shared" si="112"/>
        <v>5</v>
      </c>
      <c r="Z99" s="50">
        <f t="shared" si="113"/>
        <v>5</v>
      </c>
      <c r="AA99" s="50">
        <f t="shared" si="114"/>
        <v>5</v>
      </c>
      <c r="AB99" s="50">
        <f t="shared" si="115"/>
        <v>5</v>
      </c>
      <c r="AJ99" s="49"/>
      <c r="AK99" s="24">
        <v>53000000</v>
      </c>
      <c r="AL99" s="19"/>
    </row>
    <row r="100" spans="1:38" x14ac:dyDescent="0.35">
      <c r="A100" s="24">
        <f t="shared" si="126"/>
        <v>104</v>
      </c>
      <c r="B100" s="24">
        <v>125000</v>
      </c>
      <c r="C100" s="2">
        <v>1410</v>
      </c>
      <c r="D100" s="2">
        <v>0</v>
      </c>
      <c r="E100" s="59">
        <f t="shared" si="124"/>
        <v>54000000</v>
      </c>
      <c r="F100" s="24">
        <f t="shared" si="109"/>
        <v>2</v>
      </c>
      <c r="G100" s="24">
        <f t="shared" si="98"/>
        <v>24</v>
      </c>
      <c r="H100" s="24">
        <f t="shared" si="99"/>
        <v>24</v>
      </c>
      <c r="I100" s="24">
        <f t="shared" si="100"/>
        <v>24</v>
      </c>
      <c r="J100" s="24">
        <f t="shared" si="105"/>
        <v>600</v>
      </c>
      <c r="K100" s="24">
        <f t="shared" si="106"/>
        <v>600</v>
      </c>
      <c r="L100" s="24">
        <f t="shared" si="104"/>
        <v>60</v>
      </c>
      <c r="M100" s="24">
        <f t="shared" si="108"/>
        <v>280</v>
      </c>
      <c r="N100" s="24">
        <f t="shared" si="116"/>
        <v>5</v>
      </c>
      <c r="O100" s="24">
        <f t="shared" si="117"/>
        <v>0</v>
      </c>
      <c r="P100" s="24">
        <f t="shared" si="118"/>
        <v>0</v>
      </c>
      <c r="Q100" s="24">
        <f t="shared" si="119"/>
        <v>0</v>
      </c>
      <c r="R100" s="24">
        <f t="shared" si="107"/>
        <v>200000</v>
      </c>
      <c r="S100" s="24">
        <f t="shared" si="120"/>
        <v>0</v>
      </c>
      <c r="T100" s="24">
        <f t="shared" si="97"/>
        <v>0</v>
      </c>
      <c r="U100" s="24">
        <f t="shared" si="130"/>
        <v>100</v>
      </c>
      <c r="V100" s="24">
        <f t="shared" si="128"/>
        <v>15</v>
      </c>
      <c r="W100" s="24">
        <f t="shared" si="101"/>
        <v>0</v>
      </c>
      <c r="X100" s="50">
        <f t="shared" si="111"/>
        <v>5</v>
      </c>
      <c r="Y100" s="50">
        <f t="shared" si="112"/>
        <v>5</v>
      </c>
      <c r="Z100" s="50">
        <f t="shared" si="113"/>
        <v>5</v>
      </c>
      <c r="AA100" s="50">
        <f t="shared" si="114"/>
        <v>5</v>
      </c>
      <c r="AB100" s="50">
        <f t="shared" si="115"/>
        <v>5</v>
      </c>
      <c r="AJ100" s="49"/>
      <c r="AK100" s="24">
        <v>54000000</v>
      </c>
      <c r="AL100" s="19"/>
    </row>
    <row r="101" spans="1:38" x14ac:dyDescent="0.35">
      <c r="A101" s="24">
        <f t="shared" si="126"/>
        <v>105</v>
      </c>
      <c r="B101" s="24">
        <v>130000</v>
      </c>
      <c r="C101" s="2">
        <v>1410</v>
      </c>
      <c r="D101" s="2">
        <v>0</v>
      </c>
      <c r="E101" s="59">
        <f t="shared" si="124"/>
        <v>55000000</v>
      </c>
      <c r="F101" s="24">
        <f t="shared" si="109"/>
        <v>2</v>
      </c>
      <c r="G101" s="24">
        <f t="shared" si="98"/>
        <v>24</v>
      </c>
      <c r="H101" s="24">
        <f t="shared" si="99"/>
        <v>24</v>
      </c>
      <c r="I101" s="24">
        <f t="shared" si="100"/>
        <v>24</v>
      </c>
      <c r="J101" s="24">
        <f t="shared" si="105"/>
        <v>600</v>
      </c>
      <c r="K101" s="24">
        <f t="shared" si="106"/>
        <v>600</v>
      </c>
      <c r="L101" s="24">
        <f t="shared" si="104"/>
        <v>60</v>
      </c>
      <c r="M101" s="24">
        <f t="shared" si="108"/>
        <v>280</v>
      </c>
      <c r="N101" s="24">
        <f t="shared" si="116"/>
        <v>5</v>
      </c>
      <c r="O101" s="24">
        <f t="shared" si="117"/>
        <v>0</v>
      </c>
      <c r="P101" s="24">
        <f t="shared" si="118"/>
        <v>0</v>
      </c>
      <c r="Q101" s="24">
        <f t="shared" si="119"/>
        <v>0</v>
      </c>
      <c r="R101" s="24">
        <f t="shared" si="107"/>
        <v>200000</v>
      </c>
      <c r="S101" s="24">
        <f t="shared" si="120"/>
        <v>0</v>
      </c>
      <c r="T101" s="24">
        <f t="shared" si="97"/>
        <v>0</v>
      </c>
      <c r="U101" s="24">
        <f t="shared" si="130"/>
        <v>100</v>
      </c>
      <c r="V101" s="24">
        <f t="shared" si="128"/>
        <v>15</v>
      </c>
      <c r="W101" s="24">
        <f t="shared" si="101"/>
        <v>0</v>
      </c>
      <c r="X101" s="50">
        <f t="shared" si="111"/>
        <v>5</v>
      </c>
      <c r="Y101" s="50">
        <f t="shared" si="112"/>
        <v>5</v>
      </c>
      <c r="Z101" s="50">
        <f t="shared" si="113"/>
        <v>5</v>
      </c>
      <c r="AA101" s="50">
        <f t="shared" si="114"/>
        <v>5</v>
      </c>
      <c r="AB101" s="50">
        <f t="shared" si="115"/>
        <v>5</v>
      </c>
      <c r="AJ101" s="49"/>
      <c r="AK101" s="24">
        <v>55000000</v>
      </c>
      <c r="AL101" s="19"/>
    </row>
    <row r="102" spans="1:38" x14ac:dyDescent="0.35">
      <c r="A102" s="24">
        <f t="shared" si="126"/>
        <v>106</v>
      </c>
      <c r="B102" s="24">
        <v>135000</v>
      </c>
      <c r="C102" s="2">
        <v>1410</v>
      </c>
      <c r="D102" s="2">
        <v>0</v>
      </c>
      <c r="E102" s="59">
        <f t="shared" si="124"/>
        <v>56000000</v>
      </c>
      <c r="F102" s="24">
        <f t="shared" si="109"/>
        <v>2</v>
      </c>
      <c r="G102" s="24">
        <f t="shared" si="98"/>
        <v>24</v>
      </c>
      <c r="H102" s="24">
        <f t="shared" si="99"/>
        <v>24</v>
      </c>
      <c r="I102" s="24">
        <f t="shared" si="100"/>
        <v>24</v>
      </c>
      <c r="J102" s="24">
        <f t="shared" si="105"/>
        <v>600</v>
      </c>
      <c r="K102" s="24">
        <f t="shared" si="106"/>
        <v>600</v>
      </c>
      <c r="L102" s="24">
        <f t="shared" si="104"/>
        <v>60</v>
      </c>
      <c r="M102" s="24">
        <f t="shared" si="108"/>
        <v>280</v>
      </c>
      <c r="N102" s="24">
        <f t="shared" si="116"/>
        <v>5</v>
      </c>
      <c r="O102" s="24">
        <f t="shared" si="117"/>
        <v>0</v>
      </c>
      <c r="P102" s="24">
        <f t="shared" si="118"/>
        <v>0</v>
      </c>
      <c r="Q102" s="24">
        <f t="shared" si="119"/>
        <v>0</v>
      </c>
      <c r="R102" s="24">
        <f t="shared" si="107"/>
        <v>200000</v>
      </c>
      <c r="S102" s="24">
        <f t="shared" si="120"/>
        <v>0</v>
      </c>
      <c r="T102" s="24">
        <f t="shared" si="97"/>
        <v>0</v>
      </c>
      <c r="U102" s="24">
        <f t="shared" si="130"/>
        <v>100</v>
      </c>
      <c r="V102" s="24">
        <f t="shared" si="128"/>
        <v>15</v>
      </c>
      <c r="W102" s="24">
        <f t="shared" si="101"/>
        <v>0</v>
      </c>
      <c r="X102" s="50">
        <f t="shared" si="111"/>
        <v>5</v>
      </c>
      <c r="Y102" s="50">
        <f t="shared" si="112"/>
        <v>5</v>
      </c>
      <c r="Z102" s="50">
        <f t="shared" si="113"/>
        <v>5</v>
      </c>
      <c r="AA102" s="50">
        <f t="shared" si="114"/>
        <v>5</v>
      </c>
      <c r="AB102" s="50">
        <f t="shared" si="115"/>
        <v>5</v>
      </c>
      <c r="AJ102" s="49"/>
      <c r="AK102" s="24">
        <v>56000000</v>
      </c>
      <c r="AL102" s="19"/>
    </row>
    <row r="103" spans="1:38" x14ac:dyDescent="0.35">
      <c r="A103" s="24">
        <f t="shared" si="126"/>
        <v>107</v>
      </c>
      <c r="B103" s="24">
        <v>140000</v>
      </c>
      <c r="C103" s="2">
        <v>1410</v>
      </c>
      <c r="D103" s="2">
        <v>0</v>
      </c>
      <c r="E103" s="59">
        <f t="shared" si="124"/>
        <v>57000000</v>
      </c>
      <c r="F103" s="24">
        <f t="shared" si="109"/>
        <v>2</v>
      </c>
      <c r="G103" s="24">
        <f t="shared" si="98"/>
        <v>24</v>
      </c>
      <c r="H103" s="24">
        <f t="shared" si="99"/>
        <v>24</v>
      </c>
      <c r="I103" s="24">
        <f t="shared" si="100"/>
        <v>24</v>
      </c>
      <c r="J103" s="24">
        <f t="shared" si="105"/>
        <v>600</v>
      </c>
      <c r="K103" s="24">
        <f t="shared" si="106"/>
        <v>600</v>
      </c>
      <c r="L103" s="24">
        <f t="shared" si="104"/>
        <v>60</v>
      </c>
      <c r="M103" s="24">
        <f t="shared" si="108"/>
        <v>280</v>
      </c>
      <c r="N103" s="24">
        <f t="shared" si="116"/>
        <v>5</v>
      </c>
      <c r="O103" s="24">
        <f t="shared" si="117"/>
        <v>0</v>
      </c>
      <c r="P103" s="24">
        <f t="shared" si="118"/>
        <v>0</v>
      </c>
      <c r="Q103" s="24">
        <f t="shared" si="119"/>
        <v>0</v>
      </c>
      <c r="R103" s="24">
        <f t="shared" si="107"/>
        <v>200000</v>
      </c>
      <c r="S103" s="24">
        <f t="shared" si="120"/>
        <v>0</v>
      </c>
      <c r="T103" s="24">
        <f t="shared" si="97"/>
        <v>0</v>
      </c>
      <c r="U103" s="24">
        <f t="shared" si="130"/>
        <v>100</v>
      </c>
      <c r="V103" s="24">
        <f t="shared" si="128"/>
        <v>15</v>
      </c>
      <c r="W103" s="24">
        <f t="shared" si="101"/>
        <v>0</v>
      </c>
      <c r="X103" s="50">
        <f t="shared" si="111"/>
        <v>5</v>
      </c>
      <c r="Y103" s="50">
        <f t="shared" si="112"/>
        <v>5</v>
      </c>
      <c r="Z103" s="50">
        <f t="shared" si="113"/>
        <v>5</v>
      </c>
      <c r="AA103" s="50">
        <f t="shared" si="114"/>
        <v>5</v>
      </c>
      <c r="AB103" s="50">
        <f t="shared" si="115"/>
        <v>5</v>
      </c>
      <c r="AJ103" s="49"/>
      <c r="AK103" s="24">
        <v>57000000</v>
      </c>
      <c r="AL103" s="19"/>
    </row>
    <row r="104" spans="1:38" x14ac:dyDescent="0.35">
      <c r="A104" s="24">
        <f t="shared" si="126"/>
        <v>108</v>
      </c>
      <c r="B104" s="24">
        <v>145000</v>
      </c>
      <c r="C104" s="2">
        <v>1410</v>
      </c>
      <c r="D104" s="2">
        <v>0</v>
      </c>
      <c r="E104" s="59">
        <f t="shared" si="124"/>
        <v>58000000</v>
      </c>
      <c r="F104" s="24">
        <f t="shared" si="109"/>
        <v>2</v>
      </c>
      <c r="G104" s="24">
        <f t="shared" si="98"/>
        <v>24</v>
      </c>
      <c r="H104" s="24">
        <f t="shared" si="99"/>
        <v>24</v>
      </c>
      <c r="I104" s="24">
        <f t="shared" si="100"/>
        <v>24</v>
      </c>
      <c r="J104" s="24">
        <f t="shared" si="105"/>
        <v>600</v>
      </c>
      <c r="K104" s="24">
        <f t="shared" si="106"/>
        <v>600</v>
      </c>
      <c r="L104" s="24">
        <f t="shared" si="104"/>
        <v>60</v>
      </c>
      <c r="M104" s="24">
        <f t="shared" si="108"/>
        <v>280</v>
      </c>
      <c r="N104" s="24">
        <f t="shared" si="116"/>
        <v>5</v>
      </c>
      <c r="O104" s="24">
        <f t="shared" si="117"/>
        <v>0</v>
      </c>
      <c r="P104" s="24">
        <f t="shared" si="118"/>
        <v>0</v>
      </c>
      <c r="Q104" s="24">
        <f t="shared" si="119"/>
        <v>0</v>
      </c>
      <c r="R104" s="24">
        <f t="shared" si="107"/>
        <v>200000</v>
      </c>
      <c r="S104" s="24">
        <f t="shared" si="120"/>
        <v>0</v>
      </c>
      <c r="T104" s="24">
        <f t="shared" si="97"/>
        <v>0</v>
      </c>
      <c r="U104" s="24">
        <f t="shared" si="130"/>
        <v>100</v>
      </c>
      <c r="V104" s="24">
        <f t="shared" si="128"/>
        <v>15</v>
      </c>
      <c r="W104" s="24">
        <f t="shared" si="101"/>
        <v>0</v>
      </c>
      <c r="X104" s="50">
        <f t="shared" si="111"/>
        <v>5</v>
      </c>
      <c r="Y104" s="50">
        <f t="shared" si="112"/>
        <v>5</v>
      </c>
      <c r="Z104" s="50">
        <f t="shared" si="113"/>
        <v>5</v>
      </c>
      <c r="AA104" s="50">
        <f t="shared" si="114"/>
        <v>5</v>
      </c>
      <c r="AB104" s="50">
        <f t="shared" si="115"/>
        <v>5</v>
      </c>
      <c r="AJ104" s="49"/>
      <c r="AK104" s="24">
        <v>58000000</v>
      </c>
      <c r="AL104" s="19"/>
    </row>
    <row r="105" spans="1:38" x14ac:dyDescent="0.35">
      <c r="A105" s="24">
        <f t="shared" si="126"/>
        <v>109</v>
      </c>
      <c r="B105" s="24">
        <v>150000</v>
      </c>
      <c r="C105" s="2">
        <v>1410</v>
      </c>
      <c r="D105" s="2">
        <v>0</v>
      </c>
      <c r="E105" s="59">
        <f t="shared" si="124"/>
        <v>60000000</v>
      </c>
      <c r="F105" s="24">
        <f t="shared" si="109"/>
        <v>2</v>
      </c>
      <c r="G105" s="24">
        <f t="shared" si="98"/>
        <v>24</v>
      </c>
      <c r="H105" s="24">
        <f t="shared" si="99"/>
        <v>24</v>
      </c>
      <c r="I105" s="24">
        <f t="shared" si="100"/>
        <v>24</v>
      </c>
      <c r="J105" s="24">
        <f t="shared" si="105"/>
        <v>600</v>
      </c>
      <c r="K105" s="24">
        <f t="shared" si="106"/>
        <v>600</v>
      </c>
      <c r="L105" s="24">
        <f t="shared" si="104"/>
        <v>60</v>
      </c>
      <c r="M105" s="24">
        <f t="shared" si="108"/>
        <v>280</v>
      </c>
      <c r="N105" s="24">
        <f t="shared" si="116"/>
        <v>5</v>
      </c>
      <c r="O105" s="24">
        <f t="shared" si="117"/>
        <v>0</v>
      </c>
      <c r="P105" s="24">
        <f t="shared" si="118"/>
        <v>0</v>
      </c>
      <c r="Q105" s="24">
        <f t="shared" si="119"/>
        <v>0</v>
      </c>
      <c r="R105" s="24">
        <f t="shared" si="107"/>
        <v>200000</v>
      </c>
      <c r="S105" s="24">
        <f t="shared" si="120"/>
        <v>0</v>
      </c>
      <c r="T105" s="24">
        <f t="shared" si="97"/>
        <v>0</v>
      </c>
      <c r="U105" s="24">
        <f t="shared" si="130"/>
        <v>100</v>
      </c>
      <c r="V105" s="24">
        <f t="shared" si="128"/>
        <v>15</v>
      </c>
      <c r="W105" s="24">
        <f t="shared" si="101"/>
        <v>0</v>
      </c>
      <c r="X105" s="50">
        <f t="shared" si="111"/>
        <v>5</v>
      </c>
      <c r="Y105" s="50">
        <f t="shared" si="112"/>
        <v>5</v>
      </c>
      <c r="Z105" s="50">
        <f t="shared" si="113"/>
        <v>5</v>
      </c>
      <c r="AA105" s="50">
        <f t="shared" si="114"/>
        <v>5</v>
      </c>
      <c r="AB105" s="50">
        <f t="shared" si="115"/>
        <v>5</v>
      </c>
      <c r="AJ105" s="49"/>
      <c r="AK105" s="24">
        <v>60000000</v>
      </c>
      <c r="AL105" s="19"/>
    </row>
    <row r="106" spans="1:38" x14ac:dyDescent="0.35">
      <c r="E106" s="70"/>
    </row>
  </sheetData>
  <phoneticPr fontId="55" type="noConversion"/>
  <conditionalFormatting sqref="C5:E5">
    <cfRule type="containsText" dxfId="722" priority="3" operator="containsText" text=" ">
      <formula>NOT(ISERROR(SEARCH(" ",C5)))</formula>
    </cfRule>
  </conditionalFormatting>
  <conditionalFormatting sqref="AJ5:AS5">
    <cfRule type="containsText" dxfId="721" priority="1" operator="containsText" text=" ">
      <formula>NOT(ISERROR(SEARCH(" ",AJ5)))</formula>
    </cfRule>
  </conditionalFormatting>
  <conditionalFormatting sqref="C17:C25">
    <cfRule type="containsText" dxfId="720" priority="2870" operator="containsText" text=" ">
      <formula>NOT(ISERROR(SEARCH(" ",C17)))</formula>
    </cfRule>
  </conditionalFormatting>
  <conditionalFormatting sqref="C27:C35">
    <cfRule type="containsText" dxfId="719" priority="2871" operator="containsText" text=" ">
      <formula>NOT(ISERROR(SEARCH(" ",C27)))</formula>
    </cfRule>
  </conditionalFormatting>
  <conditionalFormatting sqref="C37:C45">
    <cfRule type="containsText" dxfId="718" priority="2872" operator="containsText" text=" ">
      <formula>NOT(ISERROR(SEARCH(" ",C37)))</formula>
    </cfRule>
  </conditionalFormatting>
  <conditionalFormatting sqref="C47:C55">
    <cfRule type="containsText" dxfId="717" priority="2873" operator="containsText" text=" ">
      <formula>NOT(ISERROR(SEARCH(" ",C47)))</formula>
    </cfRule>
  </conditionalFormatting>
  <conditionalFormatting sqref="C57:C65">
    <cfRule type="containsText" dxfId="716" priority="2874" operator="containsText" text=" ">
      <formula>NOT(ISERROR(SEARCH(" ",C57)))</formula>
    </cfRule>
  </conditionalFormatting>
  <conditionalFormatting sqref="C67:C75">
    <cfRule type="containsText" dxfId="715" priority="2875" operator="containsText" text=" ">
      <formula>NOT(ISERROR(SEARCH(" ",C67)))</formula>
    </cfRule>
  </conditionalFormatting>
  <conditionalFormatting sqref="C77:C85">
    <cfRule type="containsText" dxfId="714" priority="2876" operator="containsText" text=" ">
      <formula>NOT(ISERROR(SEARCH(" ",C77)))</formula>
    </cfRule>
  </conditionalFormatting>
  <conditionalFormatting sqref="C87:C95">
    <cfRule type="containsText" dxfId="713" priority="2877" operator="containsText" text=" ">
      <formula>NOT(ISERROR(SEARCH(" ",C87)))</formula>
    </cfRule>
  </conditionalFormatting>
  <conditionalFormatting sqref="C97:C105">
    <cfRule type="containsText" dxfId="712" priority="37" operator="containsText" text=" ">
      <formula>NOT(ISERROR(SEARCH(" ",C97)))</formula>
    </cfRule>
  </conditionalFormatting>
  <conditionalFormatting sqref="C106:C1048576">
    <cfRule type="containsText" dxfId="711" priority="41" operator="containsText" text=" ">
      <formula>NOT(ISERROR(SEARCH(" ",C106)))</formula>
    </cfRule>
  </conditionalFormatting>
  <conditionalFormatting sqref="C6:D6 C7:C16 C26:D26 E6:E26 C36 E36 C46:D46 E46:E105 C56 C66:D66 C76 C86:D86 C96 D7:D25 D27:D45 D47:D65 D67:D85 D87:D105">
    <cfRule type="containsText" dxfId="710" priority="2869" operator="containsText" text=" ">
      <formula>NOT(ISERROR(SEARCH(" ",C6)))</formula>
    </cfRule>
  </conditionalFormatting>
  <conditionalFormatting sqref="E27 E37">
    <cfRule type="containsText" dxfId="709" priority="46" operator="containsText" text=" ">
      <formula>NOT(ISERROR(SEARCH(" ",E27)))</formula>
    </cfRule>
  </conditionalFormatting>
  <pageMargins left="0.7" right="0.7" top="0.75" bottom="0.75" header="0.3" footer="0.3"/>
  <pageSetup paperSize="9"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38"/>
  <sheetViews>
    <sheetView topLeftCell="A4" workbookViewId="0">
      <selection activeCell="B22" sqref="B22"/>
    </sheetView>
  </sheetViews>
  <sheetFormatPr defaultColWidth="8.88671875" defaultRowHeight="15.6" x14ac:dyDescent="0.35"/>
  <cols>
    <col min="1" max="1" width="23.5546875" style="31" customWidth="1"/>
    <col min="2" max="2" width="13.33203125" style="31" customWidth="1"/>
    <col min="3" max="3" width="17.21875" style="31" customWidth="1"/>
    <col min="4" max="4" width="16.5546875" style="31" customWidth="1"/>
    <col min="5" max="5" width="17.88671875" style="31" customWidth="1"/>
    <col min="6" max="6" width="17.5546875" style="31" customWidth="1"/>
    <col min="7" max="7" width="16.5546875" style="31" customWidth="1"/>
    <col min="8" max="8" width="19.88671875" style="31" customWidth="1"/>
    <col min="9" max="9" width="13" style="31" customWidth="1"/>
    <col min="10" max="10" width="13.33203125" style="31" customWidth="1"/>
    <col min="11" max="11" width="14.33203125" style="31" customWidth="1"/>
    <col min="12" max="16384" width="8.88671875" style="31"/>
  </cols>
  <sheetData>
    <row r="1" spans="1:14" x14ac:dyDescent="0.35">
      <c r="A1" s="3" t="s">
        <v>1290</v>
      </c>
      <c r="B1" s="3" t="s">
        <v>1290</v>
      </c>
      <c r="C1" s="3" t="s">
        <v>1290</v>
      </c>
      <c r="D1" s="35"/>
      <c r="E1" s="35"/>
      <c r="F1" s="35"/>
      <c r="G1" s="35"/>
      <c r="H1" s="35"/>
      <c r="I1" s="35"/>
      <c r="J1" s="35"/>
      <c r="K1" s="34"/>
    </row>
    <row r="2" spans="1:14" x14ac:dyDescent="0.35">
      <c r="A2" s="3" t="s">
        <v>14</v>
      </c>
      <c r="B2" s="3" t="s">
        <v>14</v>
      </c>
      <c r="C2" s="3" t="s">
        <v>14</v>
      </c>
    </row>
    <row r="3" spans="1:14" x14ac:dyDescent="0.35">
      <c r="A3" s="36" t="s">
        <v>141</v>
      </c>
      <c r="B3" s="36" t="s">
        <v>1594</v>
      </c>
      <c r="C3" s="37" t="s">
        <v>1595</v>
      </c>
    </row>
    <row r="4" spans="1:14" ht="39.6" x14ac:dyDescent="0.35">
      <c r="A4" s="5" t="s">
        <v>1596</v>
      </c>
      <c r="B4" s="5" t="s">
        <v>1597</v>
      </c>
      <c r="C4" s="38" t="s">
        <v>1598</v>
      </c>
    </row>
    <row r="5" spans="1:14" x14ac:dyDescent="0.35">
      <c r="A5" s="31" t="s">
        <v>1309</v>
      </c>
      <c r="B5" s="31" t="s">
        <v>1599</v>
      </c>
      <c r="C5" s="31" t="s">
        <v>1600</v>
      </c>
      <c r="E5" s="39" t="s">
        <v>1601</v>
      </c>
    </row>
    <row r="6" spans="1:14" x14ac:dyDescent="0.35">
      <c r="A6" s="31" t="s">
        <v>1315</v>
      </c>
      <c r="B6" s="31" t="s">
        <v>1602</v>
      </c>
      <c r="C6" s="31" t="s">
        <v>1600</v>
      </c>
      <c r="E6" s="40" t="s">
        <v>1603</v>
      </c>
    </row>
    <row r="7" spans="1:14" s="34" customFormat="1" x14ac:dyDescent="0.35">
      <c r="A7" s="31" t="s">
        <v>1186</v>
      </c>
      <c r="B7" s="31" t="s">
        <v>1604</v>
      </c>
      <c r="C7" s="31" t="s">
        <v>1600</v>
      </c>
      <c r="D7" s="31"/>
      <c r="E7" s="41" t="s">
        <v>1398</v>
      </c>
      <c r="F7" s="35"/>
      <c r="G7" s="35"/>
      <c r="H7" s="35"/>
      <c r="I7" s="35"/>
      <c r="J7" s="35"/>
    </row>
    <row r="8" spans="1:14" x14ac:dyDescent="0.35">
      <c r="A8" s="31" t="s">
        <v>1330</v>
      </c>
      <c r="B8" s="31" t="s">
        <v>1605</v>
      </c>
      <c r="C8" s="31" t="s">
        <v>1600</v>
      </c>
      <c r="E8" s="42" t="s">
        <v>1399</v>
      </c>
    </row>
    <row r="9" spans="1:14" x14ac:dyDescent="0.35">
      <c r="A9" s="31" t="s">
        <v>1321</v>
      </c>
      <c r="B9" s="31" t="s">
        <v>1606</v>
      </c>
      <c r="C9" s="31" t="s">
        <v>1600</v>
      </c>
      <c r="E9" s="43" t="s">
        <v>1390</v>
      </c>
    </row>
    <row r="10" spans="1:14" x14ac:dyDescent="0.35">
      <c r="A10" s="31" t="s">
        <v>1316</v>
      </c>
      <c r="B10" s="31" t="s">
        <v>1607</v>
      </c>
      <c r="C10" s="31" t="s">
        <v>1600</v>
      </c>
      <c r="E10" s="43" t="s">
        <v>1385</v>
      </c>
    </row>
    <row r="11" spans="1:14" x14ac:dyDescent="0.35">
      <c r="A11" s="31" t="s">
        <v>1317</v>
      </c>
      <c r="B11" s="31" t="s">
        <v>1608</v>
      </c>
      <c r="C11" s="31" t="s">
        <v>1600</v>
      </c>
      <c r="E11" s="40" t="s">
        <v>1609</v>
      </c>
    </row>
    <row r="12" spans="1:14" x14ac:dyDescent="0.35">
      <c r="A12" s="31" t="s">
        <v>1318</v>
      </c>
      <c r="B12" s="31" t="s">
        <v>1610</v>
      </c>
      <c r="C12" s="31" t="s">
        <v>1600</v>
      </c>
      <c r="E12" s="40" t="s">
        <v>1611</v>
      </c>
    </row>
    <row r="13" spans="1:14" x14ac:dyDescent="0.35">
      <c r="A13" s="31" t="s">
        <v>1320</v>
      </c>
      <c r="B13" s="31" t="s">
        <v>1612</v>
      </c>
      <c r="C13" s="31" t="s">
        <v>1600</v>
      </c>
      <c r="E13" s="40" t="s">
        <v>1389</v>
      </c>
      <c r="N13" s="31" t="s">
        <v>1613</v>
      </c>
    </row>
    <row r="14" spans="1:14" x14ac:dyDescent="0.35">
      <c r="A14" s="31" t="s">
        <v>1298</v>
      </c>
      <c r="B14" s="31" t="s">
        <v>1614</v>
      </c>
      <c r="C14" s="31" t="s">
        <v>1600</v>
      </c>
      <c r="E14" s="44" t="s">
        <v>1367</v>
      </c>
      <c r="N14" s="48" t="s">
        <v>1615</v>
      </c>
    </row>
    <row r="15" spans="1:14" x14ac:dyDescent="0.35">
      <c r="A15" s="31" t="s">
        <v>1076</v>
      </c>
      <c r="B15" s="31" t="s">
        <v>1616</v>
      </c>
      <c r="C15" s="34" t="s">
        <v>1600</v>
      </c>
      <c r="E15" s="41" t="s">
        <v>1397</v>
      </c>
      <c r="N15" s="31" t="s">
        <v>1617</v>
      </c>
    </row>
    <row r="16" spans="1:14" x14ac:dyDescent="0.35">
      <c r="A16" s="45" t="s">
        <v>1544</v>
      </c>
      <c r="B16" s="31" t="s">
        <v>1618</v>
      </c>
      <c r="C16" s="31" t="s">
        <v>1600</v>
      </c>
      <c r="E16" s="1" t="s">
        <v>1565</v>
      </c>
    </row>
    <row r="17" spans="1:5" x14ac:dyDescent="0.35">
      <c r="A17" s="45" t="s">
        <v>1545</v>
      </c>
      <c r="B17" s="31" t="s">
        <v>1619</v>
      </c>
      <c r="C17" s="31" t="s">
        <v>1600</v>
      </c>
      <c r="E17" s="1" t="s">
        <v>1566</v>
      </c>
    </row>
    <row r="18" spans="1:5" x14ac:dyDescent="0.35">
      <c r="A18" s="45" t="s">
        <v>1546</v>
      </c>
      <c r="B18" s="31" t="s">
        <v>1620</v>
      </c>
      <c r="C18" s="31" t="s">
        <v>1600</v>
      </c>
      <c r="E18" s="1" t="s">
        <v>1567</v>
      </c>
    </row>
    <row r="19" spans="1:5" x14ac:dyDescent="0.35">
      <c r="A19" s="45" t="s">
        <v>1547</v>
      </c>
      <c r="B19" s="31" t="s">
        <v>1621</v>
      </c>
      <c r="C19" s="31" t="s">
        <v>1600</v>
      </c>
      <c r="E19" s="1" t="s">
        <v>1568</v>
      </c>
    </row>
    <row r="20" spans="1:5" x14ac:dyDescent="0.35">
      <c r="A20" s="45" t="s">
        <v>1299</v>
      </c>
      <c r="B20" s="31" t="s">
        <v>1622</v>
      </c>
      <c r="C20" s="31" t="s">
        <v>1600</v>
      </c>
      <c r="E20" s="1" t="s">
        <v>1623</v>
      </c>
    </row>
    <row r="21" spans="1:5" x14ac:dyDescent="0.35">
      <c r="A21" s="45" t="s">
        <v>1300</v>
      </c>
      <c r="B21" s="31" t="s">
        <v>1624</v>
      </c>
      <c r="C21" s="31" t="s">
        <v>1600</v>
      </c>
      <c r="E21" s="1" t="s">
        <v>1625</v>
      </c>
    </row>
    <row r="22" spans="1:5" x14ac:dyDescent="0.35">
      <c r="A22" s="45" t="s">
        <v>1548</v>
      </c>
      <c r="B22" s="31" t="s">
        <v>1626</v>
      </c>
      <c r="C22" s="31" t="s">
        <v>1600</v>
      </c>
      <c r="E22" s="1" t="s">
        <v>1569</v>
      </c>
    </row>
    <row r="23" spans="1:5" x14ac:dyDescent="0.35">
      <c r="A23" s="45" t="s">
        <v>1549</v>
      </c>
      <c r="B23" s="31" t="s">
        <v>1627</v>
      </c>
      <c r="C23" s="31" t="s">
        <v>1600</v>
      </c>
      <c r="E23" s="1" t="s">
        <v>1628</v>
      </c>
    </row>
    <row r="24" spans="1:5" x14ac:dyDescent="0.35">
      <c r="A24" s="45" t="s">
        <v>1550</v>
      </c>
      <c r="B24" s="31" t="s">
        <v>1629</v>
      </c>
      <c r="C24" s="31" t="s">
        <v>1600</v>
      </c>
      <c r="E24" s="1" t="s">
        <v>1571</v>
      </c>
    </row>
    <row r="25" spans="1:5" x14ac:dyDescent="0.35">
      <c r="A25" s="45" t="s">
        <v>1551</v>
      </c>
      <c r="B25" s="31" t="s">
        <v>1630</v>
      </c>
      <c r="C25" s="31" t="s">
        <v>1600</v>
      </c>
      <c r="E25" s="1" t="s">
        <v>1572</v>
      </c>
    </row>
    <row r="26" spans="1:5" x14ac:dyDescent="0.35">
      <c r="A26" s="46" t="s">
        <v>1552</v>
      </c>
      <c r="B26" s="31" t="s">
        <v>1631</v>
      </c>
      <c r="C26" s="47" t="s">
        <v>1632</v>
      </c>
      <c r="E26" s="12" t="s">
        <v>1573</v>
      </c>
    </row>
    <row r="27" spans="1:5" x14ac:dyDescent="0.35">
      <c r="A27" s="46" t="s">
        <v>1553</v>
      </c>
      <c r="B27" s="31" t="s">
        <v>1633</v>
      </c>
      <c r="C27" s="47" t="s">
        <v>1632</v>
      </c>
      <c r="E27" s="12" t="s">
        <v>1574</v>
      </c>
    </row>
    <row r="28" spans="1:5" x14ac:dyDescent="0.35">
      <c r="A28" s="45" t="s">
        <v>1554</v>
      </c>
      <c r="B28" s="31" t="s">
        <v>1634</v>
      </c>
      <c r="C28" s="31" t="s">
        <v>1600</v>
      </c>
      <c r="E28" s="1" t="s">
        <v>1575</v>
      </c>
    </row>
    <row r="29" spans="1:5" x14ac:dyDescent="0.35">
      <c r="A29" s="45" t="s">
        <v>1555</v>
      </c>
      <c r="B29" s="31" t="s">
        <v>1635</v>
      </c>
      <c r="C29" s="31" t="s">
        <v>1600</v>
      </c>
      <c r="E29" s="1" t="s">
        <v>1576</v>
      </c>
    </row>
    <row r="30" spans="1:5" x14ac:dyDescent="0.35">
      <c r="A30" s="45" t="s">
        <v>1556</v>
      </c>
      <c r="B30" s="31" t="s">
        <v>1636</v>
      </c>
      <c r="C30" s="31" t="s">
        <v>1600</v>
      </c>
      <c r="E30" s="1" t="s">
        <v>1637</v>
      </c>
    </row>
    <row r="31" spans="1:5" x14ac:dyDescent="0.35">
      <c r="A31" s="45" t="s">
        <v>1557</v>
      </c>
      <c r="B31" s="31" t="s">
        <v>1638</v>
      </c>
      <c r="C31" s="31" t="s">
        <v>1600</v>
      </c>
      <c r="E31" s="1" t="s">
        <v>1578</v>
      </c>
    </row>
    <row r="32" spans="1:5" x14ac:dyDescent="0.35">
      <c r="A32" s="45" t="s">
        <v>1558</v>
      </c>
      <c r="B32" s="31" t="s">
        <v>1639</v>
      </c>
      <c r="C32" s="31" t="s">
        <v>1600</v>
      </c>
      <c r="E32" s="1" t="s">
        <v>1579</v>
      </c>
    </row>
    <row r="33" spans="1:5" x14ac:dyDescent="0.35">
      <c r="A33" s="45" t="s">
        <v>1559</v>
      </c>
      <c r="B33" s="31" t="s">
        <v>1640</v>
      </c>
      <c r="C33" s="31" t="s">
        <v>1600</v>
      </c>
      <c r="E33" s="1" t="s">
        <v>1580</v>
      </c>
    </row>
    <row r="34" spans="1:5" x14ac:dyDescent="0.35">
      <c r="A34" s="45" t="s">
        <v>1301</v>
      </c>
      <c r="B34" s="31" t="s">
        <v>1641</v>
      </c>
      <c r="C34" s="31" t="s">
        <v>1600</v>
      </c>
      <c r="E34" s="1" t="s">
        <v>1642</v>
      </c>
    </row>
    <row r="35" spans="1:5" x14ac:dyDescent="0.35">
      <c r="A35" s="45" t="s">
        <v>1302</v>
      </c>
      <c r="B35" s="31" t="s">
        <v>1643</v>
      </c>
      <c r="C35" s="31" t="s">
        <v>1600</v>
      </c>
      <c r="E35" s="1" t="s">
        <v>1644</v>
      </c>
    </row>
    <row r="36" spans="1:5" x14ac:dyDescent="0.35">
      <c r="A36" s="45" t="s">
        <v>1303</v>
      </c>
      <c r="B36" s="31" t="s">
        <v>1645</v>
      </c>
      <c r="C36" s="31" t="s">
        <v>1600</v>
      </c>
      <c r="E36" s="1" t="s">
        <v>1646</v>
      </c>
    </row>
    <row r="37" spans="1:5" x14ac:dyDescent="0.35">
      <c r="A37" s="45" t="s">
        <v>1304</v>
      </c>
      <c r="B37" s="31" t="s">
        <v>1647</v>
      </c>
      <c r="C37" s="31" t="s">
        <v>1600</v>
      </c>
      <c r="E37" s="1" t="s">
        <v>1648</v>
      </c>
    </row>
    <row r="38" spans="1:5" x14ac:dyDescent="0.35">
      <c r="A38" s="45" t="s">
        <v>1305</v>
      </c>
      <c r="B38" s="31" t="s">
        <v>1649</v>
      </c>
      <c r="C38" s="31" t="s">
        <v>1600</v>
      </c>
      <c r="E38" s="1" t="s">
        <v>1650</v>
      </c>
    </row>
  </sheetData>
  <phoneticPr fontId="55" type="noConversion"/>
  <conditionalFormatting sqref="A1:A33 A39:A1048576">
    <cfRule type="duplicateValues" dxfId="708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H8"/>
  <sheetViews>
    <sheetView workbookViewId="0">
      <selection activeCell="B7" sqref="B7"/>
    </sheetView>
  </sheetViews>
  <sheetFormatPr defaultColWidth="9" defaultRowHeight="15.6" x14ac:dyDescent="0.35"/>
  <cols>
    <col min="1" max="1" width="9" style="31"/>
    <col min="2" max="2" width="12.21875" style="31" customWidth="1"/>
    <col min="3" max="3" width="25.109375" style="31" customWidth="1"/>
    <col min="4" max="4" width="12.88671875" style="31" customWidth="1"/>
  </cols>
  <sheetData>
    <row r="1" spans="1:8" x14ac:dyDescent="0.35">
      <c r="A1" s="3" t="s">
        <v>1</v>
      </c>
      <c r="B1" s="3" t="s">
        <v>1</v>
      </c>
      <c r="C1" s="3" t="s">
        <v>1</v>
      </c>
    </row>
    <row r="2" spans="1:8" x14ac:dyDescent="0.35">
      <c r="A2" s="3" t="s">
        <v>11</v>
      </c>
      <c r="B2" s="3" t="s">
        <v>11</v>
      </c>
      <c r="C2" s="3" t="s">
        <v>11</v>
      </c>
    </row>
    <row r="3" spans="1:8" x14ac:dyDescent="0.35">
      <c r="A3" s="3" t="s">
        <v>141</v>
      </c>
      <c r="B3" s="3" t="s">
        <v>240</v>
      </c>
      <c r="C3" s="3" t="s">
        <v>1651</v>
      </c>
    </row>
    <row r="4" spans="1:8" ht="39.6" x14ac:dyDescent="0.35">
      <c r="A4" s="32" t="s">
        <v>174</v>
      </c>
      <c r="B4" s="32" t="s">
        <v>1652</v>
      </c>
      <c r="C4" s="32" t="s">
        <v>1653</v>
      </c>
      <c r="G4">
        <v>1000</v>
      </c>
      <c r="H4">
        <v>10000</v>
      </c>
    </row>
    <row r="5" spans="1:8" x14ac:dyDescent="0.35">
      <c r="A5" s="2">
        <v>1005</v>
      </c>
      <c r="B5" s="31" t="str">
        <f>RIGHT('道具|Item'!X18,LEN('道具|Item'!X18)-4)</f>
        <v>1000000</v>
      </c>
      <c r="C5" s="31" t="str">
        <f>B5</f>
        <v>1000000</v>
      </c>
      <c r="D5" s="31">
        <f>B5*5</f>
        <v>5000000</v>
      </c>
      <c r="F5" s="33" t="str">
        <f>C5</f>
        <v>1000000</v>
      </c>
      <c r="G5">
        <f>150*1000</f>
        <v>150000</v>
      </c>
    </row>
    <row r="6" spans="1:8" x14ac:dyDescent="0.35">
      <c r="A6" s="2">
        <v>1006</v>
      </c>
      <c r="B6" s="31" t="str">
        <f>RIGHT('道具|Item'!X19,LEN('道具|Item'!X19)-4)</f>
        <v>2000000</v>
      </c>
      <c r="C6" s="24">
        <f>D5</f>
        <v>5000000</v>
      </c>
      <c r="D6" s="31">
        <f>B6*5</f>
        <v>10000000</v>
      </c>
      <c r="F6" s="33">
        <f>B5*5</f>
        <v>5000000</v>
      </c>
    </row>
    <row r="7" spans="1:8" x14ac:dyDescent="0.35">
      <c r="A7" s="2">
        <v>1007</v>
      </c>
      <c r="B7" s="31" t="str">
        <f>RIGHT('道具|Item'!X20,LEN('道具|Item'!X20)-4)</f>
        <v>5000000</v>
      </c>
      <c r="C7" s="24">
        <f>D6</f>
        <v>10000000</v>
      </c>
      <c r="D7" s="31">
        <f>B7*5</f>
        <v>25000000</v>
      </c>
      <c r="F7" s="33">
        <f>B6*5</f>
        <v>10000000</v>
      </c>
      <c r="H7">
        <f>150*10000</f>
        <v>1500000</v>
      </c>
    </row>
    <row r="8" spans="1:8" x14ac:dyDescent="0.35">
      <c r="A8" s="2">
        <v>1008</v>
      </c>
      <c r="B8" s="31" t="str">
        <f>RIGHT('道具|Item'!X21,LEN('道具|Item'!X21)-4)</f>
        <v>10000000</v>
      </c>
      <c r="C8" s="24">
        <f>D7</f>
        <v>25000000</v>
      </c>
      <c r="F8" s="33">
        <f>B7*5</f>
        <v>25000000</v>
      </c>
    </row>
  </sheetData>
  <phoneticPr fontId="55" type="noConversion"/>
  <conditionalFormatting sqref="A5:A8">
    <cfRule type="containsText" dxfId="707" priority="1" operator="containsText" text=" ">
      <formula>NOT(ISERROR(SEARCH(" ",A5)))</formula>
    </cfRule>
  </conditionalFormatting>
  <pageMargins left="0.69930555555555596" right="0.69930555555555596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7"/>
  <dimension ref="A1:AC83"/>
  <sheetViews>
    <sheetView workbookViewId="0">
      <pane xSplit="3" ySplit="4" topLeftCell="D59" activePane="bottomRight" state="frozen"/>
      <selection pane="topRight"/>
      <selection pane="bottomLeft"/>
      <selection pane="bottomRight" activeCell="N76" sqref="N76"/>
    </sheetView>
  </sheetViews>
  <sheetFormatPr defaultColWidth="9" defaultRowHeight="15.6" x14ac:dyDescent="0.25"/>
  <cols>
    <col min="1" max="1" width="9.88671875" style="2" customWidth="1"/>
    <col min="2" max="2" width="25.21875" style="2" customWidth="1"/>
    <col min="3" max="3" width="20.77734375" style="2" customWidth="1"/>
    <col min="4" max="4" width="20" style="2" customWidth="1"/>
    <col min="5" max="7" width="14.77734375" style="2" customWidth="1"/>
    <col min="8" max="8" width="20.44140625" style="2" customWidth="1"/>
    <col min="9" max="9" width="26.44140625" style="2" customWidth="1"/>
    <col min="10" max="10" width="20.44140625" style="2" customWidth="1"/>
    <col min="11" max="12" width="17.44140625" style="2" customWidth="1"/>
    <col min="13" max="13" width="25.77734375" style="2" customWidth="1"/>
    <col min="14" max="14" width="20.44140625" style="2" customWidth="1"/>
    <col min="15" max="15" width="11.88671875" style="2" customWidth="1"/>
    <col min="16" max="16" width="13.44140625" style="2" customWidth="1"/>
    <col min="17" max="17" width="15.88671875" style="2" customWidth="1"/>
    <col min="18" max="18" width="10.44140625" style="2" customWidth="1"/>
    <col min="19" max="21" width="14.6640625" style="2" customWidth="1"/>
    <col min="22" max="22" width="9" style="2"/>
    <col min="23" max="23" width="14" style="2" customWidth="1"/>
    <col min="24" max="24" width="19.88671875" style="2" customWidth="1"/>
    <col min="25" max="25" width="14" style="2" customWidth="1"/>
    <col min="26" max="27" width="11.21875" style="2" customWidth="1"/>
    <col min="28" max="28" width="12" style="2" customWidth="1"/>
    <col min="29" max="16384" width="9" style="2"/>
  </cols>
  <sheetData>
    <row r="1" spans="1:29" x14ac:dyDescent="0.4">
      <c r="A1" s="3" t="s">
        <v>0</v>
      </c>
      <c r="B1" s="3" t="s">
        <v>1290</v>
      </c>
      <c r="C1" s="3" t="s">
        <v>0</v>
      </c>
      <c r="D1" s="17" t="s">
        <v>1</v>
      </c>
      <c r="E1" s="17" t="s">
        <v>1</v>
      </c>
      <c r="F1" s="17" t="s">
        <v>1</v>
      </c>
      <c r="G1" s="17" t="s">
        <v>1</v>
      </c>
      <c r="H1" s="3" t="s">
        <v>1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4" t="s">
        <v>0</v>
      </c>
      <c r="Q1" s="4" t="s">
        <v>1290</v>
      </c>
      <c r="R1" s="4" t="s">
        <v>0</v>
      </c>
      <c r="S1" s="4" t="s">
        <v>0</v>
      </c>
      <c r="T1" s="25" t="s">
        <v>0</v>
      </c>
      <c r="U1" s="25" t="s">
        <v>0</v>
      </c>
      <c r="V1" s="8" t="s">
        <v>0</v>
      </c>
      <c r="W1" s="8" t="s">
        <v>0</v>
      </c>
      <c r="X1" s="9" t="s">
        <v>0</v>
      </c>
      <c r="Y1" s="9" t="s">
        <v>0</v>
      </c>
      <c r="Z1" s="3" t="s">
        <v>0</v>
      </c>
      <c r="AA1" s="3" t="s">
        <v>0</v>
      </c>
      <c r="AB1" s="3" t="s">
        <v>0</v>
      </c>
    </row>
    <row r="2" spans="1:29" x14ac:dyDescent="0.4">
      <c r="A2" s="3" t="s">
        <v>11</v>
      </c>
      <c r="B2" s="3" t="s">
        <v>12</v>
      </c>
      <c r="C2" s="3" t="s">
        <v>14</v>
      </c>
      <c r="D2" s="17" t="s">
        <v>14</v>
      </c>
      <c r="E2" s="17" t="s">
        <v>11</v>
      </c>
      <c r="F2" s="17" t="s">
        <v>11</v>
      </c>
      <c r="G2" s="17" t="s">
        <v>11</v>
      </c>
      <c r="H2" s="3" t="s">
        <v>11</v>
      </c>
      <c r="I2" s="3" t="s">
        <v>14</v>
      </c>
      <c r="J2" s="3" t="s">
        <v>11</v>
      </c>
      <c r="K2" s="3" t="s">
        <v>11</v>
      </c>
      <c r="L2" s="3" t="s">
        <v>11</v>
      </c>
      <c r="M2" s="3" t="s">
        <v>11</v>
      </c>
      <c r="N2" s="3" t="s">
        <v>11</v>
      </c>
      <c r="O2" s="3" t="s">
        <v>14</v>
      </c>
      <c r="P2" s="4" t="s">
        <v>11</v>
      </c>
      <c r="Q2" s="4" t="s">
        <v>11</v>
      </c>
      <c r="R2" s="4" t="s">
        <v>11</v>
      </c>
      <c r="S2" s="4" t="s">
        <v>11</v>
      </c>
      <c r="T2" s="25" t="s">
        <v>11</v>
      </c>
      <c r="U2" s="25" t="s">
        <v>11</v>
      </c>
      <c r="V2" s="8" t="s">
        <v>11</v>
      </c>
      <c r="W2" s="8" t="s">
        <v>11</v>
      </c>
      <c r="X2" s="9" t="s">
        <v>14</v>
      </c>
      <c r="Y2" s="9" t="s">
        <v>11</v>
      </c>
      <c r="Z2" s="3" t="s">
        <v>11</v>
      </c>
      <c r="AA2" s="3" t="s">
        <v>11</v>
      </c>
      <c r="AB2" s="3" t="s">
        <v>11</v>
      </c>
      <c r="AC2" s="2" t="s">
        <v>1654</v>
      </c>
    </row>
    <row r="3" spans="1:29" x14ac:dyDescent="0.4">
      <c r="A3" s="3" t="s">
        <v>1655</v>
      </c>
      <c r="B3" s="3" t="s">
        <v>1656</v>
      </c>
      <c r="C3" s="3" t="s">
        <v>1657</v>
      </c>
      <c r="D3" s="17" t="s">
        <v>1658</v>
      </c>
      <c r="E3" s="17" t="s">
        <v>1659</v>
      </c>
      <c r="F3" s="17" t="s">
        <v>1660</v>
      </c>
      <c r="G3" s="17" t="s">
        <v>1661</v>
      </c>
      <c r="H3" s="3" t="s">
        <v>1662</v>
      </c>
      <c r="I3" s="3" t="s">
        <v>1663</v>
      </c>
      <c r="J3" s="3" t="s">
        <v>1664</v>
      </c>
      <c r="K3" s="3" t="s">
        <v>1665</v>
      </c>
      <c r="L3" s="3" t="s">
        <v>1666</v>
      </c>
      <c r="M3" s="3" t="s">
        <v>1667</v>
      </c>
      <c r="N3" s="3" t="s">
        <v>1668</v>
      </c>
      <c r="O3" s="3" t="s">
        <v>1669</v>
      </c>
      <c r="P3" s="4" t="s">
        <v>1670</v>
      </c>
      <c r="Q3" s="4" t="s">
        <v>1671</v>
      </c>
      <c r="R3" s="4" t="s">
        <v>1672</v>
      </c>
      <c r="S3" s="4" t="s">
        <v>1673</v>
      </c>
      <c r="T3" s="25" t="s">
        <v>1674</v>
      </c>
      <c r="U3" s="25" t="s">
        <v>1675</v>
      </c>
      <c r="V3" s="8" t="s">
        <v>1676</v>
      </c>
      <c r="W3" s="8" t="s">
        <v>1677</v>
      </c>
      <c r="X3" s="9" t="s">
        <v>1678</v>
      </c>
      <c r="Y3" s="9" t="s">
        <v>1679</v>
      </c>
      <c r="Z3" s="3" t="s">
        <v>1680</v>
      </c>
      <c r="AA3" s="3" t="s">
        <v>1681</v>
      </c>
      <c r="AB3" s="3" t="s">
        <v>1682</v>
      </c>
    </row>
    <row r="4" spans="1:29" s="1" customFormat="1" ht="158.4" x14ac:dyDescent="0.25">
      <c r="A4" s="5" t="s">
        <v>1683</v>
      </c>
      <c r="B4" s="6" t="s">
        <v>1684</v>
      </c>
      <c r="C4" s="5" t="s">
        <v>1685</v>
      </c>
      <c r="D4" s="18" t="s">
        <v>1686</v>
      </c>
      <c r="E4" s="18" t="s">
        <v>1687</v>
      </c>
      <c r="F4" s="18" t="s">
        <v>140</v>
      </c>
      <c r="G4" s="18" t="s">
        <v>1688</v>
      </c>
      <c r="H4" s="5" t="s">
        <v>1689</v>
      </c>
      <c r="I4" s="5" t="s">
        <v>1690</v>
      </c>
      <c r="J4" s="5" t="s">
        <v>1691</v>
      </c>
      <c r="K4" s="5" t="s">
        <v>1692</v>
      </c>
      <c r="L4" s="5" t="s">
        <v>1693</v>
      </c>
      <c r="M4" s="5" t="s">
        <v>1694</v>
      </c>
      <c r="N4" s="5" t="s">
        <v>1695</v>
      </c>
      <c r="O4" s="6" t="s">
        <v>1696</v>
      </c>
      <c r="P4" s="7" t="s">
        <v>1697</v>
      </c>
      <c r="Q4" s="7" t="s">
        <v>1698</v>
      </c>
      <c r="R4" s="7" t="s">
        <v>1699</v>
      </c>
      <c r="S4" s="7" t="s">
        <v>1700</v>
      </c>
      <c r="T4" s="26" t="s">
        <v>1701</v>
      </c>
      <c r="U4" s="26" t="s">
        <v>1702</v>
      </c>
      <c r="V4" s="10" t="s">
        <v>1703</v>
      </c>
      <c r="W4" s="10" t="s">
        <v>1704</v>
      </c>
      <c r="X4" s="11" t="s">
        <v>1705</v>
      </c>
      <c r="Y4" s="11" t="s">
        <v>1706</v>
      </c>
      <c r="Z4" s="5" t="s">
        <v>1707</v>
      </c>
      <c r="AA4" s="29" t="s">
        <v>1708</v>
      </c>
      <c r="AB4" s="5" t="s">
        <v>1709</v>
      </c>
      <c r="AC4" s="12" t="s">
        <v>1710</v>
      </c>
    </row>
    <row r="5" spans="1:29" x14ac:dyDescent="0.25">
      <c r="A5" s="2">
        <v>1</v>
      </c>
      <c r="B5" s="2" t="s">
        <v>1711</v>
      </c>
      <c r="C5" s="2" t="s">
        <v>1712</v>
      </c>
      <c r="D5" s="2" t="s">
        <v>233</v>
      </c>
      <c r="E5" s="2">
        <v>10000</v>
      </c>
      <c r="F5" s="2">
        <v>0</v>
      </c>
      <c r="G5" s="2">
        <v>1</v>
      </c>
      <c r="I5" s="2" t="s">
        <v>1713</v>
      </c>
      <c r="J5" s="2">
        <v>0</v>
      </c>
      <c r="M5" s="2">
        <v>0</v>
      </c>
      <c r="O5" s="2">
        <v>-1</v>
      </c>
      <c r="P5" s="2">
        <v>-1</v>
      </c>
      <c r="Q5" s="2">
        <v>0</v>
      </c>
      <c r="R5" s="2">
        <v>0</v>
      </c>
      <c r="S5" s="2">
        <v>-1</v>
      </c>
      <c r="T5" s="2">
        <v>-1</v>
      </c>
      <c r="U5" s="2">
        <v>-1</v>
      </c>
      <c r="V5" s="2">
        <v>0</v>
      </c>
      <c r="W5" s="2">
        <v>-1</v>
      </c>
      <c r="Y5" s="2">
        <v>-1</v>
      </c>
      <c r="Z5" s="2">
        <v>0</v>
      </c>
      <c r="AA5" s="2">
        <v>1</v>
      </c>
      <c r="AB5" s="2">
        <v>-1</v>
      </c>
    </row>
    <row r="6" spans="1:29" x14ac:dyDescent="0.25">
      <c r="A6" s="2">
        <v>2</v>
      </c>
      <c r="B6" s="2" t="s">
        <v>1714</v>
      </c>
      <c r="C6" s="2" t="s">
        <v>1715</v>
      </c>
      <c r="D6" s="2" t="s">
        <v>275</v>
      </c>
      <c r="E6" s="2">
        <v>1</v>
      </c>
      <c r="F6" s="2">
        <v>1</v>
      </c>
      <c r="G6" s="2">
        <v>0</v>
      </c>
      <c r="I6" s="2" t="s">
        <v>1716</v>
      </c>
      <c r="J6" s="2">
        <v>0</v>
      </c>
      <c r="M6" s="2">
        <v>0</v>
      </c>
      <c r="O6" s="2">
        <v>-1</v>
      </c>
      <c r="P6" s="2">
        <v>-1</v>
      </c>
      <c r="Q6" s="2">
        <v>0</v>
      </c>
      <c r="R6" s="2">
        <v>0</v>
      </c>
      <c r="S6" s="2">
        <v>-1</v>
      </c>
      <c r="T6" s="2">
        <v>-1</v>
      </c>
      <c r="U6" s="2">
        <v>-1</v>
      </c>
      <c r="V6" s="2">
        <v>0</v>
      </c>
      <c r="W6" s="2">
        <v>-1</v>
      </c>
      <c r="Y6" s="2">
        <v>-1</v>
      </c>
      <c r="Z6" s="2">
        <v>0</v>
      </c>
      <c r="AA6" s="2">
        <v>1</v>
      </c>
      <c r="AB6" s="2">
        <v>-1</v>
      </c>
    </row>
    <row r="7" spans="1:29" x14ac:dyDescent="0.25">
      <c r="A7" s="2">
        <v>3</v>
      </c>
      <c r="B7" s="2" t="s">
        <v>1717</v>
      </c>
      <c r="C7" s="2" t="s">
        <v>1718</v>
      </c>
      <c r="D7" s="2" t="s">
        <v>1719</v>
      </c>
      <c r="E7" s="2">
        <v>0</v>
      </c>
      <c r="F7" s="2">
        <v>0</v>
      </c>
      <c r="G7" s="2">
        <v>0</v>
      </c>
      <c r="J7" s="2">
        <v>0</v>
      </c>
      <c r="M7" s="2">
        <v>0</v>
      </c>
      <c r="O7" s="2">
        <v>-1</v>
      </c>
      <c r="P7" s="2">
        <v>-1</v>
      </c>
      <c r="Q7" s="2">
        <v>0</v>
      </c>
      <c r="R7" s="2">
        <v>0</v>
      </c>
      <c r="S7" s="2">
        <v>-1</v>
      </c>
      <c r="T7" s="2">
        <v>-1</v>
      </c>
      <c r="U7" s="2">
        <v>-1</v>
      </c>
      <c r="V7" s="2">
        <v>0</v>
      </c>
      <c r="W7" s="2">
        <v>-1</v>
      </c>
      <c r="Y7" s="2">
        <v>-1</v>
      </c>
      <c r="Z7" s="2">
        <v>0</v>
      </c>
      <c r="AA7" s="2">
        <v>1</v>
      </c>
      <c r="AB7" s="2">
        <v>-1</v>
      </c>
    </row>
    <row r="8" spans="1:29" x14ac:dyDescent="0.25">
      <c r="A8" s="2">
        <v>4</v>
      </c>
      <c r="B8" s="2" t="s">
        <v>1720</v>
      </c>
      <c r="C8" s="2" t="s">
        <v>1721</v>
      </c>
      <c r="D8" s="2" t="s">
        <v>1722</v>
      </c>
      <c r="E8" s="2">
        <v>0</v>
      </c>
      <c r="F8" s="2">
        <v>0</v>
      </c>
      <c r="G8" s="2">
        <v>0</v>
      </c>
      <c r="I8" s="2" t="s">
        <v>1723</v>
      </c>
      <c r="J8" s="2">
        <v>0</v>
      </c>
      <c r="M8" s="2">
        <v>0</v>
      </c>
      <c r="O8" s="2">
        <v>-1</v>
      </c>
      <c r="P8" s="2">
        <v>-1</v>
      </c>
      <c r="Q8" s="2">
        <v>0</v>
      </c>
      <c r="R8" s="2">
        <v>0</v>
      </c>
      <c r="S8" s="2">
        <v>-1</v>
      </c>
      <c r="T8" s="2">
        <v>-1</v>
      </c>
      <c r="U8" s="2">
        <v>-1</v>
      </c>
      <c r="V8" s="2">
        <v>0</v>
      </c>
      <c r="W8" s="2">
        <v>-1</v>
      </c>
      <c r="Y8" s="2">
        <v>-1</v>
      </c>
      <c r="Z8" s="2">
        <v>0</v>
      </c>
      <c r="AA8" s="2">
        <v>1</v>
      </c>
      <c r="AB8" s="2">
        <v>-1</v>
      </c>
    </row>
    <row r="9" spans="1:29" x14ac:dyDescent="0.25">
      <c r="A9" s="2">
        <v>5</v>
      </c>
      <c r="B9" s="2" t="s">
        <v>1724</v>
      </c>
      <c r="C9" s="2" t="s">
        <v>1718</v>
      </c>
      <c r="D9" s="2" t="s">
        <v>1725</v>
      </c>
      <c r="E9" s="2">
        <v>0</v>
      </c>
      <c r="F9" s="2">
        <v>0</v>
      </c>
      <c r="G9" s="2">
        <v>0</v>
      </c>
      <c r="J9" s="2">
        <v>0</v>
      </c>
      <c r="M9" s="2">
        <v>0</v>
      </c>
      <c r="O9" s="2">
        <v>-1</v>
      </c>
      <c r="P9" s="2">
        <v>-1</v>
      </c>
      <c r="Q9" s="2">
        <v>0</v>
      </c>
      <c r="R9" s="2">
        <v>0</v>
      </c>
      <c r="S9" s="2">
        <v>-1</v>
      </c>
      <c r="T9" s="2">
        <v>-1</v>
      </c>
      <c r="U9" s="2">
        <v>-1</v>
      </c>
      <c r="V9" s="2">
        <v>0</v>
      </c>
      <c r="W9" s="2">
        <v>-1</v>
      </c>
      <c r="Y9" s="2">
        <v>-1</v>
      </c>
      <c r="Z9" s="2">
        <v>0</v>
      </c>
      <c r="AA9" s="2">
        <v>1</v>
      </c>
      <c r="AB9" s="2">
        <v>-1</v>
      </c>
    </row>
    <row r="10" spans="1:29" x14ac:dyDescent="0.25">
      <c r="A10" s="2">
        <v>6</v>
      </c>
      <c r="B10" s="2" t="s">
        <v>1726</v>
      </c>
      <c r="C10" s="2" t="s">
        <v>1727</v>
      </c>
      <c r="D10" s="2" t="s">
        <v>1728</v>
      </c>
      <c r="E10" s="2">
        <v>0</v>
      </c>
      <c r="F10" s="2">
        <v>0</v>
      </c>
      <c r="G10" s="2">
        <v>0</v>
      </c>
      <c r="I10" s="2" t="s">
        <v>1729</v>
      </c>
      <c r="J10" s="2">
        <v>0</v>
      </c>
      <c r="M10" s="2">
        <v>0</v>
      </c>
      <c r="O10" s="2">
        <v>-1</v>
      </c>
      <c r="P10" s="2">
        <v>-1</v>
      </c>
      <c r="Q10" s="2">
        <v>0</v>
      </c>
      <c r="R10" s="2">
        <v>0</v>
      </c>
      <c r="S10" s="2">
        <v>-1</v>
      </c>
      <c r="T10" s="2">
        <v>-1</v>
      </c>
      <c r="U10" s="2">
        <v>-1</v>
      </c>
      <c r="V10" s="2">
        <v>0</v>
      </c>
      <c r="W10" s="2">
        <v>-1</v>
      </c>
      <c r="Y10" s="2">
        <v>-1</v>
      </c>
      <c r="Z10" s="2">
        <v>0</v>
      </c>
      <c r="AA10" s="2">
        <v>1</v>
      </c>
      <c r="AB10" s="2">
        <v>-1</v>
      </c>
    </row>
    <row r="11" spans="1:29" x14ac:dyDescent="0.25">
      <c r="A11" s="2">
        <v>7</v>
      </c>
      <c r="B11" s="2" t="s">
        <v>1730</v>
      </c>
      <c r="C11" s="2" t="s">
        <v>1731</v>
      </c>
      <c r="D11" s="2" t="s">
        <v>1732</v>
      </c>
      <c r="E11" s="2">
        <v>1</v>
      </c>
      <c r="F11" s="2">
        <v>1</v>
      </c>
      <c r="G11" s="2">
        <v>0</v>
      </c>
      <c r="I11" s="2" t="s">
        <v>1733</v>
      </c>
      <c r="J11" s="2">
        <v>0</v>
      </c>
      <c r="M11" s="2">
        <v>0</v>
      </c>
      <c r="O11" s="2">
        <v>-1</v>
      </c>
      <c r="P11" s="2">
        <v>-1</v>
      </c>
      <c r="Q11" s="2">
        <v>0</v>
      </c>
      <c r="R11" s="2">
        <v>0</v>
      </c>
      <c r="S11" s="2">
        <v>-1</v>
      </c>
      <c r="T11" s="2">
        <v>-1</v>
      </c>
      <c r="U11" s="2">
        <v>-1</v>
      </c>
      <c r="V11" s="2">
        <v>0</v>
      </c>
      <c r="W11" s="2">
        <v>-1</v>
      </c>
      <c r="Y11" s="2">
        <v>-1</v>
      </c>
      <c r="Z11" s="2">
        <v>0</v>
      </c>
      <c r="AA11" s="2">
        <v>1</v>
      </c>
      <c r="AB11" s="2">
        <v>-1</v>
      </c>
    </row>
    <row r="12" spans="1:29" x14ac:dyDescent="0.25">
      <c r="A12" s="2">
        <v>8</v>
      </c>
      <c r="B12" t="s">
        <v>1734</v>
      </c>
      <c r="C12" s="2" t="s">
        <v>1735</v>
      </c>
      <c r="D12" s="2" t="s">
        <v>1736</v>
      </c>
      <c r="E12" s="2">
        <v>0</v>
      </c>
      <c r="F12" s="2">
        <v>0</v>
      </c>
      <c r="G12" s="2">
        <v>0</v>
      </c>
      <c r="I12" s="2" t="s">
        <v>1737</v>
      </c>
      <c r="J12" s="2">
        <v>0</v>
      </c>
      <c r="M12" s="2">
        <v>0</v>
      </c>
      <c r="O12" s="2">
        <v>-1</v>
      </c>
      <c r="P12" s="2">
        <v>-1</v>
      </c>
      <c r="Q12" s="2">
        <v>0</v>
      </c>
      <c r="R12" s="2">
        <v>0</v>
      </c>
      <c r="S12" s="2">
        <v>-1</v>
      </c>
      <c r="T12" s="2">
        <v>-1</v>
      </c>
      <c r="U12" s="2">
        <v>-1</v>
      </c>
      <c r="V12" s="2">
        <v>0</v>
      </c>
      <c r="W12" s="2">
        <v>-1</v>
      </c>
      <c r="Y12" s="2">
        <v>-1</v>
      </c>
      <c r="Z12" s="2">
        <v>0</v>
      </c>
      <c r="AA12" s="2">
        <v>0</v>
      </c>
      <c r="AB12" s="2">
        <v>-1</v>
      </c>
    </row>
    <row r="13" spans="1:29" x14ac:dyDescent="0.35">
      <c r="A13" s="2">
        <v>1001</v>
      </c>
      <c r="B13" s="2" t="s">
        <v>1738</v>
      </c>
      <c r="C13" s="19" t="s">
        <v>1739</v>
      </c>
      <c r="D13" s="2" t="s">
        <v>1740</v>
      </c>
      <c r="E13" s="2">
        <v>20000</v>
      </c>
      <c r="F13" s="2">
        <v>0</v>
      </c>
      <c r="G13" s="2">
        <f>V13</f>
        <v>2</v>
      </c>
      <c r="I13" s="19" t="s">
        <v>1741</v>
      </c>
      <c r="J13" s="2">
        <v>1</v>
      </c>
      <c r="M13" s="2">
        <v>0</v>
      </c>
      <c r="O13" s="2" t="s">
        <v>1742</v>
      </c>
      <c r="P13" s="2">
        <v>30</v>
      </c>
      <c r="Q13" s="2">
        <v>10</v>
      </c>
      <c r="R13" s="2">
        <v>2</v>
      </c>
      <c r="S13" s="2">
        <v>30</v>
      </c>
      <c r="T13" s="2">
        <v>3000</v>
      </c>
      <c r="U13" s="2">
        <v>1000</v>
      </c>
      <c r="V13" s="2">
        <v>2</v>
      </c>
      <c r="W13" s="2">
        <v>100</v>
      </c>
      <c r="Y13" s="2">
        <v>-1</v>
      </c>
      <c r="Z13" s="2">
        <v>1</v>
      </c>
      <c r="AA13" s="2">
        <v>1</v>
      </c>
      <c r="AB13" s="2">
        <v>999</v>
      </c>
    </row>
    <row r="14" spans="1:29" x14ac:dyDescent="0.35">
      <c r="A14" s="2">
        <v>1002</v>
      </c>
      <c r="B14" s="2" t="s">
        <v>1743</v>
      </c>
      <c r="C14" s="19" t="s">
        <v>1744</v>
      </c>
      <c r="D14" s="2" t="s">
        <v>1745</v>
      </c>
      <c r="E14" s="2">
        <v>50000</v>
      </c>
      <c r="F14" s="2">
        <v>0</v>
      </c>
      <c r="G14" s="2">
        <f>V14</f>
        <v>5</v>
      </c>
      <c r="I14" s="19" t="s">
        <v>1746</v>
      </c>
      <c r="J14" s="2">
        <v>2</v>
      </c>
      <c r="M14" s="2">
        <v>0</v>
      </c>
      <c r="O14" s="2" t="s">
        <v>1742</v>
      </c>
      <c r="P14" s="2">
        <v>30</v>
      </c>
      <c r="Q14" s="2">
        <v>10</v>
      </c>
      <c r="R14" s="2">
        <v>2</v>
      </c>
      <c r="S14" s="2">
        <v>30</v>
      </c>
      <c r="T14" s="2">
        <v>3000</v>
      </c>
      <c r="U14" s="2">
        <v>1000</v>
      </c>
      <c r="V14" s="2">
        <v>5</v>
      </c>
      <c r="W14" s="2">
        <v>50</v>
      </c>
      <c r="Y14" s="2">
        <v>-1</v>
      </c>
      <c r="Z14" s="2">
        <v>1</v>
      </c>
      <c r="AA14" s="2">
        <v>1</v>
      </c>
      <c r="AB14" s="2">
        <v>999</v>
      </c>
    </row>
    <row r="15" spans="1:29" x14ac:dyDescent="0.35">
      <c r="A15" s="2">
        <v>1003</v>
      </c>
      <c r="B15" s="2" t="s">
        <v>1747</v>
      </c>
      <c r="C15" s="19" t="s">
        <v>1748</v>
      </c>
      <c r="D15" s="2" t="s">
        <v>1749</v>
      </c>
      <c r="E15" s="2">
        <v>200000</v>
      </c>
      <c r="F15" s="2">
        <v>0</v>
      </c>
      <c r="G15" s="2">
        <f>V15</f>
        <v>20</v>
      </c>
      <c r="I15" s="19" t="s">
        <v>1750</v>
      </c>
      <c r="J15" s="2">
        <v>3</v>
      </c>
      <c r="M15" s="2">
        <v>0</v>
      </c>
      <c r="O15" s="2">
        <v>2</v>
      </c>
      <c r="P15" s="2">
        <v>-1</v>
      </c>
      <c r="Q15" s="2">
        <v>0</v>
      </c>
      <c r="R15" s="2">
        <v>0</v>
      </c>
      <c r="S15" s="2">
        <v>-1</v>
      </c>
      <c r="T15" s="2">
        <v>-1</v>
      </c>
      <c r="U15" s="2">
        <v>-1</v>
      </c>
      <c r="V15" s="2">
        <v>20</v>
      </c>
      <c r="W15" s="2">
        <v>10</v>
      </c>
      <c r="Y15" s="2">
        <v>-1</v>
      </c>
      <c r="Z15" s="2">
        <v>1</v>
      </c>
      <c r="AA15" s="2">
        <v>1</v>
      </c>
      <c r="AB15" s="2">
        <v>999</v>
      </c>
    </row>
    <row r="16" spans="1:29" x14ac:dyDescent="0.35">
      <c r="A16" s="2">
        <v>1004</v>
      </c>
      <c r="B16" s="2" t="s">
        <v>1751</v>
      </c>
      <c r="C16" s="19" t="s">
        <v>1752</v>
      </c>
      <c r="D16" s="2" t="s">
        <v>1753</v>
      </c>
      <c r="E16" s="2">
        <v>20000</v>
      </c>
      <c r="F16" s="2">
        <v>0</v>
      </c>
      <c r="G16" s="2">
        <f>V16</f>
        <v>2</v>
      </c>
      <c r="I16" s="19" t="s">
        <v>1754</v>
      </c>
      <c r="J16" s="2">
        <v>4</v>
      </c>
      <c r="M16" s="2">
        <v>0</v>
      </c>
      <c r="O16" s="2" t="s">
        <v>1742</v>
      </c>
      <c r="P16" s="2">
        <v>30</v>
      </c>
      <c r="Q16" s="2">
        <v>10</v>
      </c>
      <c r="R16" s="2">
        <v>2</v>
      </c>
      <c r="S16" s="2">
        <v>30</v>
      </c>
      <c r="T16" s="2">
        <v>3000</v>
      </c>
      <c r="U16" s="2">
        <v>1000</v>
      </c>
      <c r="V16" s="2">
        <v>2</v>
      </c>
      <c r="W16" s="2">
        <v>100</v>
      </c>
      <c r="Y16" s="2">
        <v>-1</v>
      </c>
      <c r="Z16" s="2">
        <v>1</v>
      </c>
      <c r="AA16" s="2">
        <v>1</v>
      </c>
      <c r="AB16" s="2">
        <v>999</v>
      </c>
    </row>
    <row r="17" spans="1:28" x14ac:dyDescent="0.35">
      <c r="A17" s="2">
        <v>1009</v>
      </c>
      <c r="B17" s="2" t="s">
        <v>1755</v>
      </c>
      <c r="C17" s="19" t="s">
        <v>1756</v>
      </c>
      <c r="D17" s="2" t="s">
        <v>1757</v>
      </c>
      <c r="E17" s="2">
        <v>20000</v>
      </c>
      <c r="F17" s="2">
        <v>0</v>
      </c>
      <c r="G17" s="2">
        <f>V17</f>
        <v>20</v>
      </c>
      <c r="I17" t="s">
        <v>1758</v>
      </c>
      <c r="J17" s="2">
        <v>4</v>
      </c>
      <c r="M17" s="2">
        <v>1</v>
      </c>
      <c r="O17" s="2">
        <v>2</v>
      </c>
      <c r="P17" s="2">
        <v>-1</v>
      </c>
      <c r="Q17" s="2">
        <v>0</v>
      </c>
      <c r="R17" s="2">
        <v>0</v>
      </c>
      <c r="S17" s="2">
        <v>0</v>
      </c>
      <c r="T17" s="2">
        <v>-1</v>
      </c>
      <c r="U17" s="2">
        <v>-1</v>
      </c>
      <c r="V17" s="2">
        <v>20</v>
      </c>
      <c r="W17" s="2">
        <v>10</v>
      </c>
      <c r="Y17" s="2">
        <v>-1</v>
      </c>
      <c r="Z17" s="2">
        <v>1</v>
      </c>
      <c r="AA17" s="2">
        <v>1</v>
      </c>
      <c r="AB17" s="2">
        <v>999</v>
      </c>
    </row>
    <row r="18" spans="1:28" x14ac:dyDescent="0.35">
      <c r="A18" s="2">
        <v>1005</v>
      </c>
      <c r="B18" s="2" t="s">
        <v>1759</v>
      </c>
      <c r="C18" s="19" t="s">
        <v>1760</v>
      </c>
      <c r="D18" s="2" t="s">
        <v>1761</v>
      </c>
      <c r="E18" s="20">
        <v>1000000</v>
      </c>
      <c r="F18" s="2">
        <f>E18</f>
        <v>1000000</v>
      </c>
      <c r="G18" s="2">
        <v>0</v>
      </c>
      <c r="I18" s="19" t="s">
        <v>1762</v>
      </c>
      <c r="J18" s="2">
        <v>10</v>
      </c>
      <c r="M18" s="2">
        <v>150</v>
      </c>
      <c r="O18" s="2" t="s">
        <v>1763</v>
      </c>
      <c r="P18" s="2">
        <v>5</v>
      </c>
      <c r="Q18" s="2">
        <v>1</v>
      </c>
      <c r="R18" s="2">
        <v>2</v>
      </c>
      <c r="S18" s="2">
        <v>5</v>
      </c>
      <c r="T18" s="2">
        <v>100</v>
      </c>
      <c r="U18" s="2">
        <v>30</v>
      </c>
      <c r="V18" s="2">
        <v>0</v>
      </c>
      <c r="W18" s="2">
        <v>-1</v>
      </c>
      <c r="X18" s="20" t="s">
        <v>1477</v>
      </c>
      <c r="Y18" s="2">
        <v>1</v>
      </c>
      <c r="Z18" s="2">
        <v>1</v>
      </c>
      <c r="AA18" s="2">
        <v>1</v>
      </c>
      <c r="AB18" s="2">
        <v>999</v>
      </c>
    </row>
    <row r="19" spans="1:28" x14ac:dyDescent="0.35">
      <c r="A19" s="2">
        <v>1006</v>
      </c>
      <c r="B19" s="2" t="s">
        <v>1764</v>
      </c>
      <c r="C19" s="19" t="s">
        <v>1765</v>
      </c>
      <c r="D19" s="2" t="s">
        <v>1766</v>
      </c>
      <c r="E19" s="20">
        <v>2000000</v>
      </c>
      <c r="F19" s="2">
        <f t="shared" ref="F19:F44" si="0">E19</f>
        <v>2000000</v>
      </c>
      <c r="G19" s="2">
        <v>0</v>
      </c>
      <c r="I19" s="19" t="s">
        <v>1767</v>
      </c>
      <c r="J19" s="2">
        <v>10</v>
      </c>
      <c r="M19" s="2">
        <v>200</v>
      </c>
      <c r="O19" s="2" t="s">
        <v>1763</v>
      </c>
      <c r="P19" s="2">
        <v>5</v>
      </c>
      <c r="Q19" s="2">
        <v>1</v>
      </c>
      <c r="R19" s="2">
        <v>2</v>
      </c>
      <c r="S19" s="2">
        <v>5</v>
      </c>
      <c r="T19" s="2">
        <v>100</v>
      </c>
      <c r="U19" s="2">
        <v>30</v>
      </c>
      <c r="V19" s="2">
        <v>0</v>
      </c>
      <c r="W19" s="2">
        <v>-1</v>
      </c>
      <c r="X19" s="20" t="s">
        <v>1456</v>
      </c>
      <c r="Y19" s="2">
        <v>1</v>
      </c>
      <c r="Z19" s="2">
        <v>1</v>
      </c>
      <c r="AA19" s="2">
        <v>1</v>
      </c>
      <c r="AB19" s="2">
        <v>999</v>
      </c>
    </row>
    <row r="20" spans="1:28" x14ac:dyDescent="0.35">
      <c r="A20" s="2">
        <v>1007</v>
      </c>
      <c r="B20" s="2" t="s">
        <v>1768</v>
      </c>
      <c r="C20" s="19" t="s">
        <v>1769</v>
      </c>
      <c r="D20" s="2" t="s">
        <v>1770</v>
      </c>
      <c r="E20" s="20">
        <v>5000000</v>
      </c>
      <c r="F20" s="2">
        <f t="shared" si="0"/>
        <v>5000000</v>
      </c>
      <c r="G20" s="2">
        <v>0</v>
      </c>
      <c r="I20" s="19" t="s">
        <v>1771</v>
      </c>
      <c r="J20" s="2">
        <v>10</v>
      </c>
      <c r="M20" s="2">
        <v>250</v>
      </c>
      <c r="O20" s="2" t="s">
        <v>1763</v>
      </c>
      <c r="P20" s="2">
        <v>5</v>
      </c>
      <c r="Q20" s="2">
        <v>1</v>
      </c>
      <c r="R20" s="2">
        <v>2</v>
      </c>
      <c r="S20" s="2">
        <v>5</v>
      </c>
      <c r="T20" s="2">
        <v>100</v>
      </c>
      <c r="U20" s="2">
        <v>30</v>
      </c>
      <c r="V20" s="2">
        <v>0</v>
      </c>
      <c r="W20" s="2">
        <v>-1</v>
      </c>
      <c r="X20" s="20" t="s">
        <v>1465</v>
      </c>
      <c r="Y20" s="2">
        <v>1</v>
      </c>
      <c r="Z20" s="2">
        <v>1</v>
      </c>
      <c r="AA20" s="2">
        <v>1</v>
      </c>
      <c r="AB20" s="2">
        <v>999</v>
      </c>
    </row>
    <row r="21" spans="1:28" x14ac:dyDescent="0.35">
      <c r="A21" s="2">
        <v>1008</v>
      </c>
      <c r="B21" s="2" t="s">
        <v>1772</v>
      </c>
      <c r="C21" s="19" t="s">
        <v>1773</v>
      </c>
      <c r="D21" s="2" t="s">
        <v>1774</v>
      </c>
      <c r="E21" s="20">
        <v>10000000</v>
      </c>
      <c r="F21" s="2">
        <f t="shared" si="0"/>
        <v>10000000</v>
      </c>
      <c r="G21" s="2">
        <v>0</v>
      </c>
      <c r="I21" s="19" t="s">
        <v>1775</v>
      </c>
      <c r="J21" s="2">
        <v>10</v>
      </c>
      <c r="M21" s="2">
        <v>300</v>
      </c>
      <c r="O21" s="2" t="s">
        <v>1763</v>
      </c>
      <c r="P21" s="2">
        <v>5</v>
      </c>
      <c r="Q21" s="2">
        <v>1</v>
      </c>
      <c r="R21" s="2">
        <v>2</v>
      </c>
      <c r="S21" s="2">
        <v>5</v>
      </c>
      <c r="T21" s="2">
        <v>100</v>
      </c>
      <c r="U21" s="2">
        <v>30</v>
      </c>
      <c r="V21" s="2">
        <v>0</v>
      </c>
      <c r="W21" s="2">
        <v>-1</v>
      </c>
      <c r="X21" s="20" t="s">
        <v>1474</v>
      </c>
      <c r="Y21" s="2">
        <v>1</v>
      </c>
      <c r="Z21" s="2">
        <v>1</v>
      </c>
      <c r="AA21" s="2">
        <v>1</v>
      </c>
      <c r="AB21" s="2">
        <v>999</v>
      </c>
    </row>
    <row r="22" spans="1:28" x14ac:dyDescent="0.25">
      <c r="A22" s="2">
        <v>1101</v>
      </c>
      <c r="C22" s="2" t="s">
        <v>1776</v>
      </c>
      <c r="D22" s="2" t="s">
        <v>1777</v>
      </c>
      <c r="E22" s="2">
        <v>0</v>
      </c>
      <c r="F22" s="2">
        <f t="shared" si="0"/>
        <v>0</v>
      </c>
      <c r="G22" s="2">
        <v>0</v>
      </c>
      <c r="I22" s="2" t="s">
        <v>1778</v>
      </c>
      <c r="J22" s="2">
        <v>5</v>
      </c>
      <c r="M22" s="2">
        <v>0</v>
      </c>
      <c r="O22" s="2">
        <v>4</v>
      </c>
      <c r="P22" s="2">
        <v>-1</v>
      </c>
      <c r="Q22" s="2">
        <v>0</v>
      </c>
      <c r="R22" s="2">
        <v>0</v>
      </c>
      <c r="S22" s="2">
        <v>-1</v>
      </c>
      <c r="T22" s="2">
        <v>-1</v>
      </c>
      <c r="U22" s="2">
        <v>-1</v>
      </c>
      <c r="V22" s="2">
        <v>0</v>
      </c>
      <c r="W22" s="2">
        <v>-1</v>
      </c>
      <c r="Y22" s="2">
        <v>-1</v>
      </c>
      <c r="Z22" s="2">
        <v>0</v>
      </c>
      <c r="AA22" s="2">
        <v>1</v>
      </c>
      <c r="AB22" s="2">
        <v>1</v>
      </c>
    </row>
    <row r="23" spans="1:28" s="13" customFormat="1" x14ac:dyDescent="0.25">
      <c r="A23" s="13">
        <v>1201</v>
      </c>
      <c r="B23" s="13" t="s">
        <v>1779</v>
      </c>
      <c r="C23" s="13" t="s">
        <v>1780</v>
      </c>
      <c r="D23" s="13" t="s">
        <v>1781</v>
      </c>
      <c r="E23" s="13">
        <v>0</v>
      </c>
      <c r="F23" s="13">
        <f t="shared" si="0"/>
        <v>0</v>
      </c>
      <c r="G23" s="13">
        <v>0</v>
      </c>
      <c r="I23" s="13" t="s">
        <v>1782</v>
      </c>
      <c r="J23" s="13">
        <v>7</v>
      </c>
      <c r="M23" s="13">
        <v>6</v>
      </c>
      <c r="O23" s="13">
        <v>-1</v>
      </c>
      <c r="P23" s="13">
        <v>-1</v>
      </c>
      <c r="Q23" s="13">
        <v>0</v>
      </c>
      <c r="R23" s="13">
        <v>0</v>
      </c>
      <c r="S23" s="13">
        <v>-1</v>
      </c>
      <c r="T23" s="13">
        <v>-1</v>
      </c>
      <c r="U23" s="13">
        <v>-1</v>
      </c>
      <c r="V23" s="13">
        <v>0</v>
      </c>
      <c r="W23" s="13">
        <v>-1</v>
      </c>
      <c r="Y23" s="13">
        <v>-1</v>
      </c>
      <c r="Z23" s="13">
        <v>0</v>
      </c>
      <c r="AA23" s="13">
        <v>1</v>
      </c>
      <c r="AB23" s="13">
        <v>-1</v>
      </c>
    </row>
    <row r="24" spans="1:28" s="13" customFormat="1" x14ac:dyDescent="0.25">
      <c r="A24" s="13">
        <v>1214</v>
      </c>
      <c r="B24" s="13" t="s">
        <v>1779</v>
      </c>
      <c r="C24" s="13" t="s">
        <v>1780</v>
      </c>
      <c r="D24" s="13" t="s">
        <v>1781</v>
      </c>
      <c r="E24" s="13">
        <v>0</v>
      </c>
      <c r="F24" s="13">
        <f t="shared" ref="F24" si="1">E24</f>
        <v>0</v>
      </c>
      <c r="G24" s="13">
        <v>0</v>
      </c>
      <c r="I24" s="13" t="s">
        <v>1782</v>
      </c>
      <c r="J24" s="13">
        <v>7</v>
      </c>
      <c r="M24" s="13">
        <v>7</v>
      </c>
      <c r="O24" s="13">
        <v>-1</v>
      </c>
      <c r="P24" s="13">
        <v>-1</v>
      </c>
      <c r="Q24" s="13">
        <v>0</v>
      </c>
      <c r="R24" s="13">
        <v>0</v>
      </c>
      <c r="S24" s="13">
        <v>-1</v>
      </c>
      <c r="T24" s="13">
        <v>-1</v>
      </c>
      <c r="U24" s="13">
        <v>-1</v>
      </c>
      <c r="V24" s="13">
        <v>0</v>
      </c>
      <c r="W24" s="13">
        <v>-1</v>
      </c>
      <c r="Y24" s="13">
        <v>-1</v>
      </c>
      <c r="Z24" s="13">
        <v>0</v>
      </c>
      <c r="AA24" s="13">
        <v>1</v>
      </c>
      <c r="AB24" s="13">
        <v>-1</v>
      </c>
    </row>
    <row r="25" spans="1:28" s="13" customFormat="1" x14ac:dyDescent="0.25">
      <c r="A25" s="13">
        <v>1215</v>
      </c>
      <c r="B25" s="13" t="s">
        <v>1779</v>
      </c>
      <c r="C25" s="13" t="s">
        <v>1780</v>
      </c>
      <c r="D25" s="13" t="s">
        <v>1781</v>
      </c>
      <c r="E25" s="13">
        <v>0</v>
      </c>
      <c r="F25" s="13">
        <f t="shared" ref="F25" si="2">E25</f>
        <v>0</v>
      </c>
      <c r="G25" s="13">
        <v>0</v>
      </c>
      <c r="I25" s="13" t="s">
        <v>1782</v>
      </c>
      <c r="J25" s="13">
        <v>7</v>
      </c>
      <c r="M25" s="13">
        <v>8</v>
      </c>
      <c r="O25" s="13">
        <v>-1</v>
      </c>
      <c r="P25" s="13">
        <v>-1</v>
      </c>
      <c r="Q25" s="13">
        <v>0</v>
      </c>
      <c r="R25" s="13">
        <v>0</v>
      </c>
      <c r="S25" s="13">
        <v>-1</v>
      </c>
      <c r="T25" s="13">
        <v>-1</v>
      </c>
      <c r="U25" s="13">
        <v>-1</v>
      </c>
      <c r="V25" s="13">
        <v>0</v>
      </c>
      <c r="W25" s="13">
        <v>-1</v>
      </c>
      <c r="Y25" s="13">
        <v>-1</v>
      </c>
      <c r="Z25" s="13">
        <v>0</v>
      </c>
      <c r="AA25" s="13">
        <v>1</v>
      </c>
      <c r="AB25" s="13">
        <v>-1</v>
      </c>
    </row>
    <row r="26" spans="1:28" s="13" customFormat="1" x14ac:dyDescent="0.25">
      <c r="A26" s="13">
        <v>1202</v>
      </c>
      <c r="B26" s="13" t="s">
        <v>1783</v>
      </c>
      <c r="C26" s="13" t="s">
        <v>1784</v>
      </c>
      <c r="D26" s="13" t="s">
        <v>1785</v>
      </c>
      <c r="E26" s="13">
        <v>0</v>
      </c>
      <c r="F26" s="13">
        <f t="shared" si="0"/>
        <v>0</v>
      </c>
      <c r="G26" s="13">
        <v>0</v>
      </c>
      <c r="I26" s="13" t="s">
        <v>1786</v>
      </c>
      <c r="J26" s="13">
        <v>7</v>
      </c>
      <c r="M26" s="13">
        <v>5</v>
      </c>
      <c r="O26" s="13">
        <v>-1</v>
      </c>
      <c r="P26" s="13">
        <v>-1</v>
      </c>
      <c r="Q26" s="13">
        <v>0</v>
      </c>
      <c r="R26" s="13">
        <v>0</v>
      </c>
      <c r="S26" s="13">
        <v>-1</v>
      </c>
      <c r="T26" s="13">
        <v>-1</v>
      </c>
      <c r="U26" s="13">
        <v>-1</v>
      </c>
      <c r="V26" s="13">
        <v>0</v>
      </c>
      <c r="W26" s="13">
        <v>-1</v>
      </c>
      <c r="Y26" s="13">
        <v>-1</v>
      </c>
      <c r="Z26" s="13">
        <v>0</v>
      </c>
      <c r="AA26" s="13">
        <v>1</v>
      </c>
      <c r="AB26" s="13">
        <v>-1</v>
      </c>
    </row>
    <row r="27" spans="1:28" s="13" customFormat="1" x14ac:dyDescent="0.25">
      <c r="A27" s="13">
        <v>1203</v>
      </c>
      <c r="B27" s="13" t="s">
        <v>1783</v>
      </c>
      <c r="C27" s="13" t="s">
        <v>1787</v>
      </c>
      <c r="D27" s="13" t="s">
        <v>1788</v>
      </c>
      <c r="E27" s="13">
        <v>0</v>
      </c>
      <c r="F27" s="13">
        <f t="shared" si="0"/>
        <v>0</v>
      </c>
      <c r="G27" s="13">
        <v>0</v>
      </c>
      <c r="I27" s="13" t="s">
        <v>1789</v>
      </c>
      <c r="J27" s="13">
        <v>7</v>
      </c>
      <c r="M27" s="13">
        <v>4</v>
      </c>
      <c r="O27" s="13">
        <v>-1</v>
      </c>
      <c r="P27" s="13">
        <v>-1</v>
      </c>
      <c r="Q27" s="13">
        <v>0</v>
      </c>
      <c r="R27" s="13">
        <v>0</v>
      </c>
      <c r="S27" s="13">
        <v>-1</v>
      </c>
      <c r="T27" s="13">
        <v>-1</v>
      </c>
      <c r="U27" s="13">
        <v>-1</v>
      </c>
      <c r="V27" s="13">
        <v>0</v>
      </c>
      <c r="W27" s="13">
        <v>-1</v>
      </c>
      <c r="Y27" s="13">
        <v>-1</v>
      </c>
      <c r="Z27" s="13">
        <v>0</v>
      </c>
      <c r="AA27" s="13">
        <v>1</v>
      </c>
      <c r="AB27" s="13">
        <v>-1</v>
      </c>
    </row>
    <row r="28" spans="1:28" x14ac:dyDescent="0.25">
      <c r="A28" s="2">
        <v>1204</v>
      </c>
      <c r="B28" s="2" t="s">
        <v>1790</v>
      </c>
      <c r="C28" s="2" t="s">
        <v>1791</v>
      </c>
      <c r="D28" s="2" t="s">
        <v>1792</v>
      </c>
      <c r="E28" s="2">
        <v>5000</v>
      </c>
      <c r="F28" s="2">
        <f t="shared" si="0"/>
        <v>5000</v>
      </c>
      <c r="G28" s="2">
        <v>0</v>
      </c>
      <c r="I28" s="2" t="s">
        <v>1793</v>
      </c>
      <c r="J28" s="2">
        <v>0</v>
      </c>
      <c r="M28" s="2">
        <v>0</v>
      </c>
      <c r="O28" s="2">
        <v>6</v>
      </c>
      <c r="P28" s="2">
        <v>-1</v>
      </c>
      <c r="Q28" s="2">
        <v>0</v>
      </c>
      <c r="R28" s="2">
        <v>0</v>
      </c>
      <c r="S28" s="2">
        <v>-1</v>
      </c>
      <c r="T28" s="2">
        <v>-1</v>
      </c>
      <c r="U28" s="2">
        <v>-1</v>
      </c>
      <c r="V28" s="2">
        <v>0</v>
      </c>
      <c r="W28" s="2">
        <v>-1</v>
      </c>
      <c r="Y28" s="2">
        <v>-1</v>
      </c>
      <c r="Z28" s="2">
        <v>0</v>
      </c>
      <c r="AA28" s="2">
        <v>1</v>
      </c>
      <c r="AB28" s="2">
        <v>-1</v>
      </c>
    </row>
    <row r="29" spans="1:28" x14ac:dyDescent="0.25">
      <c r="A29" s="2">
        <v>1205</v>
      </c>
      <c r="B29" s="2" t="s">
        <v>1794</v>
      </c>
      <c r="C29" s="2" t="s">
        <v>1795</v>
      </c>
      <c r="D29" s="2" t="s">
        <v>1796</v>
      </c>
      <c r="E29" s="20">
        <v>800000</v>
      </c>
      <c r="F29" s="2">
        <f t="shared" si="0"/>
        <v>800000</v>
      </c>
      <c r="G29" s="2">
        <v>0</v>
      </c>
      <c r="I29" s="2" t="s">
        <v>1797</v>
      </c>
      <c r="J29" s="2">
        <v>8</v>
      </c>
      <c r="M29" s="2">
        <v>2</v>
      </c>
      <c r="O29" s="2" t="s">
        <v>1798</v>
      </c>
      <c r="P29" s="2">
        <v>-1</v>
      </c>
      <c r="Q29" s="2">
        <v>0</v>
      </c>
      <c r="R29" s="2">
        <v>0</v>
      </c>
      <c r="S29" s="2">
        <v>-1</v>
      </c>
      <c r="T29" s="2">
        <v>-1</v>
      </c>
      <c r="U29" s="2">
        <v>-1</v>
      </c>
      <c r="V29" s="2">
        <v>0</v>
      </c>
      <c r="W29" s="2">
        <v>-1</v>
      </c>
      <c r="X29" s="20" t="s">
        <v>1799</v>
      </c>
      <c r="Y29" s="2">
        <v>1</v>
      </c>
      <c r="Z29" s="2">
        <v>0</v>
      </c>
      <c r="AA29" s="2">
        <v>1</v>
      </c>
      <c r="AB29" s="2">
        <v>999</v>
      </c>
    </row>
    <row r="30" spans="1:28" x14ac:dyDescent="0.25">
      <c r="A30" s="2">
        <v>1206</v>
      </c>
      <c r="B30" s="2" t="s">
        <v>1800</v>
      </c>
      <c r="C30" s="2" t="s">
        <v>1801</v>
      </c>
      <c r="D30" s="2" t="s">
        <v>1802</v>
      </c>
      <c r="E30" s="20">
        <v>2000000</v>
      </c>
      <c r="F30" s="2">
        <f t="shared" si="0"/>
        <v>2000000</v>
      </c>
      <c r="G30" s="2">
        <v>0</v>
      </c>
      <c r="I30" s="2" t="s">
        <v>1797</v>
      </c>
      <c r="J30" s="2">
        <v>8</v>
      </c>
      <c r="M30" s="2">
        <v>5</v>
      </c>
      <c r="O30" s="2" t="s">
        <v>1798</v>
      </c>
      <c r="P30" s="2">
        <v>-1</v>
      </c>
      <c r="Q30" s="2">
        <v>0</v>
      </c>
      <c r="R30" s="2">
        <v>0</v>
      </c>
      <c r="S30" s="2">
        <v>-1</v>
      </c>
      <c r="T30" s="2">
        <v>-1</v>
      </c>
      <c r="U30" s="2">
        <v>-1</v>
      </c>
      <c r="V30" s="2">
        <v>0</v>
      </c>
      <c r="W30" s="2">
        <v>-1</v>
      </c>
      <c r="X30" s="20" t="s">
        <v>1456</v>
      </c>
      <c r="Y30" s="2">
        <v>1</v>
      </c>
      <c r="Z30" s="2">
        <v>0</v>
      </c>
      <c r="AA30" s="2">
        <v>1</v>
      </c>
      <c r="AB30" s="2">
        <v>999</v>
      </c>
    </row>
    <row r="31" spans="1:28" x14ac:dyDescent="0.25">
      <c r="A31" s="2">
        <v>1212</v>
      </c>
      <c r="B31" s="2" t="s">
        <v>1803</v>
      </c>
      <c r="C31" s="2" t="s">
        <v>1804</v>
      </c>
      <c r="D31" s="2" t="s">
        <v>1805</v>
      </c>
      <c r="E31" s="20">
        <v>4000000</v>
      </c>
      <c r="F31" s="2">
        <f t="shared" si="0"/>
        <v>4000000</v>
      </c>
      <c r="G31" s="2">
        <v>0</v>
      </c>
      <c r="I31" s="2" t="s">
        <v>1797</v>
      </c>
      <c r="J31" s="2">
        <v>8</v>
      </c>
      <c r="M31" s="2">
        <v>10</v>
      </c>
      <c r="O31" s="2" t="s">
        <v>1798</v>
      </c>
      <c r="P31" s="2">
        <v>-1</v>
      </c>
      <c r="Q31" s="2">
        <v>0</v>
      </c>
      <c r="R31" s="2">
        <v>0</v>
      </c>
      <c r="S31" s="2">
        <v>-1</v>
      </c>
      <c r="T31" s="2">
        <v>-1</v>
      </c>
      <c r="U31" s="2">
        <v>-1</v>
      </c>
      <c r="V31" s="2">
        <v>0</v>
      </c>
      <c r="W31" s="2">
        <v>-1</v>
      </c>
      <c r="X31" s="20" t="s">
        <v>1806</v>
      </c>
      <c r="Y31" s="2">
        <v>1</v>
      </c>
      <c r="Z31" s="2">
        <v>0</v>
      </c>
      <c r="AA31" s="2">
        <v>1</v>
      </c>
      <c r="AB31" s="2">
        <v>999</v>
      </c>
    </row>
    <row r="32" spans="1:28" x14ac:dyDescent="0.25">
      <c r="A32" s="2">
        <v>1209</v>
      </c>
      <c r="B32" s="2" t="s">
        <v>1807</v>
      </c>
      <c r="C32" s="2" t="s">
        <v>1808</v>
      </c>
      <c r="D32" s="2" t="s">
        <v>1809</v>
      </c>
      <c r="E32" s="20">
        <v>12000000</v>
      </c>
      <c r="F32" s="2">
        <f t="shared" si="0"/>
        <v>12000000</v>
      </c>
      <c r="G32" s="2">
        <v>0</v>
      </c>
      <c r="I32" s="2" t="s">
        <v>1797</v>
      </c>
      <c r="J32" s="2">
        <v>8</v>
      </c>
      <c r="M32" s="2">
        <v>30</v>
      </c>
      <c r="O32" s="2" t="s">
        <v>1798</v>
      </c>
      <c r="P32" s="2">
        <v>-1</v>
      </c>
      <c r="Q32" s="2">
        <v>0</v>
      </c>
      <c r="R32" s="2">
        <v>0</v>
      </c>
      <c r="S32" s="2">
        <v>-1</v>
      </c>
      <c r="T32" s="2">
        <v>-1</v>
      </c>
      <c r="U32" s="2">
        <v>-1</v>
      </c>
      <c r="V32" s="2">
        <v>0</v>
      </c>
      <c r="W32" s="2">
        <v>-1</v>
      </c>
      <c r="X32" s="20" t="s">
        <v>1810</v>
      </c>
      <c r="Y32" s="2">
        <v>1</v>
      </c>
      <c r="Z32" s="2">
        <v>0</v>
      </c>
      <c r="AA32" s="2">
        <v>1</v>
      </c>
      <c r="AB32" s="2">
        <v>999</v>
      </c>
    </row>
    <row r="33" spans="1:28" x14ac:dyDescent="0.25">
      <c r="A33" s="2">
        <v>1210</v>
      </c>
      <c r="B33" s="2" t="s">
        <v>1811</v>
      </c>
      <c r="C33" s="2" t="s">
        <v>1812</v>
      </c>
      <c r="D33" s="2" t="s">
        <v>1813</v>
      </c>
      <c r="E33" s="20">
        <v>20000000</v>
      </c>
      <c r="F33" s="2">
        <f t="shared" si="0"/>
        <v>20000000</v>
      </c>
      <c r="G33" s="2">
        <v>0</v>
      </c>
      <c r="I33" s="2" t="s">
        <v>1797</v>
      </c>
      <c r="J33" s="2">
        <v>8</v>
      </c>
      <c r="M33" s="2">
        <v>50</v>
      </c>
      <c r="O33" s="2" t="s">
        <v>1798</v>
      </c>
      <c r="P33" s="2">
        <v>-1</v>
      </c>
      <c r="Q33" s="2">
        <v>0</v>
      </c>
      <c r="R33" s="2">
        <v>0</v>
      </c>
      <c r="S33" s="2">
        <v>-1</v>
      </c>
      <c r="T33" s="2">
        <v>-1</v>
      </c>
      <c r="U33" s="2">
        <v>-1</v>
      </c>
      <c r="V33" s="2">
        <v>0</v>
      </c>
      <c r="W33" s="2">
        <v>-1</v>
      </c>
      <c r="X33" s="20" t="s">
        <v>1539</v>
      </c>
      <c r="Y33" s="2">
        <v>1</v>
      </c>
      <c r="Z33" s="2">
        <v>0</v>
      </c>
      <c r="AA33" s="2">
        <v>1</v>
      </c>
      <c r="AB33" s="2">
        <v>999</v>
      </c>
    </row>
    <row r="34" spans="1:28" s="14" customFormat="1" x14ac:dyDescent="0.25">
      <c r="A34" s="14">
        <v>1211</v>
      </c>
      <c r="B34" s="14" t="s">
        <v>1814</v>
      </c>
      <c r="C34" s="14" t="s">
        <v>1815</v>
      </c>
      <c r="D34" s="2" t="s">
        <v>1816</v>
      </c>
      <c r="E34" s="20">
        <v>400000</v>
      </c>
      <c r="F34" s="2">
        <f t="shared" si="0"/>
        <v>400000</v>
      </c>
      <c r="G34" s="2">
        <v>0</v>
      </c>
      <c r="I34" s="14" t="s">
        <v>1797</v>
      </c>
      <c r="J34" s="14">
        <v>8</v>
      </c>
      <c r="M34" s="14">
        <v>1</v>
      </c>
      <c r="O34" s="14" t="s">
        <v>1798</v>
      </c>
      <c r="P34" s="14">
        <v>-1</v>
      </c>
      <c r="Q34" s="14">
        <v>0</v>
      </c>
      <c r="R34" s="14">
        <v>0</v>
      </c>
      <c r="S34" s="14">
        <v>-1</v>
      </c>
      <c r="T34" s="2">
        <v>-1</v>
      </c>
      <c r="U34" s="2">
        <v>-1</v>
      </c>
      <c r="V34" s="14">
        <v>0</v>
      </c>
      <c r="W34" s="14">
        <v>-1</v>
      </c>
      <c r="X34" s="20" t="s">
        <v>1817</v>
      </c>
      <c r="Y34" s="14">
        <v>1</v>
      </c>
      <c r="Z34" s="14">
        <v>0</v>
      </c>
      <c r="AA34" s="2">
        <v>1</v>
      </c>
      <c r="AB34" s="14">
        <v>999</v>
      </c>
    </row>
    <row r="35" spans="1:28" s="15" customFormat="1" x14ac:dyDescent="0.25">
      <c r="A35" s="15">
        <v>1213</v>
      </c>
      <c r="B35" s="15" t="s">
        <v>1818</v>
      </c>
      <c r="C35" s="15" t="s">
        <v>1819</v>
      </c>
      <c r="D35" s="2" t="s">
        <v>1820</v>
      </c>
      <c r="E35" s="20">
        <v>400000</v>
      </c>
      <c r="F35" s="2">
        <f t="shared" si="0"/>
        <v>400000</v>
      </c>
      <c r="G35" s="2">
        <v>0</v>
      </c>
      <c r="I35" s="15" t="s">
        <v>1821</v>
      </c>
      <c r="J35" s="15">
        <v>0</v>
      </c>
      <c r="M35" s="15">
        <v>0</v>
      </c>
      <c r="O35" s="15" t="s">
        <v>1822</v>
      </c>
      <c r="P35" s="15">
        <v>-1</v>
      </c>
      <c r="Q35" s="15">
        <v>0</v>
      </c>
      <c r="R35" s="15">
        <v>0</v>
      </c>
      <c r="S35" s="15">
        <v>-1</v>
      </c>
      <c r="T35" s="2">
        <v>-1</v>
      </c>
      <c r="U35" s="2">
        <v>-1</v>
      </c>
      <c r="V35" s="15">
        <v>0</v>
      </c>
      <c r="W35" s="15">
        <v>-1</v>
      </c>
      <c r="X35" s="20" t="s">
        <v>1817</v>
      </c>
      <c r="Y35" s="15">
        <v>1</v>
      </c>
      <c r="Z35" s="15">
        <v>0</v>
      </c>
      <c r="AA35" s="2">
        <v>1</v>
      </c>
      <c r="AB35" s="15">
        <v>-1</v>
      </c>
    </row>
    <row r="36" spans="1:28" x14ac:dyDescent="0.25">
      <c r="A36" s="2">
        <v>1600</v>
      </c>
      <c r="B36" s="2" t="s">
        <v>1823</v>
      </c>
      <c r="C36" s="2" t="s">
        <v>1824</v>
      </c>
      <c r="D36" s="2" t="s">
        <v>1825</v>
      </c>
      <c r="E36" s="20">
        <v>0</v>
      </c>
      <c r="F36" s="2">
        <f t="shared" si="0"/>
        <v>0</v>
      </c>
      <c r="G36" s="2">
        <v>0</v>
      </c>
      <c r="I36" s="2" t="s">
        <v>1826</v>
      </c>
      <c r="J36" s="2">
        <v>12</v>
      </c>
      <c r="M36" s="2">
        <v>0</v>
      </c>
      <c r="O36" s="2">
        <v>6</v>
      </c>
      <c r="P36" s="2">
        <v>-1</v>
      </c>
      <c r="Q36" s="2">
        <v>0</v>
      </c>
      <c r="R36" s="2">
        <v>0</v>
      </c>
      <c r="S36" s="2">
        <v>-1</v>
      </c>
      <c r="T36" s="2">
        <v>-1</v>
      </c>
      <c r="U36" s="2">
        <v>-1</v>
      </c>
      <c r="V36" s="2">
        <v>0</v>
      </c>
      <c r="W36" s="2">
        <v>-1</v>
      </c>
      <c r="X36" s="20"/>
      <c r="Y36" s="2">
        <v>-1</v>
      </c>
      <c r="Z36" s="2">
        <v>0</v>
      </c>
      <c r="AA36" s="2">
        <v>1</v>
      </c>
      <c r="AB36" s="2">
        <v>-1</v>
      </c>
    </row>
    <row r="37" spans="1:28" x14ac:dyDescent="0.25">
      <c r="A37" s="2">
        <v>1601</v>
      </c>
      <c r="B37" s="2" t="s">
        <v>1827</v>
      </c>
      <c r="C37" s="2" t="s">
        <v>1828</v>
      </c>
      <c r="D37" s="2" t="s">
        <v>1829</v>
      </c>
      <c r="E37" s="20">
        <v>0</v>
      </c>
      <c r="F37" s="2">
        <f t="shared" si="0"/>
        <v>0</v>
      </c>
      <c r="G37" s="2">
        <v>0</v>
      </c>
      <c r="I37" s="2" t="s">
        <v>1830</v>
      </c>
      <c r="J37" s="2">
        <v>12</v>
      </c>
      <c r="M37" s="2">
        <v>0</v>
      </c>
      <c r="O37" s="2">
        <v>6</v>
      </c>
      <c r="P37" s="2">
        <v>-1</v>
      </c>
      <c r="Q37" s="2">
        <v>0</v>
      </c>
      <c r="R37" s="2">
        <v>0</v>
      </c>
      <c r="S37" s="2">
        <v>-1</v>
      </c>
      <c r="T37" s="2">
        <v>-1</v>
      </c>
      <c r="U37" s="2">
        <v>-1</v>
      </c>
      <c r="V37" s="2">
        <v>0</v>
      </c>
      <c r="W37" s="2">
        <v>-1</v>
      </c>
      <c r="X37" s="20"/>
      <c r="Y37" s="2">
        <v>-1</v>
      </c>
      <c r="Z37" s="2">
        <v>0</v>
      </c>
      <c r="AA37" s="2">
        <v>1</v>
      </c>
      <c r="AB37" s="2">
        <v>-1</v>
      </c>
    </row>
    <row r="38" spans="1:28" x14ac:dyDescent="0.35">
      <c r="A38" s="2">
        <v>1603</v>
      </c>
      <c r="B38" s="2" t="s">
        <v>1831</v>
      </c>
      <c r="C38" s="19" t="s">
        <v>1832</v>
      </c>
      <c r="D38" s="2" t="s">
        <v>1833</v>
      </c>
      <c r="E38" s="2">
        <f>V38*10000*1</f>
        <v>100000</v>
      </c>
      <c r="F38" s="2">
        <f t="shared" si="0"/>
        <v>100000</v>
      </c>
      <c r="G38" s="2">
        <v>0</v>
      </c>
      <c r="I38" s="19" t="s">
        <v>1834</v>
      </c>
      <c r="J38" s="2">
        <v>12</v>
      </c>
      <c r="M38" s="2">
        <v>0</v>
      </c>
      <c r="O38" s="2">
        <v>2</v>
      </c>
      <c r="P38" s="2">
        <v>-1</v>
      </c>
      <c r="Q38" s="2">
        <v>0</v>
      </c>
      <c r="R38" s="2">
        <v>0</v>
      </c>
      <c r="S38" s="2">
        <v>-1</v>
      </c>
      <c r="T38" s="2">
        <v>-1</v>
      </c>
      <c r="U38" s="2">
        <v>-1</v>
      </c>
      <c r="V38" s="2">
        <v>10</v>
      </c>
      <c r="W38" s="2">
        <v>1</v>
      </c>
      <c r="Y38" s="2">
        <v>-1</v>
      </c>
      <c r="Z38" s="2">
        <v>0</v>
      </c>
      <c r="AA38" s="22">
        <v>0</v>
      </c>
      <c r="AB38" s="2">
        <v>-1</v>
      </c>
    </row>
    <row r="39" spans="1:28" x14ac:dyDescent="0.35">
      <c r="A39" s="2">
        <v>1604</v>
      </c>
      <c r="B39" s="2" t="s">
        <v>1835</v>
      </c>
      <c r="C39" s="19" t="s">
        <v>1836</v>
      </c>
      <c r="D39" s="2" t="s">
        <v>1837</v>
      </c>
      <c r="E39" s="2">
        <v>0</v>
      </c>
      <c r="F39" s="2">
        <f t="shared" si="0"/>
        <v>0</v>
      </c>
      <c r="G39" s="2">
        <v>0</v>
      </c>
      <c r="I39" s="19" t="s">
        <v>1838</v>
      </c>
      <c r="J39" s="2">
        <v>12</v>
      </c>
      <c r="M39" s="2">
        <v>0</v>
      </c>
      <c r="O39" s="2">
        <v>2</v>
      </c>
      <c r="P39" s="2">
        <v>-1</v>
      </c>
      <c r="Q39" s="2">
        <v>0</v>
      </c>
      <c r="R39" s="2">
        <v>0</v>
      </c>
      <c r="S39" s="2">
        <v>-1</v>
      </c>
      <c r="T39" s="2">
        <v>-1</v>
      </c>
      <c r="U39" s="2">
        <v>-1</v>
      </c>
      <c r="V39" s="2">
        <v>0</v>
      </c>
      <c r="W39" s="2">
        <v>-1</v>
      </c>
      <c r="Y39" s="2">
        <v>-1</v>
      </c>
      <c r="Z39" s="2">
        <v>0</v>
      </c>
      <c r="AA39" s="2">
        <v>0</v>
      </c>
      <c r="AB39" s="2">
        <v>-1</v>
      </c>
    </row>
    <row r="40" spans="1:28" x14ac:dyDescent="0.35">
      <c r="A40" s="2">
        <v>1605</v>
      </c>
      <c r="B40" s="2" t="s">
        <v>1839</v>
      </c>
      <c r="C40" s="19" t="s">
        <v>1840</v>
      </c>
      <c r="D40" s="2" t="s">
        <v>1841</v>
      </c>
      <c r="E40" s="2">
        <v>100000</v>
      </c>
      <c r="F40" s="2">
        <f t="shared" si="0"/>
        <v>100000</v>
      </c>
      <c r="G40" s="2">
        <v>0</v>
      </c>
      <c r="I40" s="19" t="s">
        <v>1842</v>
      </c>
      <c r="J40" s="2">
        <v>12</v>
      </c>
      <c r="M40" s="2">
        <v>0</v>
      </c>
      <c r="O40" s="2">
        <v>2</v>
      </c>
      <c r="P40" s="2">
        <v>-1</v>
      </c>
      <c r="Q40" s="2">
        <v>0</v>
      </c>
      <c r="R40" s="2">
        <v>0</v>
      </c>
      <c r="S40" s="2">
        <v>-1</v>
      </c>
      <c r="T40" s="2">
        <v>-1</v>
      </c>
      <c r="U40" s="2">
        <v>-1</v>
      </c>
      <c r="V40" s="2">
        <v>5</v>
      </c>
      <c r="W40" s="2">
        <v>10</v>
      </c>
      <c r="Y40" s="2">
        <v>-1</v>
      </c>
      <c r="Z40" s="2">
        <v>0</v>
      </c>
      <c r="AA40" s="22">
        <v>0</v>
      </c>
      <c r="AB40" s="2">
        <v>999</v>
      </c>
    </row>
    <row r="41" spans="1:28" ht="17.25" customHeight="1" x14ac:dyDescent="0.35">
      <c r="A41" s="2">
        <v>1606</v>
      </c>
      <c r="B41" s="2" t="s">
        <v>1843</v>
      </c>
      <c r="C41" s="19" t="s">
        <v>1844</v>
      </c>
      <c r="D41" s="2" t="s">
        <v>1845</v>
      </c>
      <c r="E41" s="2">
        <v>400000</v>
      </c>
      <c r="F41" s="2">
        <f t="shared" si="0"/>
        <v>400000</v>
      </c>
      <c r="G41" s="2">
        <v>0</v>
      </c>
      <c r="I41" s="19" t="s">
        <v>1846</v>
      </c>
      <c r="J41" s="2">
        <v>12</v>
      </c>
      <c r="M41" s="2">
        <v>0</v>
      </c>
      <c r="O41" s="2">
        <v>2</v>
      </c>
      <c r="P41" s="2">
        <v>-1</v>
      </c>
      <c r="Q41" s="2">
        <v>0</v>
      </c>
      <c r="R41" s="2">
        <v>0</v>
      </c>
      <c r="S41" s="2">
        <v>-1</v>
      </c>
      <c r="T41" s="2">
        <v>-1</v>
      </c>
      <c r="U41" s="2">
        <v>-1</v>
      </c>
      <c r="V41" s="2">
        <v>20</v>
      </c>
      <c r="W41" s="2">
        <v>10</v>
      </c>
      <c r="Y41" s="2">
        <v>-1</v>
      </c>
      <c r="Z41" s="2">
        <v>0</v>
      </c>
      <c r="AA41" s="22">
        <v>0</v>
      </c>
      <c r="AB41" s="2">
        <v>999</v>
      </c>
    </row>
    <row r="42" spans="1:28" x14ac:dyDescent="0.35">
      <c r="A42" s="2">
        <v>1607</v>
      </c>
      <c r="B42" s="2" t="s">
        <v>1847</v>
      </c>
      <c r="C42" s="19" t="s">
        <v>1848</v>
      </c>
      <c r="D42" s="2" t="s">
        <v>1849</v>
      </c>
      <c r="E42" s="2">
        <v>1000000</v>
      </c>
      <c r="F42" s="2">
        <f t="shared" si="0"/>
        <v>1000000</v>
      </c>
      <c r="G42" s="2">
        <v>0</v>
      </c>
      <c r="I42" s="19" t="s">
        <v>1850</v>
      </c>
      <c r="J42" s="2">
        <v>12</v>
      </c>
      <c r="M42" s="2">
        <v>0</v>
      </c>
      <c r="O42" s="2">
        <v>2</v>
      </c>
      <c r="P42" s="2">
        <v>-1</v>
      </c>
      <c r="Q42" s="2">
        <v>0</v>
      </c>
      <c r="R42" s="2">
        <v>0</v>
      </c>
      <c r="S42" s="2">
        <v>-1</v>
      </c>
      <c r="T42" s="2">
        <v>-1</v>
      </c>
      <c r="U42" s="2">
        <v>-1</v>
      </c>
      <c r="V42" s="2">
        <v>50</v>
      </c>
      <c r="W42" s="2">
        <v>10</v>
      </c>
      <c r="Y42" s="2">
        <v>-1</v>
      </c>
      <c r="Z42" s="2">
        <v>0</v>
      </c>
      <c r="AA42" s="22">
        <v>0</v>
      </c>
      <c r="AB42" s="2">
        <v>999</v>
      </c>
    </row>
    <row r="43" spans="1:28" s="13" customFormat="1" x14ac:dyDescent="0.25">
      <c r="A43" s="13">
        <v>2001</v>
      </c>
      <c r="B43" s="13" t="s">
        <v>1851</v>
      </c>
      <c r="C43" s="13" t="s">
        <v>1852</v>
      </c>
      <c r="D43" s="13" t="s">
        <v>1853</v>
      </c>
      <c r="E43" s="13">
        <v>300000</v>
      </c>
      <c r="F43" s="13">
        <f t="shared" si="0"/>
        <v>300000</v>
      </c>
      <c r="G43" s="13">
        <v>0</v>
      </c>
      <c r="I43" s="13" t="s">
        <v>1854</v>
      </c>
      <c r="J43" s="13">
        <v>20</v>
      </c>
      <c r="M43" s="13">
        <v>5</v>
      </c>
      <c r="O43" s="13" t="s">
        <v>1798</v>
      </c>
      <c r="P43" s="13">
        <v>-1</v>
      </c>
      <c r="Q43" s="13">
        <v>0</v>
      </c>
      <c r="R43" s="13">
        <v>0</v>
      </c>
      <c r="S43" s="13">
        <v>-1</v>
      </c>
      <c r="T43" s="13">
        <v>-1</v>
      </c>
      <c r="U43" s="13">
        <v>-1</v>
      </c>
      <c r="V43" s="13">
        <v>0</v>
      </c>
      <c r="W43" s="13">
        <v>-1</v>
      </c>
      <c r="X43" s="27" t="s">
        <v>1855</v>
      </c>
      <c r="Y43" s="13">
        <v>1</v>
      </c>
      <c r="Z43" s="13">
        <v>0</v>
      </c>
      <c r="AA43" s="13">
        <v>1</v>
      </c>
      <c r="AB43" s="13">
        <v>999</v>
      </c>
    </row>
    <row r="44" spans="1:28" s="16" customFormat="1" x14ac:dyDescent="0.25">
      <c r="A44" s="16">
        <v>2002</v>
      </c>
      <c r="B44" s="16" t="s">
        <v>1851</v>
      </c>
      <c r="C44" s="16" t="s">
        <v>1856</v>
      </c>
      <c r="D44" s="16" t="s">
        <v>1857</v>
      </c>
      <c r="E44" s="16">
        <v>300000</v>
      </c>
      <c r="F44" s="16">
        <f t="shared" si="0"/>
        <v>300000</v>
      </c>
      <c r="G44" s="16">
        <v>0</v>
      </c>
      <c r="I44" s="16" t="s">
        <v>1858</v>
      </c>
      <c r="J44" s="16">
        <v>20</v>
      </c>
      <c r="M44" s="16">
        <v>4</v>
      </c>
      <c r="O44" s="16" t="s">
        <v>1798</v>
      </c>
      <c r="P44" s="16">
        <v>-1</v>
      </c>
      <c r="Q44" s="16">
        <v>0</v>
      </c>
      <c r="R44" s="16">
        <v>0</v>
      </c>
      <c r="S44" s="16">
        <v>-1</v>
      </c>
      <c r="T44" s="16">
        <v>-1</v>
      </c>
      <c r="U44" s="16">
        <v>-1</v>
      </c>
      <c r="V44" s="16">
        <v>0</v>
      </c>
      <c r="W44" s="16">
        <v>-1</v>
      </c>
      <c r="X44" s="28" t="s">
        <v>1855</v>
      </c>
      <c r="Y44" s="16">
        <v>1</v>
      </c>
      <c r="Z44" s="16">
        <v>0</v>
      </c>
      <c r="AA44" s="16">
        <v>1</v>
      </c>
      <c r="AB44" s="16">
        <v>999</v>
      </c>
    </row>
    <row r="45" spans="1:28" x14ac:dyDescent="0.35">
      <c r="A45" s="2">
        <v>1015</v>
      </c>
      <c r="B45" s="2" t="s">
        <v>1859</v>
      </c>
      <c r="C45" s="19" t="s">
        <v>1860</v>
      </c>
      <c r="D45" s="2" t="s">
        <v>1861</v>
      </c>
      <c r="E45" s="20">
        <f>E18/20</f>
        <v>50000</v>
      </c>
      <c r="F45" s="2">
        <f t="shared" ref="F45:F68" si="3">E45</f>
        <v>50000</v>
      </c>
      <c r="G45" s="2">
        <v>0</v>
      </c>
      <c r="I45" s="19" t="s">
        <v>1862</v>
      </c>
      <c r="J45" s="2">
        <v>13</v>
      </c>
      <c r="M45" s="23">
        <v>1</v>
      </c>
      <c r="N45" s="23"/>
      <c r="O45" s="2">
        <v>8</v>
      </c>
      <c r="P45" s="2">
        <v>-1</v>
      </c>
      <c r="Q45" s="2">
        <v>0</v>
      </c>
      <c r="R45" s="2">
        <v>0</v>
      </c>
      <c r="S45" s="2">
        <v>-1</v>
      </c>
      <c r="T45" s="2">
        <v>-1</v>
      </c>
      <c r="U45" s="2">
        <v>-1</v>
      </c>
      <c r="V45" s="2">
        <v>0</v>
      </c>
      <c r="W45" s="2">
        <v>-1</v>
      </c>
      <c r="X45" s="20" t="s">
        <v>1863</v>
      </c>
      <c r="Y45" s="2">
        <v>1</v>
      </c>
      <c r="Z45" s="2">
        <v>0</v>
      </c>
      <c r="AA45" s="2">
        <v>1</v>
      </c>
      <c r="AB45" s="2">
        <v>999</v>
      </c>
    </row>
    <row r="46" spans="1:28" x14ac:dyDescent="0.35">
      <c r="A46" s="2">
        <v>1016</v>
      </c>
      <c r="B46" s="2" t="s">
        <v>1864</v>
      </c>
      <c r="C46" s="19" t="s">
        <v>1865</v>
      </c>
      <c r="D46" s="2" t="s">
        <v>1866</v>
      </c>
      <c r="E46" s="20">
        <f>E19/20</f>
        <v>100000</v>
      </c>
      <c r="F46" s="2">
        <f t="shared" si="3"/>
        <v>100000</v>
      </c>
      <c r="G46" s="2">
        <v>0</v>
      </c>
      <c r="I46" s="19" t="s">
        <v>1867</v>
      </c>
      <c r="J46" s="2">
        <v>13</v>
      </c>
      <c r="M46" s="23">
        <v>2</v>
      </c>
      <c r="N46" s="23"/>
      <c r="O46" s="2">
        <v>8</v>
      </c>
      <c r="P46" s="2">
        <v>-1</v>
      </c>
      <c r="Q46" s="2">
        <v>0</v>
      </c>
      <c r="R46" s="2">
        <v>0</v>
      </c>
      <c r="S46" s="2">
        <v>-1</v>
      </c>
      <c r="T46" s="2">
        <v>-1</v>
      </c>
      <c r="U46" s="2">
        <v>-1</v>
      </c>
      <c r="V46" s="2">
        <v>0</v>
      </c>
      <c r="W46" s="2">
        <v>-1</v>
      </c>
      <c r="X46" s="20" t="s">
        <v>1868</v>
      </c>
      <c r="Y46" s="2">
        <v>1</v>
      </c>
      <c r="Z46" s="2">
        <v>0</v>
      </c>
      <c r="AA46" s="2">
        <v>1</v>
      </c>
      <c r="AB46" s="2">
        <v>999</v>
      </c>
    </row>
    <row r="47" spans="1:28" x14ac:dyDescent="0.35">
      <c r="A47" s="2">
        <v>1017</v>
      </c>
      <c r="B47" s="2" t="s">
        <v>1869</v>
      </c>
      <c r="C47" s="19" t="s">
        <v>1870</v>
      </c>
      <c r="D47" s="2" t="s">
        <v>1871</v>
      </c>
      <c r="E47" s="20">
        <f>E20/20</f>
        <v>250000</v>
      </c>
      <c r="F47" s="2">
        <f t="shared" si="3"/>
        <v>250000</v>
      </c>
      <c r="G47" s="2">
        <v>0</v>
      </c>
      <c r="I47" s="19" t="s">
        <v>1872</v>
      </c>
      <c r="J47" s="2">
        <v>13</v>
      </c>
      <c r="M47" s="23">
        <v>3</v>
      </c>
      <c r="N47" s="23"/>
      <c r="O47" s="2">
        <v>8</v>
      </c>
      <c r="P47" s="2">
        <v>-1</v>
      </c>
      <c r="Q47" s="2">
        <v>0</v>
      </c>
      <c r="R47" s="2">
        <v>0</v>
      </c>
      <c r="S47" s="2">
        <v>-1</v>
      </c>
      <c r="T47" s="2">
        <v>-1</v>
      </c>
      <c r="U47" s="2">
        <v>-1</v>
      </c>
      <c r="V47" s="2">
        <v>0</v>
      </c>
      <c r="W47" s="2">
        <v>-1</v>
      </c>
      <c r="X47" s="20" t="s">
        <v>1873</v>
      </c>
      <c r="Y47" s="2">
        <v>1</v>
      </c>
      <c r="Z47" s="2">
        <v>0</v>
      </c>
      <c r="AA47" s="2">
        <v>1</v>
      </c>
      <c r="AB47" s="2">
        <v>999</v>
      </c>
    </row>
    <row r="48" spans="1:28" x14ac:dyDescent="0.35">
      <c r="A48" s="2">
        <v>1018</v>
      </c>
      <c r="B48" s="2" t="s">
        <v>1874</v>
      </c>
      <c r="C48" s="19" t="s">
        <v>1875</v>
      </c>
      <c r="D48" s="2" t="s">
        <v>1876</v>
      </c>
      <c r="E48" s="20">
        <f>E21/20</f>
        <v>500000</v>
      </c>
      <c r="F48" s="2">
        <f t="shared" si="3"/>
        <v>500000</v>
      </c>
      <c r="G48" s="2">
        <v>0</v>
      </c>
      <c r="I48" s="19" t="s">
        <v>1877</v>
      </c>
      <c r="J48" s="2">
        <v>13</v>
      </c>
      <c r="M48" s="23">
        <v>4</v>
      </c>
      <c r="N48" s="23"/>
      <c r="O48" s="2">
        <v>8</v>
      </c>
      <c r="P48" s="2">
        <v>-1</v>
      </c>
      <c r="Q48" s="2">
        <v>0</v>
      </c>
      <c r="R48" s="2">
        <v>0</v>
      </c>
      <c r="S48" s="2">
        <v>-1</v>
      </c>
      <c r="T48" s="2">
        <v>-1</v>
      </c>
      <c r="U48" s="2">
        <v>-1</v>
      </c>
      <c r="V48" s="2">
        <v>0</v>
      </c>
      <c r="W48" s="2">
        <v>-1</v>
      </c>
      <c r="X48" s="20" t="s">
        <v>1257</v>
      </c>
      <c r="Y48" s="2">
        <v>1</v>
      </c>
      <c r="Z48" s="2">
        <v>0</v>
      </c>
      <c r="AA48" s="2">
        <v>1</v>
      </c>
      <c r="AB48" s="2">
        <v>999</v>
      </c>
    </row>
    <row r="49" spans="1:28" x14ac:dyDescent="0.25">
      <c r="A49" s="2">
        <v>2100</v>
      </c>
      <c r="B49" s="2" t="s">
        <v>1878</v>
      </c>
      <c r="C49" s="2" t="s">
        <v>1879</v>
      </c>
      <c r="D49" s="21" t="s">
        <v>1880</v>
      </c>
      <c r="E49" s="2">
        <v>100000</v>
      </c>
      <c r="F49" s="2">
        <f t="shared" si="3"/>
        <v>100000</v>
      </c>
      <c r="G49" s="2">
        <v>0</v>
      </c>
      <c r="H49" s="22"/>
      <c r="I49" s="2" t="s">
        <v>1881</v>
      </c>
      <c r="J49" s="22">
        <v>21</v>
      </c>
      <c r="M49" s="2">
        <v>1</v>
      </c>
      <c r="N49" s="2">
        <v>4000</v>
      </c>
      <c r="O49" s="2">
        <v>3</v>
      </c>
      <c r="P49" s="2">
        <v>-1</v>
      </c>
      <c r="Q49" s="2">
        <v>0</v>
      </c>
      <c r="R49" s="2">
        <v>0</v>
      </c>
      <c r="S49" s="2">
        <v>-1</v>
      </c>
      <c r="T49" s="2">
        <v>-1</v>
      </c>
      <c r="U49" s="2">
        <v>-1</v>
      </c>
      <c r="V49" s="2">
        <v>0</v>
      </c>
      <c r="W49" s="2">
        <v>-1</v>
      </c>
      <c r="X49" s="2" t="str">
        <f>"1|2|"&amp;E49</f>
        <v>1|2|100000</v>
      </c>
      <c r="Y49" s="2">
        <v>1</v>
      </c>
      <c r="Z49" s="2">
        <v>0</v>
      </c>
      <c r="AA49" s="2">
        <v>1</v>
      </c>
      <c r="AB49" s="2">
        <v>999</v>
      </c>
    </row>
    <row r="50" spans="1:28" x14ac:dyDescent="0.25">
      <c r="A50" s="2">
        <v>2101</v>
      </c>
      <c r="B50" s="2" t="s">
        <v>1878</v>
      </c>
      <c r="C50" s="2" t="s">
        <v>1882</v>
      </c>
      <c r="D50" s="21" t="s">
        <v>1883</v>
      </c>
      <c r="E50" s="2">
        <v>600000</v>
      </c>
      <c r="F50" s="2">
        <f t="shared" si="3"/>
        <v>600000</v>
      </c>
      <c r="G50" s="2">
        <v>0</v>
      </c>
      <c r="H50" s="22"/>
      <c r="I50" s="2" t="s">
        <v>1884</v>
      </c>
      <c r="J50" s="22">
        <v>21</v>
      </c>
      <c r="M50" s="2">
        <v>3</v>
      </c>
      <c r="N50" s="2">
        <v>4000</v>
      </c>
      <c r="O50" s="2">
        <v>3</v>
      </c>
      <c r="P50" s="2">
        <v>-1</v>
      </c>
      <c r="Q50" s="2">
        <v>0</v>
      </c>
      <c r="R50" s="2">
        <v>0</v>
      </c>
      <c r="S50" s="2">
        <v>-1</v>
      </c>
      <c r="T50" s="2">
        <v>-1</v>
      </c>
      <c r="U50" s="2">
        <v>-1</v>
      </c>
      <c r="V50" s="2">
        <v>0</v>
      </c>
      <c r="W50" s="2">
        <v>-1</v>
      </c>
      <c r="X50" s="2" t="str">
        <f>"1|2|"&amp;E50</f>
        <v>1|2|600000</v>
      </c>
      <c r="Y50" s="2">
        <v>1</v>
      </c>
      <c r="Z50" s="2">
        <v>0</v>
      </c>
      <c r="AA50" s="2">
        <v>1</v>
      </c>
      <c r="AB50" s="2">
        <v>999</v>
      </c>
    </row>
    <row r="51" spans="1:28" x14ac:dyDescent="0.25">
      <c r="A51" s="2">
        <v>2102</v>
      </c>
      <c r="B51" s="2" t="s">
        <v>1878</v>
      </c>
      <c r="C51" s="2" t="s">
        <v>1885</v>
      </c>
      <c r="D51" s="21" t="s">
        <v>1886</v>
      </c>
      <c r="E51" s="2">
        <v>1000000</v>
      </c>
      <c r="F51" s="2">
        <f t="shared" si="3"/>
        <v>1000000</v>
      </c>
      <c r="G51" s="2">
        <v>0</v>
      </c>
      <c r="H51" s="22"/>
      <c r="I51" s="2" t="s">
        <v>1887</v>
      </c>
      <c r="J51" s="22">
        <v>21</v>
      </c>
      <c r="M51" s="2">
        <v>5</v>
      </c>
      <c r="N51" s="2">
        <v>4000</v>
      </c>
      <c r="O51" s="2">
        <v>3</v>
      </c>
      <c r="P51" s="2">
        <v>-1</v>
      </c>
      <c r="Q51" s="2">
        <v>0</v>
      </c>
      <c r="R51" s="2">
        <v>0</v>
      </c>
      <c r="S51" s="2">
        <v>-1</v>
      </c>
      <c r="T51" s="2">
        <v>-1</v>
      </c>
      <c r="U51" s="2">
        <v>-1</v>
      </c>
      <c r="V51" s="2">
        <v>0</v>
      </c>
      <c r="W51" s="2">
        <v>-1</v>
      </c>
      <c r="X51" s="2" t="str">
        <f>"1|2|"&amp;E51</f>
        <v>1|2|1000000</v>
      </c>
      <c r="Y51" s="2">
        <v>1</v>
      </c>
      <c r="Z51" s="2">
        <v>0</v>
      </c>
      <c r="AA51" s="2">
        <v>1</v>
      </c>
      <c r="AB51" s="2">
        <v>999</v>
      </c>
    </row>
    <row r="52" spans="1:28" x14ac:dyDescent="0.25">
      <c r="A52" s="2">
        <v>2103</v>
      </c>
      <c r="B52" s="2" t="s">
        <v>1878</v>
      </c>
      <c r="C52" s="2" t="s">
        <v>1888</v>
      </c>
      <c r="D52" s="21" t="s">
        <v>1889</v>
      </c>
      <c r="E52" s="2">
        <v>1400000</v>
      </c>
      <c r="F52" s="2">
        <f t="shared" si="3"/>
        <v>1400000</v>
      </c>
      <c r="G52" s="2">
        <v>0</v>
      </c>
      <c r="H52" s="22"/>
      <c r="I52" s="2" t="s">
        <v>1890</v>
      </c>
      <c r="J52" s="22">
        <v>21</v>
      </c>
      <c r="M52" s="2">
        <v>7</v>
      </c>
      <c r="N52" s="2">
        <v>4000</v>
      </c>
      <c r="O52" s="2">
        <v>3</v>
      </c>
      <c r="P52" s="2">
        <v>-1</v>
      </c>
      <c r="Q52" s="2">
        <v>0</v>
      </c>
      <c r="R52" s="2">
        <v>0</v>
      </c>
      <c r="S52" s="2">
        <v>-1</v>
      </c>
      <c r="T52" s="2">
        <v>-1</v>
      </c>
      <c r="U52" s="2">
        <v>-1</v>
      </c>
      <c r="V52" s="2">
        <v>0</v>
      </c>
      <c r="W52" s="2">
        <v>-1</v>
      </c>
      <c r="X52" s="2" t="str">
        <f>"1|2|"&amp;E52</f>
        <v>1|2|1400000</v>
      </c>
      <c r="Y52" s="2">
        <v>1</v>
      </c>
      <c r="Z52" s="2">
        <v>0</v>
      </c>
      <c r="AA52" s="2">
        <v>1</v>
      </c>
      <c r="AB52" s="2">
        <v>999</v>
      </c>
    </row>
    <row r="53" spans="1:28" x14ac:dyDescent="0.25">
      <c r="A53" s="2">
        <v>2104</v>
      </c>
      <c r="B53" s="2" t="s">
        <v>1878</v>
      </c>
      <c r="C53" s="2" t="s">
        <v>1882</v>
      </c>
      <c r="D53" s="21" t="s">
        <v>1883</v>
      </c>
      <c r="E53" s="2">
        <v>600000</v>
      </c>
      <c r="F53" s="2">
        <f t="shared" si="3"/>
        <v>600000</v>
      </c>
      <c r="G53" s="2">
        <v>0</v>
      </c>
      <c r="H53" s="22">
        <v>1</v>
      </c>
      <c r="I53" s="2" t="s">
        <v>1884</v>
      </c>
      <c r="J53" s="22">
        <v>21</v>
      </c>
      <c r="M53" s="2">
        <v>3</v>
      </c>
      <c r="N53" s="2">
        <v>4000</v>
      </c>
      <c r="O53" s="2">
        <v>3</v>
      </c>
      <c r="P53" s="2">
        <v>-1</v>
      </c>
      <c r="Q53" s="2">
        <v>0</v>
      </c>
      <c r="R53" s="2">
        <v>0</v>
      </c>
      <c r="S53" s="2">
        <v>-1</v>
      </c>
      <c r="T53" s="2">
        <v>-1</v>
      </c>
      <c r="U53" s="2">
        <v>-1</v>
      </c>
      <c r="V53" s="2">
        <v>0</v>
      </c>
      <c r="W53" s="2">
        <v>-1</v>
      </c>
      <c r="X53" s="2" t="str">
        <f>"1|2|"&amp;E53</f>
        <v>1|2|600000</v>
      </c>
      <c r="Y53" s="2">
        <v>1</v>
      </c>
      <c r="Z53" s="2">
        <v>0</v>
      </c>
      <c r="AA53" s="2">
        <v>1</v>
      </c>
      <c r="AB53" s="2">
        <v>999</v>
      </c>
    </row>
    <row r="54" spans="1:28" x14ac:dyDescent="0.35">
      <c r="A54" s="2">
        <v>2105</v>
      </c>
      <c r="B54" s="2" t="s">
        <v>1891</v>
      </c>
      <c r="C54" s="2" t="s">
        <v>1892</v>
      </c>
      <c r="D54" s="21" t="s">
        <v>1893</v>
      </c>
      <c r="E54" s="2">
        <v>600000</v>
      </c>
      <c r="F54" s="2">
        <f t="shared" si="3"/>
        <v>600000</v>
      </c>
      <c r="G54" s="2">
        <v>0</v>
      </c>
      <c r="H54" s="22">
        <v>1</v>
      </c>
      <c r="I54" s="2" t="s">
        <v>1894</v>
      </c>
      <c r="J54" s="22">
        <v>25</v>
      </c>
      <c r="M54" s="2">
        <v>3</v>
      </c>
      <c r="N54" s="24">
        <v>7002</v>
      </c>
      <c r="O54" s="2">
        <v>9</v>
      </c>
      <c r="P54" s="2">
        <v>-1</v>
      </c>
      <c r="Q54" s="2">
        <v>0</v>
      </c>
      <c r="R54" s="2">
        <v>0</v>
      </c>
      <c r="S54" s="2">
        <v>-1</v>
      </c>
      <c r="T54" s="2">
        <v>-1</v>
      </c>
      <c r="U54" s="2">
        <v>-1</v>
      </c>
      <c r="V54" s="2">
        <v>0</v>
      </c>
      <c r="W54" s="2">
        <v>-1</v>
      </c>
      <c r="X54" s="2" t="str">
        <f t="shared" ref="X54:X55" si="4">"1|2|"&amp;E54</f>
        <v>1|2|600000</v>
      </c>
      <c r="Y54" s="2">
        <v>1</v>
      </c>
      <c r="Z54" s="2">
        <v>0</v>
      </c>
      <c r="AA54" s="2">
        <v>0</v>
      </c>
      <c r="AB54" s="2">
        <v>999</v>
      </c>
    </row>
    <row r="55" spans="1:28" x14ac:dyDescent="0.35">
      <c r="A55" s="2">
        <v>2106</v>
      </c>
      <c r="B55" s="2" t="s">
        <v>1891</v>
      </c>
      <c r="C55" s="2" t="s">
        <v>1895</v>
      </c>
      <c r="D55" s="21" t="s">
        <v>1896</v>
      </c>
      <c r="E55" s="2">
        <v>6000000</v>
      </c>
      <c r="F55" s="2">
        <f t="shared" si="3"/>
        <v>6000000</v>
      </c>
      <c r="G55" s="2">
        <v>0</v>
      </c>
      <c r="H55" s="22">
        <v>1</v>
      </c>
      <c r="I55" s="2" t="s">
        <v>1897</v>
      </c>
      <c r="J55" s="22">
        <v>25</v>
      </c>
      <c r="M55" s="2">
        <v>30</v>
      </c>
      <c r="N55" s="24">
        <v>7002</v>
      </c>
      <c r="O55" s="2">
        <v>9</v>
      </c>
      <c r="P55" s="2">
        <v>-1</v>
      </c>
      <c r="Q55" s="2">
        <v>0</v>
      </c>
      <c r="R55" s="2">
        <v>0</v>
      </c>
      <c r="S55" s="2">
        <v>-1</v>
      </c>
      <c r="T55" s="2">
        <v>-1</v>
      </c>
      <c r="U55" s="2">
        <v>-1</v>
      </c>
      <c r="V55" s="2">
        <v>0</v>
      </c>
      <c r="W55" s="2">
        <v>-1</v>
      </c>
      <c r="X55" s="2" t="str">
        <f t="shared" si="4"/>
        <v>1|2|6000000</v>
      </c>
      <c r="Y55" s="2">
        <v>1</v>
      </c>
      <c r="Z55" s="2">
        <v>0</v>
      </c>
      <c r="AA55" s="2">
        <v>0</v>
      </c>
      <c r="AB55" s="2">
        <v>999</v>
      </c>
    </row>
    <row r="56" spans="1:28" x14ac:dyDescent="0.35">
      <c r="A56" s="2">
        <v>2107</v>
      </c>
      <c r="B56" s="2" t="s">
        <v>1891</v>
      </c>
      <c r="C56" s="2" t="s">
        <v>1898</v>
      </c>
      <c r="D56" s="21" t="s">
        <v>1899</v>
      </c>
      <c r="E56" s="2">
        <v>1400000</v>
      </c>
      <c r="F56" s="2">
        <f t="shared" ref="F56" si="5">E56</f>
        <v>1400000</v>
      </c>
      <c r="G56" s="2">
        <v>0</v>
      </c>
      <c r="H56" s="22">
        <v>1</v>
      </c>
      <c r="I56" s="2" t="s">
        <v>1900</v>
      </c>
      <c r="J56" s="22">
        <v>25</v>
      </c>
      <c r="M56" s="2">
        <v>7</v>
      </c>
      <c r="N56" s="24">
        <v>7002</v>
      </c>
      <c r="O56" s="2">
        <v>9</v>
      </c>
      <c r="P56" s="2">
        <v>-1</v>
      </c>
      <c r="Q56" s="2">
        <v>0</v>
      </c>
      <c r="R56" s="2">
        <v>0</v>
      </c>
      <c r="S56" s="2">
        <v>-1</v>
      </c>
      <c r="T56" s="2">
        <v>-1</v>
      </c>
      <c r="U56" s="2">
        <v>-1</v>
      </c>
      <c r="V56" s="2">
        <v>0</v>
      </c>
      <c r="W56" s="2">
        <v>-1</v>
      </c>
      <c r="X56" s="2" t="str">
        <f t="shared" ref="X56" si="6">"1|2|"&amp;E56</f>
        <v>1|2|1400000</v>
      </c>
      <c r="Y56" s="2">
        <v>1</v>
      </c>
      <c r="Z56" s="2">
        <v>0</v>
      </c>
      <c r="AA56" s="2">
        <v>0</v>
      </c>
      <c r="AB56" s="2">
        <v>999</v>
      </c>
    </row>
    <row r="57" spans="1:28" x14ac:dyDescent="0.25">
      <c r="A57" s="2">
        <v>2200</v>
      </c>
      <c r="B57" s="2" t="s">
        <v>1901</v>
      </c>
      <c r="C57" s="2" t="s">
        <v>1902</v>
      </c>
      <c r="D57" s="21" t="s">
        <v>1903</v>
      </c>
      <c r="E57" s="2">
        <v>200000</v>
      </c>
      <c r="F57" s="2">
        <f t="shared" si="3"/>
        <v>200000</v>
      </c>
      <c r="G57" s="2">
        <v>0</v>
      </c>
      <c r="H57" s="22"/>
      <c r="I57" s="2" t="s">
        <v>1904</v>
      </c>
      <c r="J57" s="22">
        <v>22</v>
      </c>
      <c r="M57" s="2">
        <v>3</v>
      </c>
      <c r="N57" s="2">
        <v>20</v>
      </c>
      <c r="O57" s="2">
        <v>9</v>
      </c>
      <c r="P57" s="2">
        <v>-1</v>
      </c>
      <c r="Q57" s="2">
        <v>0</v>
      </c>
      <c r="R57" s="2">
        <v>0</v>
      </c>
      <c r="S57" s="2">
        <v>-1</v>
      </c>
      <c r="T57" s="2">
        <v>-1</v>
      </c>
      <c r="U57" s="2">
        <v>-1</v>
      </c>
      <c r="V57" s="2">
        <v>0</v>
      </c>
      <c r="W57" s="2">
        <v>-1</v>
      </c>
      <c r="Y57" s="2">
        <v>1</v>
      </c>
      <c r="Z57" s="2">
        <v>0</v>
      </c>
      <c r="AA57" s="2">
        <v>1</v>
      </c>
      <c r="AB57" s="2">
        <v>999</v>
      </c>
    </row>
    <row r="58" spans="1:28" x14ac:dyDescent="0.25">
      <c r="A58" s="2">
        <v>2201</v>
      </c>
      <c r="B58" s="2" t="s">
        <v>1905</v>
      </c>
      <c r="C58" s="2" t="s">
        <v>1906</v>
      </c>
      <c r="D58" s="21" t="s">
        <v>1907</v>
      </c>
      <c r="E58" s="2">
        <v>300000</v>
      </c>
      <c r="F58" s="2">
        <f t="shared" si="3"/>
        <v>300000</v>
      </c>
      <c r="G58" s="2">
        <v>0</v>
      </c>
      <c r="H58" s="22"/>
      <c r="I58" s="2" t="s">
        <v>1908</v>
      </c>
      <c r="J58" s="22">
        <v>22</v>
      </c>
      <c r="M58" s="2">
        <v>3</v>
      </c>
      <c r="N58" s="2">
        <v>30</v>
      </c>
      <c r="O58" s="2">
        <v>9</v>
      </c>
      <c r="P58" s="2">
        <v>-1</v>
      </c>
      <c r="Q58" s="2">
        <v>0</v>
      </c>
      <c r="R58" s="2">
        <v>0</v>
      </c>
      <c r="S58" s="2">
        <v>-1</v>
      </c>
      <c r="T58" s="2">
        <v>-1</v>
      </c>
      <c r="U58" s="2">
        <v>-1</v>
      </c>
      <c r="V58" s="2">
        <v>0</v>
      </c>
      <c r="W58" s="2">
        <v>-1</v>
      </c>
      <c r="Y58" s="2">
        <v>1</v>
      </c>
      <c r="Z58" s="2">
        <v>0</v>
      </c>
      <c r="AA58" s="2">
        <v>1</v>
      </c>
      <c r="AB58" s="2">
        <v>999</v>
      </c>
    </row>
    <row r="59" spans="1:28" x14ac:dyDescent="0.25">
      <c r="A59" s="2">
        <v>2202</v>
      </c>
      <c r="B59" s="2" t="s">
        <v>1909</v>
      </c>
      <c r="C59" s="2" t="s">
        <v>1910</v>
      </c>
      <c r="D59" s="21" t="s">
        <v>1911</v>
      </c>
      <c r="E59" s="2">
        <v>400000</v>
      </c>
      <c r="F59" s="2">
        <f t="shared" si="3"/>
        <v>400000</v>
      </c>
      <c r="G59" s="2">
        <v>0</v>
      </c>
      <c r="H59" s="22"/>
      <c r="I59" s="2" t="s">
        <v>1912</v>
      </c>
      <c r="J59" s="22">
        <v>22</v>
      </c>
      <c r="M59" s="2">
        <v>3</v>
      </c>
      <c r="N59" s="2">
        <v>40</v>
      </c>
      <c r="O59" s="2">
        <v>9</v>
      </c>
      <c r="P59" s="2">
        <v>-1</v>
      </c>
      <c r="Q59" s="2">
        <v>0</v>
      </c>
      <c r="R59" s="2">
        <v>0</v>
      </c>
      <c r="S59" s="2">
        <v>-1</v>
      </c>
      <c r="T59" s="2">
        <v>-1</v>
      </c>
      <c r="U59" s="2">
        <v>-1</v>
      </c>
      <c r="V59" s="2">
        <v>0</v>
      </c>
      <c r="W59" s="2">
        <v>-1</v>
      </c>
      <c r="Y59" s="2">
        <v>1</v>
      </c>
      <c r="Z59" s="2">
        <v>0</v>
      </c>
      <c r="AA59" s="2">
        <v>1</v>
      </c>
      <c r="AB59" s="2">
        <v>999</v>
      </c>
    </row>
    <row r="60" spans="1:28" x14ac:dyDescent="0.25">
      <c r="A60" s="2">
        <v>2203</v>
      </c>
      <c r="B60" s="2" t="s">
        <v>1913</v>
      </c>
      <c r="C60" s="2" t="s">
        <v>1914</v>
      </c>
      <c r="D60" s="21" t="s">
        <v>1915</v>
      </c>
      <c r="E60" s="2">
        <v>500000</v>
      </c>
      <c r="F60" s="2">
        <f t="shared" si="3"/>
        <v>500000</v>
      </c>
      <c r="G60" s="2">
        <v>0</v>
      </c>
      <c r="H60" s="22"/>
      <c r="I60" s="2" t="s">
        <v>1916</v>
      </c>
      <c r="J60" s="22">
        <v>22</v>
      </c>
      <c r="M60" s="2">
        <v>3</v>
      </c>
      <c r="N60" s="2">
        <v>50</v>
      </c>
      <c r="O60" s="2">
        <v>9</v>
      </c>
      <c r="P60" s="2">
        <v>-1</v>
      </c>
      <c r="Q60" s="2">
        <v>0</v>
      </c>
      <c r="R60" s="2">
        <v>0</v>
      </c>
      <c r="S60" s="2">
        <v>-1</v>
      </c>
      <c r="T60" s="2">
        <v>-1</v>
      </c>
      <c r="U60" s="2">
        <v>-1</v>
      </c>
      <c r="V60" s="2">
        <v>0</v>
      </c>
      <c r="W60" s="2">
        <v>-1</v>
      </c>
      <c r="Y60" s="2">
        <v>1</v>
      </c>
      <c r="Z60" s="2">
        <v>0</v>
      </c>
      <c r="AA60" s="2">
        <v>1</v>
      </c>
      <c r="AB60" s="2">
        <v>999</v>
      </c>
    </row>
    <row r="61" spans="1:28" x14ac:dyDescent="0.25">
      <c r="A61" s="2">
        <v>2204</v>
      </c>
      <c r="B61" s="2" t="s">
        <v>1917</v>
      </c>
      <c r="C61" s="2" t="s">
        <v>1918</v>
      </c>
      <c r="D61" s="21" t="s">
        <v>1919</v>
      </c>
      <c r="E61" s="2">
        <v>600000</v>
      </c>
      <c r="F61" s="2">
        <f t="shared" si="3"/>
        <v>600000</v>
      </c>
      <c r="G61" s="2">
        <v>0</v>
      </c>
      <c r="H61" s="22"/>
      <c r="I61" s="2" t="s">
        <v>1920</v>
      </c>
      <c r="J61" s="22">
        <v>22</v>
      </c>
      <c r="M61" s="2">
        <v>3</v>
      </c>
      <c r="N61" s="2">
        <v>60</v>
      </c>
      <c r="O61" s="2">
        <v>9</v>
      </c>
      <c r="P61" s="2">
        <v>-1</v>
      </c>
      <c r="Q61" s="2">
        <v>0</v>
      </c>
      <c r="R61" s="2">
        <v>0</v>
      </c>
      <c r="S61" s="2">
        <v>-1</v>
      </c>
      <c r="T61" s="2">
        <v>-1</v>
      </c>
      <c r="U61" s="2">
        <v>-1</v>
      </c>
      <c r="V61" s="2">
        <v>0</v>
      </c>
      <c r="W61" s="2">
        <v>-1</v>
      </c>
      <c r="Y61" s="2">
        <v>1</v>
      </c>
      <c r="Z61" s="2">
        <v>0</v>
      </c>
      <c r="AA61" s="2">
        <v>1</v>
      </c>
      <c r="AB61" s="2">
        <v>999</v>
      </c>
    </row>
    <row r="62" spans="1:28" x14ac:dyDescent="0.25">
      <c r="A62" s="2">
        <v>2205</v>
      </c>
      <c r="B62" s="2" t="s">
        <v>1921</v>
      </c>
      <c r="C62" s="2" t="s">
        <v>1922</v>
      </c>
      <c r="D62" s="21" t="s">
        <v>1923</v>
      </c>
      <c r="E62" s="2">
        <v>700000</v>
      </c>
      <c r="F62" s="2">
        <f t="shared" si="3"/>
        <v>700000</v>
      </c>
      <c r="G62" s="2">
        <v>0</v>
      </c>
      <c r="H62" s="22"/>
      <c r="I62" s="2" t="s">
        <v>1924</v>
      </c>
      <c r="J62" s="22">
        <v>22</v>
      </c>
      <c r="M62" s="2">
        <v>3</v>
      </c>
      <c r="N62" s="2">
        <v>70</v>
      </c>
      <c r="O62" s="2">
        <v>9</v>
      </c>
      <c r="P62" s="2">
        <v>-1</v>
      </c>
      <c r="Q62" s="2">
        <v>0</v>
      </c>
      <c r="R62" s="2">
        <v>0</v>
      </c>
      <c r="S62" s="2">
        <v>-1</v>
      </c>
      <c r="T62" s="2">
        <v>-1</v>
      </c>
      <c r="U62" s="2">
        <v>-1</v>
      </c>
      <c r="V62" s="2">
        <v>0</v>
      </c>
      <c r="W62" s="2">
        <v>-1</v>
      </c>
      <c r="Y62" s="2">
        <v>1</v>
      </c>
      <c r="Z62" s="2">
        <v>0</v>
      </c>
      <c r="AA62" s="2">
        <v>1</v>
      </c>
      <c r="AB62" s="2">
        <v>999</v>
      </c>
    </row>
    <row r="63" spans="1:28" x14ac:dyDescent="0.25">
      <c r="A63" s="2">
        <v>2206</v>
      </c>
      <c r="B63" s="2" t="s">
        <v>1925</v>
      </c>
      <c r="C63" s="2" t="s">
        <v>1926</v>
      </c>
      <c r="D63" s="21" t="s">
        <v>1927</v>
      </c>
      <c r="E63" s="2">
        <v>800000</v>
      </c>
      <c r="F63" s="2">
        <f t="shared" si="3"/>
        <v>800000</v>
      </c>
      <c r="G63" s="2">
        <v>0</v>
      </c>
      <c r="H63" s="22"/>
      <c r="I63" s="2" t="s">
        <v>1928</v>
      </c>
      <c r="J63" s="22">
        <v>22</v>
      </c>
      <c r="M63" s="2">
        <v>3</v>
      </c>
      <c r="N63" s="2">
        <v>80</v>
      </c>
      <c r="O63" s="2">
        <v>9</v>
      </c>
      <c r="P63" s="2">
        <v>-1</v>
      </c>
      <c r="Q63" s="2">
        <v>0</v>
      </c>
      <c r="R63" s="2">
        <v>0</v>
      </c>
      <c r="S63" s="2">
        <v>-1</v>
      </c>
      <c r="T63" s="2">
        <v>-1</v>
      </c>
      <c r="U63" s="2">
        <v>-1</v>
      </c>
      <c r="V63" s="2">
        <v>0</v>
      </c>
      <c r="W63" s="2">
        <v>-1</v>
      </c>
      <c r="Y63" s="2">
        <v>1</v>
      </c>
      <c r="Z63" s="2">
        <v>0</v>
      </c>
      <c r="AA63" s="2">
        <v>1</v>
      </c>
      <c r="AB63" s="2">
        <v>999</v>
      </c>
    </row>
    <row r="64" spans="1:28" x14ac:dyDescent="0.25">
      <c r="A64" s="2">
        <v>2207</v>
      </c>
      <c r="B64" s="2" t="s">
        <v>1929</v>
      </c>
      <c r="C64" s="2" t="s">
        <v>1930</v>
      </c>
      <c r="D64" s="21" t="s">
        <v>1931</v>
      </c>
      <c r="E64" s="2">
        <v>900000</v>
      </c>
      <c r="F64" s="2">
        <f t="shared" si="3"/>
        <v>900000</v>
      </c>
      <c r="G64" s="2">
        <v>0</v>
      </c>
      <c r="H64" s="22"/>
      <c r="I64" s="2" t="s">
        <v>1932</v>
      </c>
      <c r="J64" s="22">
        <v>22</v>
      </c>
      <c r="M64" s="2">
        <v>3</v>
      </c>
      <c r="N64" s="2">
        <v>90</v>
      </c>
      <c r="O64" s="2">
        <v>9</v>
      </c>
      <c r="P64" s="2">
        <v>-1</v>
      </c>
      <c r="Q64" s="2">
        <v>0</v>
      </c>
      <c r="R64" s="2">
        <v>0</v>
      </c>
      <c r="S64" s="2">
        <v>-1</v>
      </c>
      <c r="T64" s="2">
        <v>-1</v>
      </c>
      <c r="U64" s="2">
        <v>-1</v>
      </c>
      <c r="V64" s="2">
        <v>0</v>
      </c>
      <c r="W64" s="2">
        <v>-1</v>
      </c>
      <c r="Y64" s="2">
        <v>1</v>
      </c>
      <c r="Z64" s="2">
        <v>0</v>
      </c>
      <c r="AA64" s="2">
        <v>1</v>
      </c>
      <c r="AB64" s="2">
        <v>999</v>
      </c>
    </row>
    <row r="65" spans="1:28" x14ac:dyDescent="0.25">
      <c r="A65" s="2">
        <v>2208</v>
      </c>
      <c r="B65" s="2" t="s">
        <v>1933</v>
      </c>
      <c r="C65" s="2" t="s">
        <v>1934</v>
      </c>
      <c r="D65" s="21" t="s">
        <v>1935</v>
      </c>
      <c r="E65" s="2">
        <v>1000000</v>
      </c>
      <c r="F65" s="2">
        <f t="shared" si="3"/>
        <v>1000000</v>
      </c>
      <c r="G65" s="2">
        <v>0</v>
      </c>
      <c r="H65" s="22"/>
      <c r="I65" s="2" t="s">
        <v>1936</v>
      </c>
      <c r="J65" s="22">
        <v>22</v>
      </c>
      <c r="M65" s="2">
        <v>3</v>
      </c>
      <c r="N65" s="2">
        <v>100</v>
      </c>
      <c r="O65" s="2">
        <v>9</v>
      </c>
      <c r="P65" s="2">
        <v>-1</v>
      </c>
      <c r="Q65" s="2">
        <v>0</v>
      </c>
      <c r="R65" s="2">
        <v>0</v>
      </c>
      <c r="S65" s="2">
        <v>-1</v>
      </c>
      <c r="T65" s="2">
        <v>-1</v>
      </c>
      <c r="U65" s="2">
        <v>-1</v>
      </c>
      <c r="V65" s="2">
        <v>0</v>
      </c>
      <c r="W65" s="2">
        <v>-1</v>
      </c>
      <c r="Y65" s="2">
        <v>1</v>
      </c>
      <c r="Z65" s="2">
        <v>0</v>
      </c>
      <c r="AA65" s="2">
        <v>1</v>
      </c>
      <c r="AB65" s="2">
        <v>999</v>
      </c>
    </row>
    <row r="66" spans="1:28" x14ac:dyDescent="0.25">
      <c r="A66" s="2">
        <v>2209</v>
      </c>
      <c r="B66" s="2" t="s">
        <v>1937</v>
      </c>
      <c r="C66" s="2" t="s">
        <v>1938</v>
      </c>
      <c r="D66" s="21" t="s">
        <v>1939</v>
      </c>
      <c r="E66" s="2">
        <v>2000000</v>
      </c>
      <c r="F66" s="2">
        <f t="shared" si="3"/>
        <v>2000000</v>
      </c>
      <c r="G66" s="2">
        <v>0</v>
      </c>
      <c r="H66" s="22"/>
      <c r="I66" s="2" t="s">
        <v>1940</v>
      </c>
      <c r="J66" s="22">
        <v>22</v>
      </c>
      <c r="M66" s="2">
        <v>3</v>
      </c>
      <c r="N66" s="2">
        <v>200</v>
      </c>
      <c r="O66" s="2">
        <v>9</v>
      </c>
      <c r="P66" s="2">
        <v>-1</v>
      </c>
      <c r="Q66" s="2">
        <v>0</v>
      </c>
      <c r="R66" s="2">
        <v>0</v>
      </c>
      <c r="S66" s="2">
        <v>-1</v>
      </c>
      <c r="T66" s="2">
        <v>-1</v>
      </c>
      <c r="U66" s="2">
        <v>-1</v>
      </c>
      <c r="V66" s="2">
        <v>0</v>
      </c>
      <c r="W66" s="2">
        <v>-1</v>
      </c>
      <c r="Y66" s="2">
        <v>1</v>
      </c>
      <c r="Z66" s="2">
        <v>0</v>
      </c>
      <c r="AA66" s="2">
        <v>1</v>
      </c>
      <c r="AB66" s="2">
        <v>999</v>
      </c>
    </row>
    <row r="67" spans="1:28" x14ac:dyDescent="0.25">
      <c r="A67" s="2">
        <v>2210</v>
      </c>
      <c r="B67" s="2" t="s">
        <v>1941</v>
      </c>
      <c r="C67" s="2" t="s">
        <v>1942</v>
      </c>
      <c r="D67" s="21" t="s">
        <v>1943</v>
      </c>
      <c r="E67" s="2">
        <v>3000000</v>
      </c>
      <c r="F67" s="2">
        <f t="shared" si="3"/>
        <v>3000000</v>
      </c>
      <c r="G67" s="2">
        <v>0</v>
      </c>
      <c r="H67" s="22"/>
      <c r="I67" s="2" t="s">
        <v>1944</v>
      </c>
      <c r="J67" s="22">
        <v>22</v>
      </c>
      <c r="M67" s="2">
        <v>3</v>
      </c>
      <c r="N67" s="2">
        <v>300</v>
      </c>
      <c r="O67" s="2">
        <v>9</v>
      </c>
      <c r="P67" s="2">
        <v>-1</v>
      </c>
      <c r="Q67" s="2">
        <v>0</v>
      </c>
      <c r="R67" s="2">
        <v>0</v>
      </c>
      <c r="S67" s="2">
        <v>-1</v>
      </c>
      <c r="T67" s="2">
        <v>-1</v>
      </c>
      <c r="U67" s="2">
        <v>-1</v>
      </c>
      <c r="V67" s="2">
        <v>0</v>
      </c>
      <c r="W67" s="2">
        <v>-1</v>
      </c>
      <c r="Y67" s="2">
        <v>1</v>
      </c>
      <c r="Z67" s="2">
        <v>0</v>
      </c>
      <c r="AA67" s="2">
        <v>1</v>
      </c>
      <c r="AB67" s="2">
        <v>999</v>
      </c>
    </row>
    <row r="68" spans="1:28" x14ac:dyDescent="0.35">
      <c r="A68" s="2">
        <v>2300</v>
      </c>
      <c r="B68" s="2" t="s">
        <v>1945</v>
      </c>
      <c r="C68" s="19" t="s">
        <v>1946</v>
      </c>
      <c r="D68" s="2" t="s">
        <v>1947</v>
      </c>
      <c r="E68" s="20">
        <v>20000</v>
      </c>
      <c r="F68" s="2">
        <f t="shared" si="3"/>
        <v>20000</v>
      </c>
      <c r="G68" s="2">
        <v>0</v>
      </c>
      <c r="I68" s="30" t="str">
        <f>C68&amp;"_des"</f>
        <v>lingshi_des</v>
      </c>
      <c r="J68" s="2">
        <v>24</v>
      </c>
      <c r="M68" s="23"/>
      <c r="N68" s="23"/>
      <c r="O68" s="2">
        <v>3</v>
      </c>
      <c r="P68" s="2">
        <v>-1</v>
      </c>
      <c r="Q68" s="2">
        <v>0</v>
      </c>
      <c r="R68" s="2">
        <v>0</v>
      </c>
      <c r="S68" s="2">
        <v>-1</v>
      </c>
      <c r="T68" s="2">
        <v>-1</v>
      </c>
      <c r="U68" s="2">
        <v>-1</v>
      </c>
      <c r="V68" s="2">
        <v>0</v>
      </c>
      <c r="W68" s="2">
        <v>-1</v>
      </c>
      <c r="X68" s="20" t="s">
        <v>1868</v>
      </c>
      <c r="Y68" s="2">
        <v>1</v>
      </c>
      <c r="Z68" s="2">
        <v>0</v>
      </c>
      <c r="AA68" s="2">
        <v>1</v>
      </c>
      <c r="AB68" s="2">
        <v>9999</v>
      </c>
    </row>
    <row r="69" spans="1:28" x14ac:dyDescent="0.35">
      <c r="A69" s="2">
        <v>2301</v>
      </c>
      <c r="B69" s="2" t="s">
        <v>1948</v>
      </c>
      <c r="C69" s="19" t="s">
        <v>1949</v>
      </c>
      <c r="D69" s="2" t="s">
        <v>1950</v>
      </c>
      <c r="E69" s="20">
        <v>10000</v>
      </c>
      <c r="F69" s="2">
        <f t="shared" ref="F69" si="7">E69</f>
        <v>10000</v>
      </c>
      <c r="G69" s="2">
        <v>0</v>
      </c>
      <c r="I69" s="30" t="str">
        <f t="shared" ref="I69:I72" si="8">C69&amp;"_des"</f>
        <v>zhuqueshi_des</v>
      </c>
      <c r="J69" s="2">
        <v>23</v>
      </c>
      <c r="M69" s="23"/>
      <c r="N69" s="23"/>
      <c r="O69" s="2">
        <v>3</v>
      </c>
      <c r="P69" s="2">
        <v>-1</v>
      </c>
      <c r="Q69" s="2">
        <v>0</v>
      </c>
      <c r="R69" s="2">
        <v>0</v>
      </c>
      <c r="S69" s="2">
        <v>-1</v>
      </c>
      <c r="T69" s="2">
        <v>-1</v>
      </c>
      <c r="U69" s="2">
        <v>-1</v>
      </c>
      <c r="V69" s="2">
        <v>0</v>
      </c>
      <c r="W69" s="2">
        <v>-1</v>
      </c>
      <c r="X69" s="20" t="s">
        <v>1863</v>
      </c>
      <c r="Y69" s="2">
        <v>1</v>
      </c>
      <c r="Z69" s="2">
        <v>0</v>
      </c>
      <c r="AA69" s="2">
        <v>1</v>
      </c>
      <c r="AB69" s="2">
        <v>9999</v>
      </c>
    </row>
    <row r="70" spans="1:28" x14ac:dyDescent="0.35">
      <c r="A70" s="2">
        <v>2302</v>
      </c>
      <c r="B70" s="2" t="s">
        <v>1951</v>
      </c>
      <c r="C70" s="19" t="s">
        <v>1952</v>
      </c>
      <c r="D70" s="2" t="s">
        <v>1953</v>
      </c>
      <c r="E70" s="20">
        <v>10000</v>
      </c>
      <c r="F70" s="2">
        <f t="shared" ref="F70:F83" si="9">E70</f>
        <v>10000</v>
      </c>
      <c r="G70" s="2">
        <v>0</v>
      </c>
      <c r="I70" s="30" t="str">
        <f t="shared" si="8"/>
        <v>xuanwushi_des</v>
      </c>
      <c r="J70" s="2">
        <v>23</v>
      </c>
      <c r="M70" s="23"/>
      <c r="N70" s="23"/>
      <c r="O70" s="2">
        <v>3</v>
      </c>
      <c r="P70" s="2">
        <v>-1</v>
      </c>
      <c r="Q70" s="2">
        <v>0</v>
      </c>
      <c r="R70" s="2">
        <v>0</v>
      </c>
      <c r="S70" s="2">
        <v>-1</v>
      </c>
      <c r="T70" s="2">
        <v>-1</v>
      </c>
      <c r="U70" s="2">
        <v>-1</v>
      </c>
      <c r="V70" s="2">
        <v>0</v>
      </c>
      <c r="W70" s="2">
        <v>-1</v>
      </c>
      <c r="X70" s="20" t="s">
        <v>1863</v>
      </c>
      <c r="Y70" s="2">
        <v>1</v>
      </c>
      <c r="Z70" s="2">
        <v>0</v>
      </c>
      <c r="AA70" s="2">
        <v>1</v>
      </c>
      <c r="AB70" s="2">
        <v>9999</v>
      </c>
    </row>
    <row r="71" spans="1:28" x14ac:dyDescent="0.35">
      <c r="A71" s="2">
        <v>2303</v>
      </c>
      <c r="B71" s="2" t="s">
        <v>1954</v>
      </c>
      <c r="C71" s="19" t="s">
        <v>1955</v>
      </c>
      <c r="D71" s="2" t="s">
        <v>1956</v>
      </c>
      <c r="E71" s="20">
        <v>10000</v>
      </c>
      <c r="F71" s="2">
        <f t="shared" si="9"/>
        <v>10000</v>
      </c>
      <c r="G71" s="2">
        <v>0</v>
      </c>
      <c r="I71" s="30" t="str">
        <f t="shared" si="8"/>
        <v>qinglongshi_des</v>
      </c>
      <c r="J71" s="2">
        <v>23</v>
      </c>
      <c r="M71" s="23"/>
      <c r="N71" s="23"/>
      <c r="O71" s="2">
        <v>3</v>
      </c>
      <c r="P71" s="2">
        <v>-1</v>
      </c>
      <c r="Q71" s="2">
        <v>0</v>
      </c>
      <c r="R71" s="2">
        <v>0</v>
      </c>
      <c r="S71" s="2">
        <v>-1</v>
      </c>
      <c r="T71" s="2">
        <v>-1</v>
      </c>
      <c r="U71" s="2">
        <v>-1</v>
      </c>
      <c r="V71" s="2">
        <v>0</v>
      </c>
      <c r="W71" s="2">
        <v>-1</v>
      </c>
      <c r="X71" s="20" t="s">
        <v>1863</v>
      </c>
      <c r="Y71" s="2">
        <v>1</v>
      </c>
      <c r="Z71" s="2">
        <v>0</v>
      </c>
      <c r="AA71" s="2">
        <v>1</v>
      </c>
      <c r="AB71" s="2">
        <v>9999</v>
      </c>
    </row>
    <row r="72" spans="1:28" x14ac:dyDescent="0.35">
      <c r="A72" s="2">
        <v>2304</v>
      </c>
      <c r="B72" s="2" t="s">
        <v>1957</v>
      </c>
      <c r="C72" s="19" t="s">
        <v>1958</v>
      </c>
      <c r="D72" s="2" t="s">
        <v>1959</v>
      </c>
      <c r="E72" s="20">
        <v>10000</v>
      </c>
      <c r="F72" s="2">
        <f t="shared" si="9"/>
        <v>10000</v>
      </c>
      <c r="G72" s="2">
        <v>0</v>
      </c>
      <c r="I72" s="30" t="str">
        <f t="shared" si="8"/>
        <v>baihushi_des</v>
      </c>
      <c r="J72" s="2">
        <v>23</v>
      </c>
      <c r="M72" s="23"/>
      <c r="N72" s="23"/>
      <c r="O72" s="2">
        <v>3</v>
      </c>
      <c r="P72" s="2">
        <v>-1</v>
      </c>
      <c r="Q72" s="2">
        <v>0</v>
      </c>
      <c r="R72" s="2">
        <v>0</v>
      </c>
      <c r="S72" s="2">
        <v>-1</v>
      </c>
      <c r="T72" s="2">
        <v>-1</v>
      </c>
      <c r="U72" s="2">
        <v>-1</v>
      </c>
      <c r="V72" s="2">
        <v>0</v>
      </c>
      <c r="W72" s="2">
        <v>-1</v>
      </c>
      <c r="X72" s="20" t="s">
        <v>1863</v>
      </c>
      <c r="Y72" s="2">
        <v>1</v>
      </c>
      <c r="Z72" s="2">
        <v>0</v>
      </c>
      <c r="AA72" s="2">
        <v>1</v>
      </c>
      <c r="AB72" s="2">
        <v>9999</v>
      </c>
    </row>
    <row r="73" spans="1:28" x14ac:dyDescent="0.25">
      <c r="A73" s="2">
        <v>2211</v>
      </c>
      <c r="B73" s="2" t="s">
        <v>1901</v>
      </c>
      <c r="C73" s="2" t="s">
        <v>1902</v>
      </c>
      <c r="D73" s="21" t="s">
        <v>1903</v>
      </c>
      <c r="E73" s="2">
        <v>200000</v>
      </c>
      <c r="F73" s="2">
        <f t="shared" si="9"/>
        <v>200000</v>
      </c>
      <c r="G73" s="2">
        <v>0</v>
      </c>
      <c r="H73" s="22"/>
      <c r="I73" s="2" t="s">
        <v>1904</v>
      </c>
      <c r="J73" s="22">
        <v>22</v>
      </c>
      <c r="M73" s="2">
        <v>1</v>
      </c>
      <c r="N73" s="2">
        <v>20</v>
      </c>
      <c r="O73" s="2">
        <v>9</v>
      </c>
      <c r="P73" s="2">
        <v>-1</v>
      </c>
      <c r="Q73" s="2">
        <v>0</v>
      </c>
      <c r="R73" s="2">
        <v>0</v>
      </c>
      <c r="S73" s="2">
        <v>-1</v>
      </c>
      <c r="T73" s="2">
        <v>-1</v>
      </c>
      <c r="U73" s="2">
        <v>-1</v>
      </c>
      <c r="V73" s="2">
        <v>0</v>
      </c>
      <c r="W73" s="2">
        <v>-1</v>
      </c>
      <c r="Y73" s="2">
        <v>1</v>
      </c>
      <c r="Z73" s="2">
        <v>0</v>
      </c>
      <c r="AA73" s="2">
        <v>1</v>
      </c>
      <c r="AB73" s="2">
        <v>999</v>
      </c>
    </row>
    <row r="74" spans="1:28" x14ac:dyDescent="0.25">
      <c r="A74" s="2">
        <v>2212</v>
      </c>
      <c r="B74" s="2" t="s">
        <v>1905</v>
      </c>
      <c r="C74" s="2" t="s">
        <v>1906</v>
      </c>
      <c r="D74" s="21" t="s">
        <v>1907</v>
      </c>
      <c r="E74" s="2">
        <v>300000</v>
      </c>
      <c r="F74" s="2">
        <f t="shared" si="9"/>
        <v>300000</v>
      </c>
      <c r="G74" s="2">
        <v>0</v>
      </c>
      <c r="H74" s="22"/>
      <c r="I74" s="2" t="s">
        <v>1908</v>
      </c>
      <c r="J74" s="22">
        <v>22</v>
      </c>
      <c r="M74" s="2">
        <v>1</v>
      </c>
      <c r="N74" s="2">
        <v>30</v>
      </c>
      <c r="O74" s="2">
        <v>9</v>
      </c>
      <c r="P74" s="2">
        <v>-1</v>
      </c>
      <c r="Q74" s="2">
        <v>0</v>
      </c>
      <c r="R74" s="2">
        <v>0</v>
      </c>
      <c r="S74" s="2">
        <v>-1</v>
      </c>
      <c r="T74" s="2">
        <v>-1</v>
      </c>
      <c r="U74" s="2">
        <v>-1</v>
      </c>
      <c r="V74" s="2">
        <v>0</v>
      </c>
      <c r="W74" s="2">
        <v>-1</v>
      </c>
      <c r="Y74" s="2">
        <v>1</v>
      </c>
      <c r="Z74" s="2">
        <v>0</v>
      </c>
      <c r="AA74" s="2">
        <v>1</v>
      </c>
      <c r="AB74" s="2">
        <v>999</v>
      </c>
    </row>
    <row r="75" spans="1:28" x14ac:dyDescent="0.25">
      <c r="A75" s="2">
        <v>2213</v>
      </c>
      <c r="B75" s="2" t="s">
        <v>1909</v>
      </c>
      <c r="C75" s="2" t="s">
        <v>1910</v>
      </c>
      <c r="D75" s="21" t="s">
        <v>1911</v>
      </c>
      <c r="E75" s="2">
        <v>400000</v>
      </c>
      <c r="F75" s="2">
        <f t="shared" si="9"/>
        <v>400000</v>
      </c>
      <c r="G75" s="2">
        <v>0</v>
      </c>
      <c r="H75" s="22"/>
      <c r="I75" s="2" t="s">
        <v>1912</v>
      </c>
      <c r="J75" s="22">
        <v>22</v>
      </c>
      <c r="M75" s="2">
        <v>1</v>
      </c>
      <c r="N75" s="2">
        <v>40</v>
      </c>
      <c r="O75" s="2">
        <v>9</v>
      </c>
      <c r="P75" s="2">
        <v>-1</v>
      </c>
      <c r="Q75" s="2">
        <v>0</v>
      </c>
      <c r="R75" s="2">
        <v>0</v>
      </c>
      <c r="S75" s="2">
        <v>-1</v>
      </c>
      <c r="T75" s="2">
        <v>-1</v>
      </c>
      <c r="U75" s="2">
        <v>-1</v>
      </c>
      <c r="V75" s="2">
        <v>0</v>
      </c>
      <c r="W75" s="2">
        <v>-1</v>
      </c>
      <c r="Y75" s="2">
        <v>1</v>
      </c>
      <c r="Z75" s="2">
        <v>0</v>
      </c>
      <c r="AA75" s="2">
        <v>1</v>
      </c>
      <c r="AB75" s="2">
        <v>999</v>
      </c>
    </row>
    <row r="76" spans="1:28" x14ac:dyDescent="0.25">
      <c r="A76" s="2">
        <v>2214</v>
      </c>
      <c r="B76" s="2" t="s">
        <v>1913</v>
      </c>
      <c r="C76" s="2" t="s">
        <v>1914</v>
      </c>
      <c r="D76" s="21" t="s">
        <v>1915</v>
      </c>
      <c r="E76" s="2">
        <v>500000</v>
      </c>
      <c r="F76" s="2">
        <f t="shared" si="9"/>
        <v>500000</v>
      </c>
      <c r="G76" s="2">
        <v>0</v>
      </c>
      <c r="H76" s="22"/>
      <c r="I76" s="2" t="s">
        <v>1916</v>
      </c>
      <c r="J76" s="22">
        <v>22</v>
      </c>
      <c r="M76" s="2">
        <v>1</v>
      </c>
      <c r="N76" s="2">
        <v>50</v>
      </c>
      <c r="O76" s="2">
        <v>9</v>
      </c>
      <c r="P76" s="2">
        <v>-1</v>
      </c>
      <c r="Q76" s="2">
        <v>0</v>
      </c>
      <c r="R76" s="2">
        <v>0</v>
      </c>
      <c r="S76" s="2">
        <v>-1</v>
      </c>
      <c r="T76" s="2">
        <v>-1</v>
      </c>
      <c r="U76" s="2">
        <v>-1</v>
      </c>
      <c r="V76" s="2">
        <v>0</v>
      </c>
      <c r="W76" s="2">
        <v>-1</v>
      </c>
      <c r="Y76" s="2">
        <v>1</v>
      </c>
      <c r="Z76" s="2">
        <v>0</v>
      </c>
      <c r="AA76" s="2">
        <v>1</v>
      </c>
      <c r="AB76" s="2">
        <v>999</v>
      </c>
    </row>
    <row r="77" spans="1:28" x14ac:dyDescent="0.25">
      <c r="A77" s="2">
        <v>2215</v>
      </c>
      <c r="B77" s="2" t="s">
        <v>1917</v>
      </c>
      <c r="C77" s="2" t="s">
        <v>1918</v>
      </c>
      <c r="D77" s="21" t="s">
        <v>1919</v>
      </c>
      <c r="E77" s="2">
        <v>600000</v>
      </c>
      <c r="F77" s="2">
        <f t="shared" si="9"/>
        <v>600000</v>
      </c>
      <c r="G77" s="2">
        <v>0</v>
      </c>
      <c r="H77" s="22"/>
      <c r="I77" s="2" t="s">
        <v>1920</v>
      </c>
      <c r="J77" s="22">
        <v>22</v>
      </c>
      <c r="M77" s="2">
        <v>1</v>
      </c>
      <c r="N77" s="2">
        <v>60</v>
      </c>
      <c r="O77" s="2">
        <v>9</v>
      </c>
      <c r="P77" s="2">
        <v>-1</v>
      </c>
      <c r="Q77" s="2">
        <v>0</v>
      </c>
      <c r="R77" s="2">
        <v>0</v>
      </c>
      <c r="S77" s="2">
        <v>-1</v>
      </c>
      <c r="T77" s="2">
        <v>-1</v>
      </c>
      <c r="U77" s="2">
        <v>-1</v>
      </c>
      <c r="V77" s="2">
        <v>0</v>
      </c>
      <c r="W77" s="2">
        <v>-1</v>
      </c>
      <c r="Y77" s="2">
        <v>1</v>
      </c>
      <c r="Z77" s="2">
        <v>0</v>
      </c>
      <c r="AA77" s="2">
        <v>1</v>
      </c>
      <c r="AB77" s="2">
        <v>999</v>
      </c>
    </row>
    <row r="78" spans="1:28" x14ac:dyDescent="0.25">
      <c r="A78" s="2">
        <v>2216</v>
      </c>
      <c r="B78" s="2" t="s">
        <v>1921</v>
      </c>
      <c r="C78" s="2" t="s">
        <v>1922</v>
      </c>
      <c r="D78" s="21" t="s">
        <v>1923</v>
      </c>
      <c r="E78" s="2">
        <v>700000</v>
      </c>
      <c r="F78" s="2">
        <f t="shared" si="9"/>
        <v>700000</v>
      </c>
      <c r="G78" s="2">
        <v>0</v>
      </c>
      <c r="H78" s="22"/>
      <c r="I78" s="2" t="s">
        <v>1924</v>
      </c>
      <c r="J78" s="22">
        <v>22</v>
      </c>
      <c r="M78" s="2">
        <v>1</v>
      </c>
      <c r="N78" s="2">
        <v>70</v>
      </c>
      <c r="O78" s="2">
        <v>9</v>
      </c>
      <c r="P78" s="2">
        <v>-1</v>
      </c>
      <c r="Q78" s="2">
        <v>0</v>
      </c>
      <c r="R78" s="2">
        <v>0</v>
      </c>
      <c r="S78" s="2">
        <v>-1</v>
      </c>
      <c r="T78" s="2">
        <v>-1</v>
      </c>
      <c r="U78" s="2">
        <v>-1</v>
      </c>
      <c r="V78" s="2">
        <v>0</v>
      </c>
      <c r="W78" s="2">
        <v>-1</v>
      </c>
      <c r="Y78" s="2">
        <v>1</v>
      </c>
      <c r="Z78" s="2">
        <v>0</v>
      </c>
      <c r="AA78" s="2">
        <v>1</v>
      </c>
      <c r="AB78" s="2">
        <v>999</v>
      </c>
    </row>
    <row r="79" spans="1:28" x14ac:dyDescent="0.25">
      <c r="A79" s="2">
        <v>2217</v>
      </c>
      <c r="B79" s="2" t="s">
        <v>1925</v>
      </c>
      <c r="C79" s="2" t="s">
        <v>1926</v>
      </c>
      <c r="D79" s="21" t="s">
        <v>1927</v>
      </c>
      <c r="E79" s="2">
        <v>800000</v>
      </c>
      <c r="F79" s="2">
        <f t="shared" si="9"/>
        <v>800000</v>
      </c>
      <c r="G79" s="2">
        <v>0</v>
      </c>
      <c r="H79" s="22"/>
      <c r="I79" s="2" t="s">
        <v>1928</v>
      </c>
      <c r="J79" s="22">
        <v>22</v>
      </c>
      <c r="M79" s="2">
        <v>1</v>
      </c>
      <c r="N79" s="2">
        <v>80</v>
      </c>
      <c r="O79" s="2">
        <v>9</v>
      </c>
      <c r="P79" s="2">
        <v>-1</v>
      </c>
      <c r="Q79" s="2">
        <v>0</v>
      </c>
      <c r="R79" s="2">
        <v>0</v>
      </c>
      <c r="S79" s="2">
        <v>-1</v>
      </c>
      <c r="T79" s="2">
        <v>-1</v>
      </c>
      <c r="U79" s="2">
        <v>-1</v>
      </c>
      <c r="V79" s="2">
        <v>0</v>
      </c>
      <c r="W79" s="2">
        <v>-1</v>
      </c>
      <c r="Y79" s="2">
        <v>1</v>
      </c>
      <c r="Z79" s="2">
        <v>0</v>
      </c>
      <c r="AA79" s="2">
        <v>1</v>
      </c>
      <c r="AB79" s="2">
        <v>999</v>
      </c>
    </row>
    <row r="80" spans="1:28" x14ac:dyDescent="0.25">
      <c r="A80" s="2">
        <v>2218</v>
      </c>
      <c r="B80" s="2" t="s">
        <v>1929</v>
      </c>
      <c r="C80" s="2" t="s">
        <v>1930</v>
      </c>
      <c r="D80" s="21" t="s">
        <v>1931</v>
      </c>
      <c r="E80" s="2">
        <v>900000</v>
      </c>
      <c r="F80" s="2">
        <f t="shared" si="9"/>
        <v>900000</v>
      </c>
      <c r="G80" s="2">
        <v>0</v>
      </c>
      <c r="H80" s="22"/>
      <c r="I80" s="2" t="s">
        <v>1932</v>
      </c>
      <c r="J80" s="22">
        <v>22</v>
      </c>
      <c r="M80" s="2">
        <v>1</v>
      </c>
      <c r="N80" s="2">
        <v>90</v>
      </c>
      <c r="O80" s="2">
        <v>9</v>
      </c>
      <c r="P80" s="2">
        <v>-1</v>
      </c>
      <c r="Q80" s="2">
        <v>0</v>
      </c>
      <c r="R80" s="2">
        <v>0</v>
      </c>
      <c r="S80" s="2">
        <v>-1</v>
      </c>
      <c r="T80" s="2">
        <v>-1</v>
      </c>
      <c r="U80" s="2">
        <v>-1</v>
      </c>
      <c r="V80" s="2">
        <v>0</v>
      </c>
      <c r="W80" s="2">
        <v>-1</v>
      </c>
      <c r="Y80" s="2">
        <v>1</v>
      </c>
      <c r="Z80" s="2">
        <v>0</v>
      </c>
      <c r="AA80" s="2">
        <v>1</v>
      </c>
      <c r="AB80" s="2">
        <v>999</v>
      </c>
    </row>
    <row r="81" spans="1:28" x14ac:dyDescent="0.25">
      <c r="A81" s="2">
        <v>2219</v>
      </c>
      <c r="B81" s="2" t="s">
        <v>1933</v>
      </c>
      <c r="C81" s="2" t="s">
        <v>1934</v>
      </c>
      <c r="D81" s="21" t="s">
        <v>1935</v>
      </c>
      <c r="E81" s="2">
        <v>1000000</v>
      </c>
      <c r="F81" s="2">
        <f t="shared" si="9"/>
        <v>1000000</v>
      </c>
      <c r="G81" s="2">
        <v>0</v>
      </c>
      <c r="H81" s="22"/>
      <c r="I81" s="2" t="s">
        <v>1936</v>
      </c>
      <c r="J81" s="22">
        <v>22</v>
      </c>
      <c r="M81" s="2">
        <v>1</v>
      </c>
      <c r="N81" s="2">
        <v>100</v>
      </c>
      <c r="O81" s="2">
        <v>9</v>
      </c>
      <c r="P81" s="2">
        <v>-1</v>
      </c>
      <c r="Q81" s="2">
        <v>0</v>
      </c>
      <c r="R81" s="2">
        <v>0</v>
      </c>
      <c r="S81" s="2">
        <v>-1</v>
      </c>
      <c r="T81" s="2">
        <v>-1</v>
      </c>
      <c r="U81" s="2">
        <v>-1</v>
      </c>
      <c r="V81" s="2">
        <v>0</v>
      </c>
      <c r="W81" s="2">
        <v>-1</v>
      </c>
      <c r="Y81" s="2">
        <v>1</v>
      </c>
      <c r="Z81" s="2">
        <v>0</v>
      </c>
      <c r="AA81" s="2">
        <v>1</v>
      </c>
      <c r="AB81" s="2">
        <v>999</v>
      </c>
    </row>
    <row r="82" spans="1:28" x14ac:dyDescent="0.25">
      <c r="A82" s="2">
        <v>2220</v>
      </c>
      <c r="B82" s="2" t="s">
        <v>1937</v>
      </c>
      <c r="C82" s="2" t="s">
        <v>1938</v>
      </c>
      <c r="D82" s="21" t="s">
        <v>1939</v>
      </c>
      <c r="E82" s="2">
        <v>2000000</v>
      </c>
      <c r="F82" s="2">
        <f t="shared" si="9"/>
        <v>2000000</v>
      </c>
      <c r="G82" s="2">
        <v>0</v>
      </c>
      <c r="H82" s="22"/>
      <c r="I82" s="2" t="s">
        <v>1940</v>
      </c>
      <c r="J82" s="22">
        <v>22</v>
      </c>
      <c r="M82" s="2">
        <v>1</v>
      </c>
      <c r="N82" s="2">
        <v>200</v>
      </c>
      <c r="O82" s="2">
        <v>9</v>
      </c>
      <c r="P82" s="2">
        <v>-1</v>
      </c>
      <c r="Q82" s="2">
        <v>0</v>
      </c>
      <c r="R82" s="2">
        <v>0</v>
      </c>
      <c r="S82" s="2">
        <v>-1</v>
      </c>
      <c r="T82" s="2">
        <v>-1</v>
      </c>
      <c r="U82" s="2">
        <v>-1</v>
      </c>
      <c r="V82" s="2">
        <v>0</v>
      </c>
      <c r="W82" s="2">
        <v>-1</v>
      </c>
      <c r="Y82" s="2">
        <v>1</v>
      </c>
      <c r="Z82" s="2">
        <v>0</v>
      </c>
      <c r="AA82" s="2">
        <v>1</v>
      </c>
      <c r="AB82" s="2">
        <v>999</v>
      </c>
    </row>
    <row r="83" spans="1:28" x14ac:dyDescent="0.25">
      <c r="A83" s="2">
        <v>2221</v>
      </c>
      <c r="B83" s="2" t="s">
        <v>1941</v>
      </c>
      <c r="C83" s="2" t="s">
        <v>1942</v>
      </c>
      <c r="D83" s="21" t="s">
        <v>1943</v>
      </c>
      <c r="E83" s="2">
        <v>3000000</v>
      </c>
      <c r="F83" s="2">
        <f t="shared" si="9"/>
        <v>3000000</v>
      </c>
      <c r="G83" s="2">
        <v>0</v>
      </c>
      <c r="H83" s="22"/>
      <c r="I83" s="2" t="s">
        <v>1944</v>
      </c>
      <c r="J83" s="22">
        <v>22</v>
      </c>
      <c r="M83" s="2">
        <v>1</v>
      </c>
      <c r="N83" s="2">
        <v>300</v>
      </c>
      <c r="O83" s="2">
        <v>9</v>
      </c>
      <c r="P83" s="2">
        <v>-1</v>
      </c>
      <c r="Q83" s="2">
        <v>0</v>
      </c>
      <c r="R83" s="2">
        <v>0</v>
      </c>
      <c r="S83" s="2">
        <v>-1</v>
      </c>
      <c r="T83" s="2">
        <v>-1</v>
      </c>
      <c r="U83" s="2">
        <v>-1</v>
      </c>
      <c r="V83" s="2">
        <v>0</v>
      </c>
      <c r="W83" s="2">
        <v>-1</v>
      </c>
      <c r="Y83" s="2">
        <v>1</v>
      </c>
      <c r="Z83" s="2">
        <v>0</v>
      </c>
      <c r="AA83" s="2">
        <v>1</v>
      </c>
      <c r="AB83" s="2">
        <v>999</v>
      </c>
    </row>
  </sheetData>
  <autoFilter ref="A1:AC83"/>
  <phoneticPr fontId="55" type="noConversion"/>
  <conditionalFormatting sqref="D7">
    <cfRule type="containsText" dxfId="706" priority="729" operator="containsText" text=" ">
      <formula>NOT(ISERROR(SEARCH(" ",D7)))</formula>
    </cfRule>
  </conditionalFormatting>
  <conditionalFormatting sqref="B8">
    <cfRule type="containsText" dxfId="705" priority="752" operator="containsText" text=" ">
      <formula>NOT(ISERROR(SEARCH(" ",B8)))</formula>
    </cfRule>
  </conditionalFormatting>
  <conditionalFormatting sqref="B9">
    <cfRule type="containsText" dxfId="704" priority="750" operator="containsText" text=" ">
      <formula>NOT(ISERROR(SEARCH(" ",B9)))</formula>
    </cfRule>
  </conditionalFormatting>
  <conditionalFormatting sqref="D9">
    <cfRule type="containsText" dxfId="703" priority="728" operator="containsText" text=" ">
      <formula>NOT(ISERROR(SEARCH(" ",D9)))</formula>
    </cfRule>
  </conditionalFormatting>
  <conditionalFormatting sqref="B10">
    <cfRule type="containsText" dxfId="702" priority="747" operator="containsText" text=" ">
      <formula>NOT(ISERROR(SEARCH(" ",B10)))</formula>
    </cfRule>
  </conditionalFormatting>
  <conditionalFormatting sqref="D10">
    <cfRule type="containsText" dxfId="701" priority="727" operator="containsText" text=" ">
      <formula>NOT(ISERROR(SEARCH(" ",D10)))</formula>
    </cfRule>
  </conditionalFormatting>
  <conditionalFormatting sqref="X10">
    <cfRule type="containsText" dxfId="700" priority="832" operator="containsText" text=" ">
      <formula>NOT(ISERROR(SEARCH(" ",X10)))</formula>
    </cfRule>
  </conditionalFormatting>
  <conditionalFormatting sqref="Y10">
    <cfRule type="containsText" dxfId="699" priority="831" operator="containsText" text=" ">
      <formula>NOT(ISERROR(SEARCH(" ",Y10)))</formula>
    </cfRule>
  </conditionalFormatting>
  <conditionalFormatting sqref="B11">
    <cfRule type="containsText" dxfId="698" priority="713" operator="containsText" text=" ">
      <formula>NOT(ISERROR(SEARCH(" ",B11)))</formula>
    </cfRule>
  </conditionalFormatting>
  <conditionalFormatting sqref="D11">
    <cfRule type="containsText" dxfId="697" priority="555" operator="containsText" text=" ">
      <formula>NOT(ISERROR(SEARCH(" ",D11)))</formula>
    </cfRule>
  </conditionalFormatting>
  <conditionalFormatting sqref="E11:G11">
    <cfRule type="containsText" dxfId="696" priority="554" operator="containsText" text=" ">
      <formula>NOT(ISERROR(SEARCH(" ",E11)))</formula>
    </cfRule>
  </conditionalFormatting>
  <conditionalFormatting sqref="X11">
    <cfRule type="containsText" dxfId="695" priority="557" operator="containsText" text=" ">
      <formula>NOT(ISERROR(SEARCH(" ",X11)))</formula>
    </cfRule>
  </conditionalFormatting>
  <conditionalFormatting sqref="Y11">
    <cfRule type="containsText" dxfId="694" priority="556" operator="containsText" text=" ">
      <formula>NOT(ISERROR(SEARCH(" ",Y11)))</formula>
    </cfRule>
  </conditionalFormatting>
  <conditionalFormatting sqref="A12">
    <cfRule type="duplicateValues" dxfId="693" priority="174"/>
  </conditionalFormatting>
  <conditionalFormatting sqref="B12">
    <cfRule type="containsText" dxfId="692" priority="175" operator="containsText" text=" ">
      <formula>NOT(ISERROR(SEARCH(" ",B12)))</formula>
    </cfRule>
  </conditionalFormatting>
  <conditionalFormatting sqref="D12">
    <cfRule type="containsText" dxfId="691" priority="169" operator="containsText" text=" ">
      <formula>NOT(ISERROR(SEARCH(" ",D12)))</formula>
    </cfRule>
  </conditionalFormatting>
  <conditionalFormatting sqref="E12:G12">
    <cfRule type="containsText" dxfId="690" priority="168" operator="containsText" text=" ">
      <formula>NOT(ISERROR(SEARCH(" ",E12)))</formula>
    </cfRule>
  </conditionalFormatting>
  <conditionalFormatting sqref="X12">
    <cfRule type="containsText" dxfId="689" priority="171" operator="containsText" text=" ">
      <formula>NOT(ISERROR(SEARCH(" ",X12)))</formula>
    </cfRule>
  </conditionalFormatting>
  <conditionalFormatting sqref="Y12">
    <cfRule type="containsText" dxfId="688" priority="170" operator="containsText" text=" ">
      <formula>NOT(ISERROR(SEARCH(" ",Y12)))</formula>
    </cfRule>
  </conditionalFormatting>
  <conditionalFormatting sqref="P17">
    <cfRule type="containsText" dxfId="687" priority="699" operator="containsText" text=" ">
      <formula>NOT(ISERROR(SEARCH(" ",P17)))</formula>
    </cfRule>
  </conditionalFormatting>
  <conditionalFormatting sqref="R17:S17">
    <cfRule type="containsText" dxfId="686" priority="701" operator="containsText" text=" ">
      <formula>NOT(ISERROR(SEARCH(" ",R17)))</formula>
    </cfRule>
  </conditionalFormatting>
  <conditionalFormatting sqref="V17:W17">
    <cfRule type="containsText" dxfId="685" priority="702" operator="containsText" text=" ">
      <formula>NOT(ISERROR(SEARCH(" ",V17)))</formula>
    </cfRule>
  </conditionalFormatting>
  <conditionalFormatting sqref="A23">
    <cfRule type="duplicateValues" dxfId="684" priority="517"/>
  </conditionalFormatting>
  <conditionalFormatting sqref="B23">
    <cfRule type="containsText" dxfId="683" priority="520" operator="containsText" text=" ">
      <formula>NOT(ISERROR(SEARCH(" ",B23)))</formula>
    </cfRule>
  </conditionalFormatting>
  <conditionalFormatting sqref="D23">
    <cfRule type="containsText" dxfId="682" priority="519" operator="containsText" text=" ">
      <formula>NOT(ISERROR(SEARCH(" ",D23)))</formula>
    </cfRule>
  </conditionalFormatting>
  <conditionalFormatting sqref="E23">
    <cfRule type="containsText" dxfId="681" priority="518" operator="containsText" text=" ">
      <formula>NOT(ISERROR(SEARCH(" ",E23)))</formula>
    </cfRule>
  </conditionalFormatting>
  <conditionalFormatting sqref="F23">
    <cfRule type="containsText" dxfId="680" priority="525" operator="containsText" text=" ">
      <formula>NOT(ISERROR(SEARCH(" ",F23)))</formula>
    </cfRule>
  </conditionalFormatting>
  <conditionalFormatting sqref="G23">
    <cfRule type="containsText" dxfId="679" priority="516" operator="containsText" text=" ">
      <formula>NOT(ISERROR(SEARCH(" ",G23)))</formula>
    </cfRule>
  </conditionalFormatting>
  <conditionalFormatting sqref="H23:P23">
    <cfRule type="containsText" dxfId="678" priority="515" operator="containsText" text=" ">
      <formula>NOT(ISERROR(SEARCH(" ",H23)))</formula>
    </cfRule>
  </conditionalFormatting>
  <conditionalFormatting sqref="Q23">
    <cfRule type="containsText" dxfId="677" priority="523" operator="containsText" text=" ">
      <formula>NOT(ISERROR(SEARCH(" ",Q23)))</formula>
    </cfRule>
  </conditionalFormatting>
  <conditionalFormatting sqref="X23">
    <cfRule type="containsText" dxfId="676" priority="522" operator="containsText" text=" ">
      <formula>NOT(ISERROR(SEARCH(" ",X23)))</formula>
    </cfRule>
  </conditionalFormatting>
  <conditionalFormatting sqref="Y23">
    <cfRule type="containsText" dxfId="675" priority="521" operator="containsText" text=" ">
      <formula>NOT(ISERROR(SEARCH(" ",Y23)))</formula>
    </cfRule>
  </conditionalFormatting>
  <conditionalFormatting sqref="A24">
    <cfRule type="duplicateValues" dxfId="674" priority="246"/>
  </conditionalFormatting>
  <conditionalFormatting sqref="B24">
    <cfRule type="containsText" dxfId="673" priority="249" operator="containsText" text=" ">
      <formula>NOT(ISERROR(SEARCH(" ",B24)))</formula>
    </cfRule>
  </conditionalFormatting>
  <conditionalFormatting sqref="D24">
    <cfRule type="containsText" dxfId="672" priority="248" operator="containsText" text=" ">
      <formula>NOT(ISERROR(SEARCH(" ",D24)))</formula>
    </cfRule>
  </conditionalFormatting>
  <conditionalFormatting sqref="E24">
    <cfRule type="containsText" dxfId="671" priority="247" operator="containsText" text=" ">
      <formula>NOT(ISERROR(SEARCH(" ",E24)))</formula>
    </cfRule>
  </conditionalFormatting>
  <conditionalFormatting sqref="F24">
    <cfRule type="containsText" dxfId="670" priority="254" operator="containsText" text=" ">
      <formula>NOT(ISERROR(SEARCH(" ",F24)))</formula>
    </cfRule>
  </conditionalFormatting>
  <conditionalFormatting sqref="G24">
    <cfRule type="containsText" dxfId="669" priority="245" operator="containsText" text=" ">
      <formula>NOT(ISERROR(SEARCH(" ",G24)))</formula>
    </cfRule>
  </conditionalFormatting>
  <conditionalFormatting sqref="H24:P24">
    <cfRule type="containsText" dxfId="668" priority="244" operator="containsText" text=" ">
      <formula>NOT(ISERROR(SEARCH(" ",H24)))</formula>
    </cfRule>
  </conditionalFormatting>
  <conditionalFormatting sqref="Q24">
    <cfRule type="containsText" dxfId="667" priority="252" operator="containsText" text=" ">
      <formula>NOT(ISERROR(SEARCH(" ",Q24)))</formula>
    </cfRule>
  </conditionalFormatting>
  <conditionalFormatting sqref="X24">
    <cfRule type="containsText" dxfId="666" priority="251" operator="containsText" text=" ">
      <formula>NOT(ISERROR(SEARCH(" ",X24)))</formula>
    </cfRule>
  </conditionalFormatting>
  <conditionalFormatting sqref="Y24">
    <cfRule type="containsText" dxfId="665" priority="250" operator="containsText" text=" ">
      <formula>NOT(ISERROR(SEARCH(" ",Y24)))</formula>
    </cfRule>
  </conditionalFormatting>
  <conditionalFormatting sqref="A25">
    <cfRule type="duplicateValues" dxfId="664" priority="234"/>
  </conditionalFormatting>
  <conditionalFormatting sqref="B25">
    <cfRule type="containsText" dxfId="663" priority="237" operator="containsText" text=" ">
      <formula>NOT(ISERROR(SEARCH(" ",B25)))</formula>
    </cfRule>
  </conditionalFormatting>
  <conditionalFormatting sqref="D25">
    <cfRule type="containsText" dxfId="662" priority="236" operator="containsText" text=" ">
      <formula>NOT(ISERROR(SEARCH(" ",D25)))</formula>
    </cfRule>
  </conditionalFormatting>
  <conditionalFormatting sqref="E25">
    <cfRule type="containsText" dxfId="661" priority="235" operator="containsText" text=" ">
      <formula>NOT(ISERROR(SEARCH(" ",E25)))</formula>
    </cfRule>
  </conditionalFormatting>
  <conditionalFormatting sqref="F25">
    <cfRule type="containsText" dxfId="660" priority="242" operator="containsText" text=" ">
      <formula>NOT(ISERROR(SEARCH(" ",F25)))</formula>
    </cfRule>
  </conditionalFormatting>
  <conditionalFormatting sqref="G25">
    <cfRule type="containsText" dxfId="659" priority="233" operator="containsText" text=" ">
      <formula>NOT(ISERROR(SEARCH(" ",G25)))</formula>
    </cfRule>
  </conditionalFormatting>
  <conditionalFormatting sqref="H25:P25">
    <cfRule type="containsText" dxfId="658" priority="232" operator="containsText" text=" ">
      <formula>NOT(ISERROR(SEARCH(" ",H25)))</formula>
    </cfRule>
  </conditionalFormatting>
  <conditionalFormatting sqref="Q25">
    <cfRule type="containsText" dxfId="657" priority="240" operator="containsText" text=" ">
      <formula>NOT(ISERROR(SEARCH(" ",Q25)))</formula>
    </cfRule>
  </conditionalFormatting>
  <conditionalFormatting sqref="X25">
    <cfRule type="containsText" dxfId="656" priority="239" operator="containsText" text=" ">
      <formula>NOT(ISERROR(SEARCH(" ",X25)))</formula>
    </cfRule>
  </conditionalFormatting>
  <conditionalFormatting sqref="Y25">
    <cfRule type="containsText" dxfId="655" priority="238" operator="containsText" text=" ">
      <formula>NOT(ISERROR(SEARCH(" ",Y25)))</formula>
    </cfRule>
  </conditionalFormatting>
  <conditionalFormatting sqref="B26">
    <cfRule type="containsText" dxfId="654" priority="705" operator="containsText" text=" ">
      <formula>NOT(ISERROR(SEARCH(" ",B26)))</formula>
    </cfRule>
  </conditionalFormatting>
  <conditionalFormatting sqref="D26">
    <cfRule type="containsText" dxfId="653" priority="704" operator="containsText" text=" ">
      <formula>NOT(ISERROR(SEARCH(" ",D26)))</formula>
    </cfRule>
  </conditionalFormatting>
  <conditionalFormatting sqref="E26">
    <cfRule type="containsText" dxfId="652" priority="703" operator="containsText" text=" ">
      <formula>NOT(ISERROR(SEARCH(" ",E26)))</formula>
    </cfRule>
  </conditionalFormatting>
  <conditionalFormatting sqref="Q26">
    <cfRule type="containsText" dxfId="651" priority="708" operator="containsText" text=" ">
      <formula>NOT(ISERROR(SEARCH(" ",Q26)))</formula>
    </cfRule>
  </conditionalFormatting>
  <conditionalFormatting sqref="X26">
    <cfRule type="containsText" dxfId="650" priority="707" operator="containsText" text=" ">
      <formula>NOT(ISERROR(SEARCH(" ",X26)))</formula>
    </cfRule>
  </conditionalFormatting>
  <conditionalFormatting sqref="Y26">
    <cfRule type="containsText" dxfId="649" priority="706" operator="containsText" text=" ">
      <formula>NOT(ISERROR(SEARCH(" ",Y26)))</formula>
    </cfRule>
  </conditionalFormatting>
  <conditionalFormatting sqref="A27">
    <cfRule type="duplicateValues" dxfId="648" priority="600"/>
  </conditionalFormatting>
  <conditionalFormatting sqref="B27">
    <cfRule type="containsText" dxfId="647" priority="603" operator="containsText" text=" ">
      <formula>NOT(ISERROR(SEARCH(" ",B27)))</formula>
    </cfRule>
  </conditionalFormatting>
  <conditionalFormatting sqref="D27">
    <cfRule type="containsText" dxfId="646" priority="602" operator="containsText" text=" ">
      <formula>NOT(ISERROR(SEARCH(" ",D27)))</formula>
    </cfRule>
  </conditionalFormatting>
  <conditionalFormatting sqref="E27">
    <cfRule type="containsText" dxfId="645" priority="601" operator="containsText" text=" ">
      <formula>NOT(ISERROR(SEARCH(" ",E27)))</formula>
    </cfRule>
  </conditionalFormatting>
  <conditionalFormatting sqref="F27">
    <cfRule type="containsText" dxfId="644" priority="608" operator="containsText" text=" ">
      <formula>NOT(ISERROR(SEARCH(" ",F27)))</formula>
    </cfRule>
  </conditionalFormatting>
  <conditionalFormatting sqref="G27">
    <cfRule type="containsText" dxfId="643" priority="599" operator="containsText" text=" ">
      <formula>NOT(ISERROR(SEARCH(" ",G27)))</formula>
    </cfRule>
  </conditionalFormatting>
  <conditionalFormatting sqref="Q27">
    <cfRule type="containsText" dxfId="642" priority="606" operator="containsText" text=" ">
      <formula>NOT(ISERROR(SEARCH(" ",Q27)))</formula>
    </cfRule>
  </conditionalFormatting>
  <conditionalFormatting sqref="X27">
    <cfRule type="containsText" dxfId="641" priority="605" operator="containsText" text=" ">
      <formula>NOT(ISERROR(SEARCH(" ",X27)))</formula>
    </cfRule>
  </conditionalFormatting>
  <conditionalFormatting sqref="Y27">
    <cfRule type="containsText" dxfId="640" priority="604" operator="containsText" text=" ">
      <formula>NOT(ISERROR(SEARCH(" ",Y27)))</formula>
    </cfRule>
  </conditionalFormatting>
  <conditionalFormatting sqref="O29">
    <cfRule type="containsText" dxfId="639" priority="813" operator="containsText" text=" ">
      <formula>NOT(ISERROR(SEARCH(" ",O29)))</formula>
    </cfRule>
  </conditionalFormatting>
  <conditionalFormatting sqref="O30">
    <cfRule type="containsText" dxfId="638" priority="812" operator="containsText" text=" ">
      <formula>NOT(ISERROR(SEARCH(" ",O30)))</formula>
    </cfRule>
  </conditionalFormatting>
  <conditionalFormatting sqref="C31">
    <cfRule type="containsText" dxfId="637" priority="767" operator="containsText" text=" ">
      <formula>NOT(ISERROR(SEARCH(" ",C31)))</formula>
    </cfRule>
  </conditionalFormatting>
  <conditionalFormatting sqref="E31">
    <cfRule type="containsText" dxfId="636" priority="722" operator="containsText" text=" ">
      <formula>NOT(ISERROR(SEARCH(" ",E31)))</formula>
    </cfRule>
  </conditionalFormatting>
  <conditionalFormatting sqref="I31">
    <cfRule type="containsText" dxfId="635" priority="766" operator="containsText" text=" ">
      <formula>NOT(ISERROR(SEARCH(" ",I31)))</formula>
    </cfRule>
  </conditionalFormatting>
  <conditionalFormatting sqref="O31">
    <cfRule type="containsText" dxfId="634" priority="763" operator="containsText" text=" ">
      <formula>NOT(ISERROR(SEARCH(" ",O31)))</formula>
    </cfRule>
  </conditionalFormatting>
  <conditionalFormatting sqref="Q31">
    <cfRule type="containsText" dxfId="633" priority="769" operator="containsText" text=" ">
      <formula>NOT(ISERROR(SEARCH(" ",Q31)))</formula>
    </cfRule>
  </conditionalFormatting>
  <conditionalFormatting sqref="X31">
    <cfRule type="containsText" dxfId="632" priority="765" operator="containsText" text=" ">
      <formula>NOT(ISERROR(SEARCH(" ",X31)))</formula>
    </cfRule>
  </conditionalFormatting>
  <conditionalFormatting sqref="Y31">
    <cfRule type="containsText" dxfId="631" priority="764" operator="containsText" text=" ">
      <formula>NOT(ISERROR(SEARCH(" ",Y31)))</formula>
    </cfRule>
  </conditionalFormatting>
  <conditionalFormatting sqref="AB31">
    <cfRule type="containsText" dxfId="630" priority="762" operator="containsText" text=" ">
      <formula>NOT(ISERROR(SEARCH(" ",AB31)))</formula>
    </cfRule>
  </conditionalFormatting>
  <conditionalFormatting sqref="E32">
    <cfRule type="containsText" dxfId="629" priority="720" operator="containsText" text=" ">
      <formula>NOT(ISERROR(SEARCH(" ",E32)))</formula>
    </cfRule>
  </conditionalFormatting>
  <conditionalFormatting sqref="O32">
    <cfRule type="containsText" dxfId="628" priority="811" operator="containsText" text=" ">
      <formula>NOT(ISERROR(SEARCH(" ",O32)))</formula>
    </cfRule>
  </conditionalFormatting>
  <conditionalFormatting sqref="X32">
    <cfRule type="containsText" dxfId="627" priority="755" operator="containsText" text=" ">
      <formula>NOT(ISERROR(SEARCH(" ",X32)))</formula>
    </cfRule>
  </conditionalFormatting>
  <conditionalFormatting sqref="E33">
    <cfRule type="containsText" dxfId="626" priority="719" operator="containsText" text=" ">
      <formula>NOT(ISERROR(SEARCH(" ",E33)))</formula>
    </cfRule>
  </conditionalFormatting>
  <conditionalFormatting sqref="O33">
    <cfRule type="containsText" dxfId="625" priority="810" operator="containsText" text=" ">
      <formula>NOT(ISERROR(SEARCH(" ",O33)))</formula>
    </cfRule>
  </conditionalFormatting>
  <conditionalFormatting sqref="X33">
    <cfRule type="containsText" dxfId="624" priority="754" operator="containsText" text=" ">
      <formula>NOT(ISERROR(SEARCH(" ",X33)))</formula>
    </cfRule>
  </conditionalFormatting>
  <conditionalFormatting sqref="B34">
    <cfRule type="containsText" dxfId="623" priority="746" operator="containsText" text=" ">
      <formula>NOT(ISERROR(SEARCH(" ",B34)))</formula>
    </cfRule>
  </conditionalFormatting>
  <conditionalFormatting sqref="C34">
    <cfRule type="containsText" dxfId="622" priority="804" operator="containsText" text=" ">
      <formula>NOT(ISERROR(SEARCH(" ",C34)))</formula>
    </cfRule>
  </conditionalFormatting>
  <conditionalFormatting sqref="E34">
    <cfRule type="containsText" dxfId="621" priority="721" operator="containsText" text=" ">
      <formula>NOT(ISERROR(SEARCH(" ",E34)))</formula>
    </cfRule>
  </conditionalFormatting>
  <conditionalFormatting sqref="I34">
    <cfRule type="containsText" dxfId="620" priority="803" operator="containsText" text=" ">
      <formula>NOT(ISERROR(SEARCH(" ",I34)))</formula>
    </cfRule>
  </conditionalFormatting>
  <conditionalFormatting sqref="O34">
    <cfRule type="containsText" dxfId="619" priority="800" operator="containsText" text=" ">
      <formula>NOT(ISERROR(SEARCH(" ",O34)))</formula>
    </cfRule>
  </conditionalFormatting>
  <conditionalFormatting sqref="Q34">
    <cfRule type="containsText" dxfId="618" priority="806" operator="containsText" text=" ">
      <formula>NOT(ISERROR(SEARCH(" ",Q34)))</formula>
    </cfRule>
  </conditionalFormatting>
  <conditionalFormatting sqref="X34">
    <cfRule type="containsText" dxfId="617" priority="756" operator="containsText" text=" ">
      <formula>NOT(ISERROR(SEARCH(" ",X34)))</formula>
    </cfRule>
  </conditionalFormatting>
  <conditionalFormatting sqref="Y34">
    <cfRule type="containsText" dxfId="616" priority="801" operator="containsText" text=" ">
      <formula>NOT(ISERROR(SEARCH(" ",Y34)))</formula>
    </cfRule>
  </conditionalFormatting>
  <conditionalFormatting sqref="AB34">
    <cfRule type="containsText" dxfId="615" priority="799" operator="containsText" text=" ">
      <formula>NOT(ISERROR(SEARCH(" ",AB34)))</formula>
    </cfRule>
  </conditionalFormatting>
  <conditionalFormatting sqref="B35">
    <cfRule type="containsText" dxfId="614" priority="744" operator="containsText" text=" ">
      <formula>NOT(ISERROR(SEARCH(" ",B35)))</formula>
    </cfRule>
  </conditionalFormatting>
  <conditionalFormatting sqref="E35">
    <cfRule type="containsText" dxfId="613" priority="718" operator="containsText" text=" ">
      <formula>NOT(ISERROR(SEARCH(" ",E35)))</formula>
    </cfRule>
  </conditionalFormatting>
  <conditionalFormatting sqref="Q35">
    <cfRule type="containsText" dxfId="612" priority="761" operator="containsText" text=" ">
      <formula>NOT(ISERROR(SEARCH(" ",Q35)))</formula>
    </cfRule>
  </conditionalFormatting>
  <conditionalFormatting sqref="X35">
    <cfRule type="containsText" dxfId="611" priority="759" operator="containsText" text=" ">
      <formula>NOT(ISERROR(SEARCH(" ",X35)))</formula>
    </cfRule>
  </conditionalFormatting>
  <conditionalFormatting sqref="Y35">
    <cfRule type="containsText" dxfId="610" priority="758" operator="containsText" text=" ">
      <formula>NOT(ISERROR(SEARCH(" ",Y35)))</formula>
    </cfRule>
  </conditionalFormatting>
  <conditionalFormatting sqref="O36">
    <cfRule type="containsText" dxfId="609" priority="781" operator="containsText" text=" ">
      <formula>NOT(ISERROR(SEARCH(" ",O36)))</formula>
    </cfRule>
  </conditionalFormatting>
  <conditionalFormatting sqref="P37">
    <cfRule type="containsText" dxfId="608" priority="787" operator="containsText" text=" ">
      <formula>NOT(ISERROR(SEARCH(" ",P37)))</formula>
    </cfRule>
  </conditionalFormatting>
  <conditionalFormatting sqref="R37">
    <cfRule type="containsText" dxfId="607" priority="786" operator="containsText" text=" ">
      <formula>NOT(ISERROR(SEARCH(" ",R37)))</formula>
    </cfRule>
  </conditionalFormatting>
  <conditionalFormatting sqref="S37">
    <cfRule type="containsText" dxfId="606" priority="785" operator="containsText" text=" ">
      <formula>NOT(ISERROR(SEARCH(" ",S37)))</formula>
    </cfRule>
  </conditionalFormatting>
  <conditionalFormatting sqref="T38:U38">
    <cfRule type="containsText" dxfId="605" priority="693" operator="containsText" text=" ">
      <formula>NOT(ISERROR(SEARCH(" ",T38)))</formula>
    </cfRule>
  </conditionalFormatting>
  <conditionalFormatting sqref="V38:W38">
    <cfRule type="containsText" dxfId="604" priority="696" operator="containsText" text=" ">
      <formula>NOT(ISERROR(SEARCH(" ",V38)))</formula>
    </cfRule>
  </conditionalFormatting>
  <conditionalFormatting sqref="AB38">
    <cfRule type="containsText" dxfId="603" priority="692" operator="containsText" text=" ">
      <formula>NOT(ISERROR(SEARCH(" ",AB38)))</formula>
    </cfRule>
  </conditionalFormatting>
  <conditionalFormatting sqref="A39">
    <cfRule type="duplicateValues" dxfId="602" priority="612"/>
  </conditionalFormatting>
  <conditionalFormatting sqref="F39">
    <cfRule type="containsText" dxfId="601" priority="618" operator="containsText" text=" ">
      <formula>NOT(ISERROR(SEARCH(" ",F39)))</formula>
    </cfRule>
  </conditionalFormatting>
  <conditionalFormatting sqref="G39">
    <cfRule type="containsText" dxfId="600" priority="611" operator="containsText" text=" ">
      <formula>NOT(ISERROR(SEARCH(" ",G39)))</formula>
    </cfRule>
  </conditionalFormatting>
  <conditionalFormatting sqref="T39:U39">
    <cfRule type="containsText" dxfId="599" priority="614" operator="containsText" text=" ">
      <formula>NOT(ISERROR(SEARCH(" ",T39)))</formula>
    </cfRule>
  </conditionalFormatting>
  <conditionalFormatting sqref="V39:W39">
    <cfRule type="containsText" dxfId="598" priority="610" operator="containsText" text=" ">
      <formula>NOT(ISERROR(SEARCH(" ",V39)))</formula>
    </cfRule>
  </conditionalFormatting>
  <conditionalFormatting sqref="AB39">
    <cfRule type="containsText" dxfId="597" priority="613" operator="containsText" text=" ">
      <formula>NOT(ISERROR(SEARCH(" ",AB39)))</formula>
    </cfRule>
  </conditionalFormatting>
  <conditionalFormatting sqref="A40">
    <cfRule type="duplicateValues" dxfId="596" priority="591"/>
  </conditionalFormatting>
  <conditionalFormatting sqref="F40">
    <cfRule type="containsText" dxfId="595" priority="597" operator="containsText" text=" ">
      <formula>NOT(ISERROR(SEARCH(" ",F40)))</formula>
    </cfRule>
  </conditionalFormatting>
  <conditionalFormatting sqref="G40">
    <cfRule type="containsText" dxfId="594" priority="590" operator="containsText" text=" ">
      <formula>NOT(ISERROR(SEARCH(" ",G40)))</formula>
    </cfRule>
  </conditionalFormatting>
  <conditionalFormatting sqref="T40:U40">
    <cfRule type="containsText" dxfId="593" priority="593" operator="containsText" text=" ">
      <formula>NOT(ISERROR(SEARCH(" ",T40)))</formula>
    </cfRule>
  </conditionalFormatting>
  <conditionalFormatting sqref="V40:W40">
    <cfRule type="containsText" dxfId="592" priority="596" operator="containsText" text=" ">
      <formula>NOT(ISERROR(SEARCH(" ",V40)))</formula>
    </cfRule>
  </conditionalFormatting>
  <conditionalFormatting sqref="A41">
    <cfRule type="duplicateValues" dxfId="591" priority="582"/>
  </conditionalFormatting>
  <conditionalFormatting sqref="F41">
    <cfRule type="containsText" dxfId="590" priority="588" operator="containsText" text=" ">
      <formula>NOT(ISERROR(SEARCH(" ",F41)))</formula>
    </cfRule>
  </conditionalFormatting>
  <conditionalFormatting sqref="G41">
    <cfRule type="containsText" dxfId="589" priority="581" operator="containsText" text=" ">
      <formula>NOT(ISERROR(SEARCH(" ",G41)))</formula>
    </cfRule>
  </conditionalFormatting>
  <conditionalFormatting sqref="T41:U41">
    <cfRule type="containsText" dxfId="588" priority="584" operator="containsText" text=" ">
      <formula>NOT(ISERROR(SEARCH(" ",T41)))</formula>
    </cfRule>
  </conditionalFormatting>
  <conditionalFormatting sqref="V41:W41">
    <cfRule type="containsText" dxfId="587" priority="587" operator="containsText" text=" ">
      <formula>NOT(ISERROR(SEARCH(" ",V41)))</formula>
    </cfRule>
  </conditionalFormatting>
  <conditionalFormatting sqref="A42">
    <cfRule type="duplicateValues" dxfId="586" priority="573"/>
  </conditionalFormatting>
  <conditionalFormatting sqref="F42">
    <cfRule type="containsText" dxfId="585" priority="579" operator="containsText" text=" ">
      <formula>NOT(ISERROR(SEARCH(" ",F42)))</formula>
    </cfRule>
  </conditionalFormatting>
  <conditionalFormatting sqref="G42">
    <cfRule type="containsText" dxfId="584" priority="572" operator="containsText" text=" ">
      <formula>NOT(ISERROR(SEARCH(" ",G42)))</formula>
    </cfRule>
  </conditionalFormatting>
  <conditionalFormatting sqref="T42:U42">
    <cfRule type="containsText" dxfId="583" priority="575" operator="containsText" text=" ">
      <formula>NOT(ISERROR(SEARCH(" ",T42)))</formula>
    </cfRule>
  </conditionalFormatting>
  <conditionalFormatting sqref="V42:W42">
    <cfRule type="containsText" dxfId="582" priority="578" operator="containsText" text=" ">
      <formula>NOT(ISERROR(SEARCH(" ",V42)))</formula>
    </cfRule>
  </conditionalFormatting>
  <conditionalFormatting sqref="B43">
    <cfRule type="containsText" dxfId="581" priority="686" operator="containsText" text=" ">
      <formula>NOT(ISERROR(SEARCH(" ",B43)))</formula>
    </cfRule>
  </conditionalFormatting>
  <conditionalFormatting sqref="D43">
    <cfRule type="containsText" dxfId="580" priority="685" operator="containsText" text=" ">
      <formula>NOT(ISERROR(SEARCH(" ",D43)))</formula>
    </cfRule>
  </conditionalFormatting>
  <conditionalFormatting sqref="E43">
    <cfRule type="containsText" dxfId="579" priority="684" operator="containsText" text=" ">
      <formula>NOT(ISERROR(SEARCH(" ",E43)))</formula>
    </cfRule>
  </conditionalFormatting>
  <conditionalFormatting sqref="X43">
    <cfRule type="containsText" dxfId="578" priority="683" operator="containsText" text=" ">
      <formula>NOT(ISERROR(SEARCH(" ",X43)))</formula>
    </cfRule>
  </conditionalFormatting>
  <conditionalFormatting sqref="Y43">
    <cfRule type="containsText" dxfId="577" priority="687" operator="containsText" text=" ">
      <formula>NOT(ISERROR(SEARCH(" ",Y43)))</formula>
    </cfRule>
  </conditionalFormatting>
  <conditionalFormatting sqref="A44">
    <cfRule type="duplicateValues" dxfId="576" priority="561"/>
  </conditionalFormatting>
  <conditionalFormatting sqref="B44">
    <cfRule type="containsText" dxfId="575" priority="565" operator="containsText" text=" ">
      <formula>NOT(ISERROR(SEARCH(" ",B44)))</formula>
    </cfRule>
  </conditionalFormatting>
  <conditionalFormatting sqref="D44">
    <cfRule type="containsText" dxfId="574" priority="564" operator="containsText" text=" ">
      <formula>NOT(ISERROR(SEARCH(" ",D44)))</formula>
    </cfRule>
  </conditionalFormatting>
  <conditionalFormatting sqref="E44">
    <cfRule type="containsText" dxfId="573" priority="563" operator="containsText" text=" ">
      <formula>NOT(ISERROR(SEARCH(" ",E44)))</formula>
    </cfRule>
  </conditionalFormatting>
  <conditionalFormatting sqref="F44">
    <cfRule type="containsText" dxfId="572" priority="570" operator="containsText" text=" ">
      <formula>NOT(ISERROR(SEARCH(" ",F44)))</formula>
    </cfRule>
  </conditionalFormatting>
  <conditionalFormatting sqref="G44">
    <cfRule type="containsText" dxfId="571" priority="560" operator="containsText" text=" ">
      <formula>NOT(ISERROR(SEARCH(" ",G44)))</formula>
    </cfRule>
  </conditionalFormatting>
  <conditionalFormatting sqref="Q44">
    <cfRule type="containsText" dxfId="570" priority="567" operator="containsText" text=" ">
      <formula>NOT(ISERROR(SEARCH(" ",Q44)))</formula>
    </cfRule>
  </conditionalFormatting>
  <conditionalFormatting sqref="T44:U44">
    <cfRule type="containsText" dxfId="569" priority="569" operator="containsText" text=" ">
      <formula>NOT(ISERROR(SEARCH(" ",T44)))</formula>
    </cfRule>
  </conditionalFormatting>
  <conditionalFormatting sqref="X44">
    <cfRule type="containsText" dxfId="568" priority="562" operator="containsText" text=" ">
      <formula>NOT(ISERROR(SEARCH(" ",X44)))</formula>
    </cfRule>
  </conditionalFormatting>
  <conditionalFormatting sqref="Y44">
    <cfRule type="containsText" dxfId="567" priority="566" operator="containsText" text=" ">
      <formula>NOT(ISERROR(SEARCH(" ",Y44)))</formula>
    </cfRule>
  </conditionalFormatting>
  <conditionalFormatting sqref="F49">
    <cfRule type="containsText" dxfId="566" priority="672" operator="containsText" text=" ">
      <formula>NOT(ISERROR(SEARCH(" ",F49)))</formula>
    </cfRule>
  </conditionalFormatting>
  <conditionalFormatting sqref="P49">
    <cfRule type="containsText" dxfId="565" priority="671" operator="containsText" text=" ">
      <formula>NOT(ISERROR(SEARCH(" ",P49)))</formula>
    </cfRule>
  </conditionalFormatting>
  <conditionalFormatting sqref="Q49">
    <cfRule type="containsText" dxfId="564" priority="670" operator="containsText" text=" ">
      <formula>NOT(ISERROR(SEARCH(" ",Q49)))</formula>
    </cfRule>
  </conditionalFormatting>
  <conditionalFormatting sqref="R49">
    <cfRule type="containsText" dxfId="563" priority="669" operator="containsText" text=" ">
      <formula>NOT(ISERROR(SEARCH(" ",R49)))</formula>
    </cfRule>
  </conditionalFormatting>
  <conditionalFormatting sqref="Z49">
    <cfRule type="containsText" dxfId="562" priority="668" operator="containsText" text=" ">
      <formula>NOT(ISERROR(SEARCH(" ",Z49)))</formula>
    </cfRule>
  </conditionalFormatting>
  <conditionalFormatting sqref="AB49">
    <cfRule type="containsText" dxfId="561" priority="667" operator="containsText" text=" ">
      <formula>NOT(ISERROR(SEARCH(" ",AB49)))</formula>
    </cfRule>
  </conditionalFormatting>
  <conditionalFormatting sqref="F50">
    <cfRule type="containsText" dxfId="560" priority="658" operator="containsText" text=" ">
      <formula>NOT(ISERROR(SEARCH(" ",F50)))</formula>
    </cfRule>
  </conditionalFormatting>
  <conditionalFormatting sqref="P50">
    <cfRule type="containsText" dxfId="559" priority="657" operator="containsText" text=" ">
      <formula>NOT(ISERROR(SEARCH(" ",P50)))</formula>
    </cfRule>
  </conditionalFormatting>
  <conditionalFormatting sqref="Q50">
    <cfRule type="containsText" dxfId="558" priority="656" operator="containsText" text=" ">
      <formula>NOT(ISERROR(SEARCH(" ",Q50)))</formula>
    </cfRule>
  </conditionalFormatting>
  <conditionalFormatting sqref="R50">
    <cfRule type="containsText" dxfId="557" priority="655" operator="containsText" text=" ">
      <formula>NOT(ISERROR(SEARCH(" ",R50)))</formula>
    </cfRule>
  </conditionalFormatting>
  <conditionalFormatting sqref="S50">
    <cfRule type="containsText" dxfId="556" priority="662" operator="containsText" text=" ">
      <formula>NOT(ISERROR(SEARCH(" ",S50)))</formula>
    </cfRule>
  </conditionalFormatting>
  <conditionalFormatting sqref="T50:U50">
    <cfRule type="containsText" dxfId="555" priority="663" operator="containsText" text=" ">
      <formula>NOT(ISERROR(SEARCH(" ",T50)))</formula>
    </cfRule>
  </conditionalFormatting>
  <conditionalFormatting sqref="V50:W50">
    <cfRule type="containsText" dxfId="554" priority="661" operator="containsText" text=" ">
      <formula>NOT(ISERROR(SEARCH(" ",V50)))</formula>
    </cfRule>
  </conditionalFormatting>
  <conditionalFormatting sqref="Z50">
    <cfRule type="containsText" dxfId="553" priority="654" operator="containsText" text=" ">
      <formula>NOT(ISERROR(SEARCH(" ",Z50)))</formula>
    </cfRule>
  </conditionalFormatting>
  <conditionalFormatting sqref="AB50">
    <cfRule type="containsText" dxfId="552" priority="653" operator="containsText" text=" ">
      <formula>NOT(ISERROR(SEARCH(" ",AB50)))</formula>
    </cfRule>
  </conditionalFormatting>
  <conditionalFormatting sqref="F51">
    <cfRule type="containsText" dxfId="551" priority="644" operator="containsText" text=" ">
      <formula>NOT(ISERROR(SEARCH(" ",F51)))</formula>
    </cfRule>
  </conditionalFormatting>
  <conditionalFormatting sqref="P51">
    <cfRule type="containsText" dxfId="550" priority="643" operator="containsText" text=" ">
      <formula>NOT(ISERROR(SEARCH(" ",P51)))</formula>
    </cfRule>
  </conditionalFormatting>
  <conditionalFormatting sqref="Q51">
    <cfRule type="containsText" dxfId="549" priority="642" operator="containsText" text=" ">
      <formula>NOT(ISERROR(SEARCH(" ",Q51)))</formula>
    </cfRule>
  </conditionalFormatting>
  <conditionalFormatting sqref="R51">
    <cfRule type="containsText" dxfId="548" priority="641" operator="containsText" text=" ">
      <formula>NOT(ISERROR(SEARCH(" ",R51)))</formula>
    </cfRule>
  </conditionalFormatting>
  <conditionalFormatting sqref="S51">
    <cfRule type="containsText" dxfId="547" priority="648" operator="containsText" text=" ">
      <formula>NOT(ISERROR(SEARCH(" ",S51)))</formula>
    </cfRule>
  </conditionalFormatting>
  <conditionalFormatting sqref="T51:U51">
    <cfRule type="containsText" dxfId="546" priority="649" operator="containsText" text=" ">
      <formula>NOT(ISERROR(SEARCH(" ",T51)))</formula>
    </cfRule>
  </conditionalFormatting>
  <conditionalFormatting sqref="V51:W51">
    <cfRule type="containsText" dxfId="545" priority="647" operator="containsText" text=" ">
      <formula>NOT(ISERROR(SEARCH(" ",V51)))</formula>
    </cfRule>
  </conditionalFormatting>
  <conditionalFormatting sqref="Z51">
    <cfRule type="containsText" dxfId="544" priority="640" operator="containsText" text=" ">
      <formula>NOT(ISERROR(SEARCH(" ",Z51)))</formula>
    </cfRule>
  </conditionalFormatting>
  <conditionalFormatting sqref="AB51">
    <cfRule type="containsText" dxfId="543" priority="639" operator="containsText" text=" ">
      <formula>NOT(ISERROR(SEARCH(" ",AB51)))</formula>
    </cfRule>
  </conditionalFormatting>
  <conditionalFormatting sqref="F52">
    <cfRule type="containsText" dxfId="542" priority="630" operator="containsText" text=" ">
      <formula>NOT(ISERROR(SEARCH(" ",F52)))</formula>
    </cfRule>
  </conditionalFormatting>
  <conditionalFormatting sqref="P52">
    <cfRule type="containsText" dxfId="541" priority="629" operator="containsText" text=" ">
      <formula>NOT(ISERROR(SEARCH(" ",P52)))</formula>
    </cfRule>
  </conditionalFormatting>
  <conditionalFormatting sqref="Q52">
    <cfRule type="containsText" dxfId="540" priority="628" operator="containsText" text=" ">
      <formula>NOT(ISERROR(SEARCH(" ",Q52)))</formula>
    </cfRule>
  </conditionalFormatting>
  <conditionalFormatting sqref="R52">
    <cfRule type="containsText" dxfId="539" priority="627" operator="containsText" text=" ">
      <formula>NOT(ISERROR(SEARCH(" ",R52)))</formula>
    </cfRule>
  </conditionalFormatting>
  <conditionalFormatting sqref="S52">
    <cfRule type="containsText" dxfId="538" priority="634" operator="containsText" text=" ">
      <formula>NOT(ISERROR(SEARCH(" ",S52)))</formula>
    </cfRule>
  </conditionalFormatting>
  <conditionalFormatting sqref="T52:U52">
    <cfRule type="containsText" dxfId="537" priority="635" operator="containsText" text=" ">
      <formula>NOT(ISERROR(SEARCH(" ",T52)))</formula>
    </cfRule>
  </conditionalFormatting>
  <conditionalFormatting sqref="V52:W52">
    <cfRule type="containsText" dxfId="536" priority="633" operator="containsText" text=" ">
      <formula>NOT(ISERROR(SEARCH(" ",V52)))</formula>
    </cfRule>
  </conditionalFormatting>
  <conditionalFormatting sqref="Z52">
    <cfRule type="containsText" dxfId="535" priority="626" operator="containsText" text=" ">
      <formula>NOT(ISERROR(SEARCH(" ",Z52)))</formula>
    </cfRule>
  </conditionalFormatting>
  <conditionalFormatting sqref="AB52">
    <cfRule type="containsText" dxfId="534" priority="625" operator="containsText" text=" ">
      <formula>NOT(ISERROR(SEARCH(" ",AB52)))</formula>
    </cfRule>
  </conditionalFormatting>
  <conditionalFormatting sqref="A53">
    <cfRule type="duplicateValues" dxfId="533" priority="552"/>
  </conditionalFormatting>
  <conditionalFormatting sqref="B53">
    <cfRule type="containsText" dxfId="532" priority="551" operator="containsText" text=" ">
      <formula>NOT(ISERROR(SEARCH(" ",B53)))</formula>
    </cfRule>
  </conditionalFormatting>
  <conditionalFormatting sqref="F53">
    <cfRule type="containsText" dxfId="531" priority="546" operator="containsText" text=" ">
      <formula>NOT(ISERROR(SEARCH(" ",F53)))</formula>
    </cfRule>
  </conditionalFormatting>
  <conditionalFormatting sqref="P53">
    <cfRule type="containsText" dxfId="530" priority="545" operator="containsText" text=" ">
      <formula>NOT(ISERROR(SEARCH(" ",P53)))</formula>
    </cfRule>
  </conditionalFormatting>
  <conditionalFormatting sqref="Q53">
    <cfRule type="containsText" dxfId="529" priority="544" operator="containsText" text=" ">
      <formula>NOT(ISERROR(SEARCH(" ",Q53)))</formula>
    </cfRule>
  </conditionalFormatting>
  <conditionalFormatting sqref="R53">
    <cfRule type="containsText" dxfId="528" priority="543" operator="containsText" text=" ">
      <formula>NOT(ISERROR(SEARCH(" ",R53)))</formula>
    </cfRule>
  </conditionalFormatting>
  <conditionalFormatting sqref="S53">
    <cfRule type="containsText" dxfId="527" priority="548" operator="containsText" text=" ">
      <formula>NOT(ISERROR(SEARCH(" ",S53)))</formula>
    </cfRule>
  </conditionalFormatting>
  <conditionalFormatting sqref="T53:U53">
    <cfRule type="containsText" dxfId="526" priority="549" operator="containsText" text=" ">
      <formula>NOT(ISERROR(SEARCH(" ",T53)))</formula>
    </cfRule>
  </conditionalFormatting>
  <conditionalFormatting sqref="V53:W53">
    <cfRule type="containsText" dxfId="525" priority="547" operator="containsText" text=" ">
      <formula>NOT(ISERROR(SEARCH(" ",V53)))</formula>
    </cfRule>
  </conditionalFormatting>
  <conditionalFormatting sqref="X53">
    <cfRule type="containsText" dxfId="524" priority="539" operator="containsText" text=" ">
      <formula>NOT(ISERROR(SEARCH(" ",X53)))</formula>
    </cfRule>
  </conditionalFormatting>
  <conditionalFormatting sqref="Y53">
    <cfRule type="containsText" dxfId="523" priority="540" operator="containsText" text=" ">
      <formula>NOT(ISERROR(SEARCH(" ",Y53)))</formula>
    </cfRule>
  </conditionalFormatting>
  <conditionalFormatting sqref="Z53">
    <cfRule type="containsText" dxfId="522" priority="542" operator="containsText" text=" ">
      <formula>NOT(ISERROR(SEARCH(" ",Z53)))</formula>
    </cfRule>
  </conditionalFormatting>
  <conditionalFormatting sqref="AB53">
    <cfRule type="containsText" dxfId="521" priority="541" operator="containsText" text=" ">
      <formula>NOT(ISERROR(SEARCH(" ",AB53)))</formula>
    </cfRule>
  </conditionalFormatting>
  <conditionalFormatting sqref="A54">
    <cfRule type="duplicateValues" dxfId="520" priority="214"/>
    <cfRule type="duplicateValues" dxfId="519" priority="228"/>
  </conditionalFormatting>
  <conditionalFormatting sqref="B54">
    <cfRule type="containsText" dxfId="518" priority="227" operator="containsText" text=" ">
      <formula>NOT(ISERROR(SEARCH(" ",B54)))</formula>
    </cfRule>
  </conditionalFormatting>
  <conditionalFormatting sqref="F54">
    <cfRule type="containsText" dxfId="517" priority="222" operator="containsText" text=" ">
      <formula>NOT(ISERROR(SEARCH(" ",F54)))</formula>
    </cfRule>
  </conditionalFormatting>
  <conditionalFormatting sqref="H54:J54">
    <cfRule type="containsText" dxfId="516" priority="231" operator="containsText" text=" ">
      <formula>NOT(ISERROR(SEARCH(" ",H54)))</formula>
    </cfRule>
  </conditionalFormatting>
  <conditionalFormatting sqref="P54">
    <cfRule type="containsText" dxfId="515" priority="221" operator="containsText" text=" ">
      <formula>NOT(ISERROR(SEARCH(" ",P54)))</formula>
    </cfRule>
  </conditionalFormatting>
  <conditionalFormatting sqref="Q54">
    <cfRule type="containsText" dxfId="514" priority="220" operator="containsText" text=" ">
      <formula>NOT(ISERROR(SEARCH(" ",Q54)))</formula>
    </cfRule>
  </conditionalFormatting>
  <conditionalFormatting sqref="R54">
    <cfRule type="containsText" dxfId="513" priority="219" operator="containsText" text=" ">
      <formula>NOT(ISERROR(SEARCH(" ",R54)))</formula>
    </cfRule>
  </conditionalFormatting>
  <conditionalFormatting sqref="S54">
    <cfRule type="containsText" dxfId="512" priority="224" operator="containsText" text=" ">
      <formula>NOT(ISERROR(SEARCH(" ",S54)))</formula>
    </cfRule>
  </conditionalFormatting>
  <conditionalFormatting sqref="T54:U54">
    <cfRule type="containsText" dxfId="511" priority="225" operator="containsText" text=" ">
      <formula>NOT(ISERROR(SEARCH(" ",T54)))</formula>
    </cfRule>
  </conditionalFormatting>
  <conditionalFormatting sqref="V54:W54">
    <cfRule type="containsText" dxfId="510" priority="223" operator="containsText" text=" ">
      <formula>NOT(ISERROR(SEARCH(" ",V54)))</formula>
    </cfRule>
  </conditionalFormatting>
  <conditionalFormatting sqref="X54">
    <cfRule type="containsText" dxfId="509" priority="215" operator="containsText" text=" ">
      <formula>NOT(ISERROR(SEARCH(" ",X54)))</formula>
    </cfRule>
  </conditionalFormatting>
  <conditionalFormatting sqref="Y54">
    <cfRule type="containsText" dxfId="508" priority="216" operator="containsText" text=" ">
      <formula>NOT(ISERROR(SEARCH(" ",Y54)))</formula>
    </cfRule>
  </conditionalFormatting>
  <conditionalFormatting sqref="Z54">
    <cfRule type="containsText" dxfId="507" priority="218" operator="containsText" text=" ">
      <formula>NOT(ISERROR(SEARCH(" ",Z54)))</formula>
    </cfRule>
  </conditionalFormatting>
  <conditionalFormatting sqref="AB54">
    <cfRule type="containsText" dxfId="506" priority="217" operator="containsText" text=" ">
      <formula>NOT(ISERROR(SEARCH(" ",AB54)))</formula>
    </cfRule>
  </conditionalFormatting>
  <conditionalFormatting sqref="A55">
    <cfRule type="duplicateValues" dxfId="505" priority="196"/>
    <cfRule type="duplicateValues" dxfId="504" priority="210"/>
  </conditionalFormatting>
  <conditionalFormatting sqref="B55">
    <cfRule type="containsText" dxfId="503" priority="209" operator="containsText" text=" ">
      <formula>NOT(ISERROR(SEARCH(" ",B55)))</formula>
    </cfRule>
  </conditionalFormatting>
  <conditionalFormatting sqref="D55">
    <cfRule type="containsText" dxfId="502" priority="195" operator="containsText" text=" ">
      <formula>NOT(ISERROR(SEARCH(" ",D55)))</formula>
    </cfRule>
  </conditionalFormatting>
  <conditionalFormatting sqref="F55">
    <cfRule type="containsText" dxfId="501" priority="204" operator="containsText" text=" ">
      <formula>NOT(ISERROR(SEARCH(" ",F55)))</formula>
    </cfRule>
  </conditionalFormatting>
  <conditionalFormatting sqref="H55:J55">
    <cfRule type="containsText" dxfId="500" priority="213" operator="containsText" text=" ">
      <formula>NOT(ISERROR(SEARCH(" ",H55)))</formula>
    </cfRule>
  </conditionalFormatting>
  <conditionalFormatting sqref="P55">
    <cfRule type="containsText" dxfId="499" priority="203" operator="containsText" text=" ">
      <formula>NOT(ISERROR(SEARCH(" ",P55)))</formula>
    </cfRule>
  </conditionalFormatting>
  <conditionalFormatting sqref="Q55">
    <cfRule type="containsText" dxfId="498" priority="202" operator="containsText" text=" ">
      <formula>NOT(ISERROR(SEARCH(" ",Q55)))</formula>
    </cfRule>
  </conditionalFormatting>
  <conditionalFormatting sqref="R55">
    <cfRule type="containsText" dxfId="497" priority="201" operator="containsText" text=" ">
      <formula>NOT(ISERROR(SEARCH(" ",R55)))</formula>
    </cfRule>
  </conditionalFormatting>
  <conditionalFormatting sqref="S55">
    <cfRule type="containsText" dxfId="496" priority="206" operator="containsText" text=" ">
      <formula>NOT(ISERROR(SEARCH(" ",S55)))</formula>
    </cfRule>
  </conditionalFormatting>
  <conditionalFormatting sqref="T55:U55">
    <cfRule type="containsText" dxfId="495" priority="207" operator="containsText" text=" ">
      <formula>NOT(ISERROR(SEARCH(" ",T55)))</formula>
    </cfRule>
  </conditionalFormatting>
  <conditionalFormatting sqref="V55:W55">
    <cfRule type="containsText" dxfId="494" priority="205" operator="containsText" text=" ">
      <formula>NOT(ISERROR(SEARCH(" ",V55)))</formula>
    </cfRule>
  </conditionalFormatting>
  <conditionalFormatting sqref="X55">
    <cfRule type="containsText" dxfId="493" priority="197" operator="containsText" text=" ">
      <formula>NOT(ISERROR(SEARCH(" ",X55)))</formula>
    </cfRule>
  </conditionalFormatting>
  <conditionalFormatting sqref="Y55">
    <cfRule type="containsText" dxfId="492" priority="198" operator="containsText" text=" ">
      <formula>NOT(ISERROR(SEARCH(" ",Y55)))</formula>
    </cfRule>
  </conditionalFormatting>
  <conditionalFormatting sqref="Z55">
    <cfRule type="containsText" dxfId="491" priority="200" operator="containsText" text=" ">
      <formula>NOT(ISERROR(SEARCH(" ",Z55)))</formula>
    </cfRule>
  </conditionalFormatting>
  <conditionalFormatting sqref="AB55">
    <cfRule type="containsText" dxfId="490" priority="199" operator="containsText" text=" ">
      <formula>NOT(ISERROR(SEARCH(" ",AB55)))</formula>
    </cfRule>
  </conditionalFormatting>
  <conditionalFormatting sqref="A56">
    <cfRule type="duplicateValues" dxfId="489" priority="177"/>
    <cfRule type="duplicateValues" dxfId="488" priority="191"/>
  </conditionalFormatting>
  <conditionalFormatting sqref="B56">
    <cfRule type="containsText" dxfId="487" priority="190" operator="containsText" text=" ">
      <formula>NOT(ISERROR(SEARCH(" ",B56)))</formula>
    </cfRule>
  </conditionalFormatting>
  <conditionalFormatting sqref="F56">
    <cfRule type="containsText" dxfId="486" priority="185" operator="containsText" text=" ">
      <formula>NOT(ISERROR(SEARCH(" ",F56)))</formula>
    </cfRule>
  </conditionalFormatting>
  <conditionalFormatting sqref="H56:J56">
    <cfRule type="containsText" dxfId="485" priority="194" operator="containsText" text=" ">
      <formula>NOT(ISERROR(SEARCH(" ",H56)))</formula>
    </cfRule>
  </conditionalFormatting>
  <conditionalFormatting sqref="P56">
    <cfRule type="containsText" dxfId="484" priority="184" operator="containsText" text=" ">
      <formula>NOT(ISERROR(SEARCH(" ",P56)))</formula>
    </cfRule>
  </conditionalFormatting>
  <conditionalFormatting sqref="Q56">
    <cfRule type="containsText" dxfId="483" priority="183" operator="containsText" text=" ">
      <formula>NOT(ISERROR(SEARCH(" ",Q56)))</formula>
    </cfRule>
  </conditionalFormatting>
  <conditionalFormatting sqref="R56">
    <cfRule type="containsText" dxfId="482" priority="182" operator="containsText" text=" ">
      <formula>NOT(ISERROR(SEARCH(" ",R56)))</formula>
    </cfRule>
  </conditionalFormatting>
  <conditionalFormatting sqref="S56">
    <cfRule type="containsText" dxfId="481" priority="187" operator="containsText" text=" ">
      <formula>NOT(ISERROR(SEARCH(" ",S56)))</formula>
    </cfRule>
  </conditionalFormatting>
  <conditionalFormatting sqref="T56:U56">
    <cfRule type="containsText" dxfId="480" priority="188" operator="containsText" text=" ">
      <formula>NOT(ISERROR(SEARCH(" ",T56)))</formula>
    </cfRule>
  </conditionalFormatting>
  <conditionalFormatting sqref="V56:W56">
    <cfRule type="containsText" dxfId="479" priority="186" operator="containsText" text=" ">
      <formula>NOT(ISERROR(SEARCH(" ",V56)))</formula>
    </cfRule>
  </conditionalFormatting>
  <conditionalFormatting sqref="X56">
    <cfRule type="containsText" dxfId="478" priority="178" operator="containsText" text=" ">
      <formula>NOT(ISERROR(SEARCH(" ",X56)))</formula>
    </cfRule>
  </conditionalFormatting>
  <conditionalFormatting sqref="Y56">
    <cfRule type="containsText" dxfId="477" priority="179" operator="containsText" text=" ">
      <formula>NOT(ISERROR(SEARCH(" ",Y56)))</formula>
    </cfRule>
  </conditionalFormatting>
  <conditionalFormatting sqref="Z56">
    <cfRule type="containsText" dxfId="476" priority="181" operator="containsText" text=" ">
      <formula>NOT(ISERROR(SEARCH(" ",Z56)))</formula>
    </cfRule>
  </conditionalFormatting>
  <conditionalFormatting sqref="AB56">
    <cfRule type="containsText" dxfId="475" priority="180" operator="containsText" text=" ">
      <formula>NOT(ISERROR(SEARCH(" ",AB56)))</formula>
    </cfRule>
  </conditionalFormatting>
  <conditionalFormatting sqref="F57">
    <cfRule type="containsText" dxfId="474" priority="489" operator="containsText" text=" ">
      <formula>NOT(ISERROR(SEARCH(" ",F57)))</formula>
    </cfRule>
  </conditionalFormatting>
  <conditionalFormatting sqref="P57">
    <cfRule type="containsText" dxfId="473" priority="488" operator="containsText" text=" ">
      <formula>NOT(ISERROR(SEARCH(" ",P57)))</formula>
    </cfRule>
  </conditionalFormatting>
  <conditionalFormatting sqref="Q57">
    <cfRule type="containsText" dxfId="472" priority="487" operator="containsText" text=" ">
      <formula>NOT(ISERROR(SEARCH(" ",Q57)))</formula>
    </cfRule>
  </conditionalFormatting>
  <conditionalFormatting sqref="R57">
    <cfRule type="containsText" dxfId="471" priority="486" operator="containsText" text=" ">
      <formula>NOT(ISERROR(SEARCH(" ",R57)))</formula>
    </cfRule>
  </conditionalFormatting>
  <conditionalFormatting sqref="S57">
    <cfRule type="containsText" dxfId="470" priority="494" operator="containsText" text=" ">
      <formula>NOT(ISERROR(SEARCH(" ",S57)))</formula>
    </cfRule>
  </conditionalFormatting>
  <conditionalFormatting sqref="T57:U57">
    <cfRule type="containsText" dxfId="469" priority="495" operator="containsText" text=" ">
      <formula>NOT(ISERROR(SEARCH(" ",T57)))</formula>
    </cfRule>
  </conditionalFormatting>
  <conditionalFormatting sqref="V57:W57">
    <cfRule type="containsText" dxfId="468" priority="493" operator="containsText" text=" ">
      <formula>NOT(ISERROR(SEARCH(" ",V57)))</formula>
    </cfRule>
  </conditionalFormatting>
  <conditionalFormatting sqref="X57">
    <cfRule type="containsText" dxfId="467" priority="482" operator="containsText" text=" ">
      <formula>NOT(ISERROR(SEARCH(" ",X57)))</formula>
    </cfRule>
  </conditionalFormatting>
  <conditionalFormatting sqref="Y57">
    <cfRule type="containsText" dxfId="466" priority="483" operator="containsText" text=" ">
      <formula>NOT(ISERROR(SEARCH(" ",Y57)))</formula>
    </cfRule>
  </conditionalFormatting>
  <conditionalFormatting sqref="Z57">
    <cfRule type="containsText" dxfId="465" priority="485" operator="containsText" text=" ">
      <formula>NOT(ISERROR(SEARCH(" ",Z57)))</formula>
    </cfRule>
  </conditionalFormatting>
  <conditionalFormatting sqref="AB57">
    <cfRule type="containsText" dxfId="464" priority="484" operator="containsText" text=" ">
      <formula>NOT(ISERROR(SEARCH(" ",AB57)))</formula>
    </cfRule>
  </conditionalFormatting>
  <conditionalFormatting sqref="F58">
    <cfRule type="containsText" dxfId="463" priority="401" operator="containsText" text=" ">
      <formula>NOT(ISERROR(SEARCH(" ",F58)))</formula>
    </cfRule>
  </conditionalFormatting>
  <conditionalFormatting sqref="K58:N58">
    <cfRule type="containsText" dxfId="462" priority="421" operator="containsText" text=" ">
      <formula>NOT(ISERROR(SEARCH(" ",K58)))</formula>
    </cfRule>
  </conditionalFormatting>
  <conditionalFormatting sqref="P58">
    <cfRule type="containsText" dxfId="461" priority="391" operator="containsText" text=" ">
      <formula>NOT(ISERROR(SEARCH(" ",P58)))</formula>
    </cfRule>
  </conditionalFormatting>
  <conditionalFormatting sqref="Q58">
    <cfRule type="containsText" dxfId="460" priority="381" operator="containsText" text=" ">
      <formula>NOT(ISERROR(SEARCH(" ",Q58)))</formula>
    </cfRule>
  </conditionalFormatting>
  <conditionalFormatting sqref="R58">
    <cfRule type="containsText" dxfId="459" priority="371" operator="containsText" text=" ">
      <formula>NOT(ISERROR(SEARCH(" ",R58)))</formula>
    </cfRule>
  </conditionalFormatting>
  <conditionalFormatting sqref="S58">
    <cfRule type="containsText" dxfId="458" priority="451" operator="containsText" text=" ">
      <formula>NOT(ISERROR(SEARCH(" ",S58)))</formula>
    </cfRule>
  </conditionalFormatting>
  <conditionalFormatting sqref="T58:U58">
    <cfRule type="containsText" dxfId="457" priority="461" operator="containsText" text=" ">
      <formula>NOT(ISERROR(SEARCH(" ",T58)))</formula>
    </cfRule>
  </conditionalFormatting>
  <conditionalFormatting sqref="V58:W58">
    <cfRule type="containsText" dxfId="456" priority="441" operator="containsText" text=" ">
      <formula>NOT(ISERROR(SEARCH(" ",V58)))</formula>
    </cfRule>
  </conditionalFormatting>
  <conditionalFormatting sqref="X58">
    <cfRule type="containsText" dxfId="455" priority="331" operator="containsText" text=" ">
      <formula>NOT(ISERROR(SEARCH(" ",X58)))</formula>
    </cfRule>
  </conditionalFormatting>
  <conditionalFormatting sqref="Y58">
    <cfRule type="containsText" dxfId="454" priority="341" operator="containsText" text=" ">
      <formula>NOT(ISERROR(SEARCH(" ",Y58)))</formula>
    </cfRule>
  </conditionalFormatting>
  <conditionalFormatting sqref="Z58">
    <cfRule type="containsText" dxfId="453" priority="361" operator="containsText" text=" ">
      <formula>NOT(ISERROR(SEARCH(" ",Z58)))</formula>
    </cfRule>
  </conditionalFormatting>
  <conditionalFormatting sqref="AB58">
    <cfRule type="containsText" dxfId="452" priority="351" operator="containsText" text=" ">
      <formula>NOT(ISERROR(SEARCH(" ",AB58)))</formula>
    </cfRule>
  </conditionalFormatting>
  <conditionalFormatting sqref="F59">
    <cfRule type="containsText" dxfId="451" priority="400" operator="containsText" text=" ">
      <formula>NOT(ISERROR(SEARCH(" ",F59)))</formula>
    </cfRule>
  </conditionalFormatting>
  <conditionalFormatting sqref="M59">
    <cfRule type="containsText" dxfId="450" priority="321" operator="containsText" text=" ">
      <formula>NOT(ISERROR(SEARCH(" ",M59)))</formula>
    </cfRule>
  </conditionalFormatting>
  <conditionalFormatting sqref="P59">
    <cfRule type="containsText" dxfId="449" priority="390" operator="containsText" text=" ">
      <formula>NOT(ISERROR(SEARCH(" ",P59)))</formula>
    </cfRule>
  </conditionalFormatting>
  <conditionalFormatting sqref="Q59">
    <cfRule type="containsText" dxfId="448" priority="380" operator="containsText" text=" ">
      <formula>NOT(ISERROR(SEARCH(" ",Q59)))</formula>
    </cfRule>
  </conditionalFormatting>
  <conditionalFormatting sqref="R59">
    <cfRule type="containsText" dxfId="447" priority="370" operator="containsText" text=" ">
      <formula>NOT(ISERROR(SEARCH(" ",R59)))</formula>
    </cfRule>
  </conditionalFormatting>
  <conditionalFormatting sqref="S59">
    <cfRule type="containsText" dxfId="446" priority="450" operator="containsText" text=" ">
      <formula>NOT(ISERROR(SEARCH(" ",S59)))</formula>
    </cfRule>
  </conditionalFormatting>
  <conditionalFormatting sqref="T59:U59">
    <cfRule type="containsText" dxfId="445" priority="460" operator="containsText" text=" ">
      <formula>NOT(ISERROR(SEARCH(" ",T59)))</formula>
    </cfRule>
  </conditionalFormatting>
  <conditionalFormatting sqref="V59:W59">
    <cfRule type="containsText" dxfId="444" priority="440" operator="containsText" text=" ">
      <formula>NOT(ISERROR(SEARCH(" ",V59)))</formula>
    </cfRule>
  </conditionalFormatting>
  <conditionalFormatting sqref="X59">
    <cfRule type="containsText" dxfId="443" priority="330" operator="containsText" text=" ">
      <formula>NOT(ISERROR(SEARCH(" ",X59)))</formula>
    </cfRule>
  </conditionalFormatting>
  <conditionalFormatting sqref="Y59">
    <cfRule type="containsText" dxfId="442" priority="340" operator="containsText" text=" ">
      <formula>NOT(ISERROR(SEARCH(" ",Y59)))</formula>
    </cfRule>
  </conditionalFormatting>
  <conditionalFormatting sqref="Z59">
    <cfRule type="containsText" dxfId="441" priority="360" operator="containsText" text=" ">
      <formula>NOT(ISERROR(SEARCH(" ",Z59)))</formula>
    </cfRule>
  </conditionalFormatting>
  <conditionalFormatting sqref="AB59">
    <cfRule type="containsText" dxfId="440" priority="350" operator="containsText" text=" ">
      <formula>NOT(ISERROR(SEARCH(" ",AB59)))</formula>
    </cfRule>
  </conditionalFormatting>
  <conditionalFormatting sqref="F60">
    <cfRule type="containsText" dxfId="439" priority="399" operator="containsText" text=" ">
      <formula>NOT(ISERROR(SEARCH(" ",F60)))</formula>
    </cfRule>
  </conditionalFormatting>
  <conditionalFormatting sqref="M60">
    <cfRule type="containsText" dxfId="438" priority="320" operator="containsText" text=" ">
      <formula>NOT(ISERROR(SEARCH(" ",M60)))</formula>
    </cfRule>
  </conditionalFormatting>
  <conditionalFormatting sqref="P60">
    <cfRule type="containsText" dxfId="437" priority="389" operator="containsText" text=" ">
      <formula>NOT(ISERROR(SEARCH(" ",P60)))</formula>
    </cfRule>
  </conditionalFormatting>
  <conditionalFormatting sqref="Q60">
    <cfRule type="containsText" dxfId="436" priority="379" operator="containsText" text=" ">
      <formula>NOT(ISERROR(SEARCH(" ",Q60)))</formula>
    </cfRule>
  </conditionalFormatting>
  <conditionalFormatting sqref="R60">
    <cfRule type="containsText" dxfId="435" priority="369" operator="containsText" text=" ">
      <formula>NOT(ISERROR(SEARCH(" ",R60)))</formula>
    </cfRule>
  </conditionalFormatting>
  <conditionalFormatting sqref="S60">
    <cfRule type="containsText" dxfId="434" priority="449" operator="containsText" text=" ">
      <formula>NOT(ISERROR(SEARCH(" ",S60)))</formula>
    </cfRule>
  </conditionalFormatting>
  <conditionalFormatting sqref="T60:U60">
    <cfRule type="containsText" dxfId="433" priority="459" operator="containsText" text=" ">
      <formula>NOT(ISERROR(SEARCH(" ",T60)))</formula>
    </cfRule>
  </conditionalFormatting>
  <conditionalFormatting sqref="V60:W60">
    <cfRule type="containsText" dxfId="432" priority="439" operator="containsText" text=" ">
      <formula>NOT(ISERROR(SEARCH(" ",V60)))</formula>
    </cfRule>
  </conditionalFormatting>
  <conditionalFormatting sqref="X60">
    <cfRule type="containsText" dxfId="431" priority="329" operator="containsText" text=" ">
      <formula>NOT(ISERROR(SEARCH(" ",X60)))</formula>
    </cfRule>
  </conditionalFormatting>
  <conditionalFormatting sqref="Y60">
    <cfRule type="containsText" dxfId="430" priority="339" operator="containsText" text=" ">
      <formula>NOT(ISERROR(SEARCH(" ",Y60)))</formula>
    </cfRule>
  </conditionalFormatting>
  <conditionalFormatting sqref="Z60">
    <cfRule type="containsText" dxfId="429" priority="359" operator="containsText" text=" ">
      <formula>NOT(ISERROR(SEARCH(" ",Z60)))</formula>
    </cfRule>
  </conditionalFormatting>
  <conditionalFormatting sqref="AB60">
    <cfRule type="containsText" dxfId="428" priority="349" operator="containsText" text=" ">
      <formula>NOT(ISERROR(SEARCH(" ",AB60)))</formula>
    </cfRule>
  </conditionalFormatting>
  <conditionalFormatting sqref="F61">
    <cfRule type="containsText" dxfId="427" priority="398" operator="containsText" text=" ">
      <formula>NOT(ISERROR(SEARCH(" ",F61)))</formula>
    </cfRule>
  </conditionalFormatting>
  <conditionalFormatting sqref="M61">
    <cfRule type="containsText" dxfId="426" priority="319" operator="containsText" text=" ">
      <formula>NOT(ISERROR(SEARCH(" ",M61)))</formula>
    </cfRule>
  </conditionalFormatting>
  <conditionalFormatting sqref="P61">
    <cfRule type="containsText" dxfId="425" priority="388" operator="containsText" text=" ">
      <formula>NOT(ISERROR(SEARCH(" ",P61)))</formula>
    </cfRule>
  </conditionalFormatting>
  <conditionalFormatting sqref="Q61">
    <cfRule type="containsText" dxfId="424" priority="378" operator="containsText" text=" ">
      <formula>NOT(ISERROR(SEARCH(" ",Q61)))</formula>
    </cfRule>
  </conditionalFormatting>
  <conditionalFormatting sqref="R61">
    <cfRule type="containsText" dxfId="423" priority="368" operator="containsText" text=" ">
      <formula>NOT(ISERROR(SEARCH(" ",R61)))</formula>
    </cfRule>
  </conditionalFormatting>
  <conditionalFormatting sqref="S61">
    <cfRule type="containsText" dxfId="422" priority="448" operator="containsText" text=" ">
      <formula>NOT(ISERROR(SEARCH(" ",S61)))</formula>
    </cfRule>
  </conditionalFormatting>
  <conditionalFormatting sqref="T61:U61">
    <cfRule type="containsText" dxfId="421" priority="458" operator="containsText" text=" ">
      <formula>NOT(ISERROR(SEARCH(" ",T61)))</formula>
    </cfRule>
  </conditionalFormatting>
  <conditionalFormatting sqref="V61:W61">
    <cfRule type="containsText" dxfId="420" priority="438" operator="containsText" text=" ">
      <formula>NOT(ISERROR(SEARCH(" ",V61)))</formula>
    </cfRule>
  </conditionalFormatting>
  <conditionalFormatting sqref="X61">
    <cfRule type="containsText" dxfId="419" priority="328" operator="containsText" text=" ">
      <formula>NOT(ISERROR(SEARCH(" ",X61)))</formula>
    </cfRule>
  </conditionalFormatting>
  <conditionalFormatting sqref="Y61">
    <cfRule type="containsText" dxfId="418" priority="338" operator="containsText" text=" ">
      <formula>NOT(ISERROR(SEARCH(" ",Y61)))</formula>
    </cfRule>
  </conditionalFormatting>
  <conditionalFormatting sqref="Z61">
    <cfRule type="containsText" dxfId="417" priority="358" operator="containsText" text=" ">
      <formula>NOT(ISERROR(SEARCH(" ",Z61)))</formula>
    </cfRule>
  </conditionalFormatting>
  <conditionalFormatting sqref="AB61">
    <cfRule type="containsText" dxfId="416" priority="348" operator="containsText" text=" ">
      <formula>NOT(ISERROR(SEARCH(" ",AB61)))</formula>
    </cfRule>
  </conditionalFormatting>
  <conditionalFormatting sqref="F62">
    <cfRule type="containsText" dxfId="415" priority="397" operator="containsText" text=" ">
      <formula>NOT(ISERROR(SEARCH(" ",F62)))</formula>
    </cfRule>
  </conditionalFormatting>
  <conditionalFormatting sqref="M62">
    <cfRule type="containsText" dxfId="414" priority="318" operator="containsText" text=" ">
      <formula>NOT(ISERROR(SEARCH(" ",M62)))</formula>
    </cfRule>
  </conditionalFormatting>
  <conditionalFormatting sqref="P62">
    <cfRule type="containsText" dxfId="413" priority="387" operator="containsText" text=" ">
      <formula>NOT(ISERROR(SEARCH(" ",P62)))</formula>
    </cfRule>
  </conditionalFormatting>
  <conditionalFormatting sqref="Q62">
    <cfRule type="containsText" dxfId="412" priority="377" operator="containsText" text=" ">
      <formula>NOT(ISERROR(SEARCH(" ",Q62)))</formula>
    </cfRule>
  </conditionalFormatting>
  <conditionalFormatting sqref="R62">
    <cfRule type="containsText" dxfId="411" priority="367" operator="containsText" text=" ">
      <formula>NOT(ISERROR(SEARCH(" ",R62)))</formula>
    </cfRule>
  </conditionalFormatting>
  <conditionalFormatting sqref="S62">
    <cfRule type="containsText" dxfId="410" priority="447" operator="containsText" text=" ">
      <formula>NOT(ISERROR(SEARCH(" ",S62)))</formula>
    </cfRule>
  </conditionalFormatting>
  <conditionalFormatting sqref="T62:U62">
    <cfRule type="containsText" dxfId="409" priority="457" operator="containsText" text=" ">
      <formula>NOT(ISERROR(SEARCH(" ",T62)))</formula>
    </cfRule>
  </conditionalFormatting>
  <conditionalFormatting sqref="V62:W62">
    <cfRule type="containsText" dxfId="408" priority="437" operator="containsText" text=" ">
      <formula>NOT(ISERROR(SEARCH(" ",V62)))</formula>
    </cfRule>
  </conditionalFormatting>
  <conditionalFormatting sqref="X62">
    <cfRule type="containsText" dxfId="407" priority="327" operator="containsText" text=" ">
      <formula>NOT(ISERROR(SEARCH(" ",X62)))</formula>
    </cfRule>
  </conditionalFormatting>
  <conditionalFormatting sqref="Y62">
    <cfRule type="containsText" dxfId="406" priority="337" operator="containsText" text=" ">
      <formula>NOT(ISERROR(SEARCH(" ",Y62)))</formula>
    </cfRule>
  </conditionalFormatting>
  <conditionalFormatting sqref="Z62">
    <cfRule type="containsText" dxfId="405" priority="357" operator="containsText" text=" ">
      <formula>NOT(ISERROR(SEARCH(" ",Z62)))</formula>
    </cfRule>
  </conditionalFormatting>
  <conditionalFormatting sqref="AB62">
    <cfRule type="containsText" dxfId="404" priority="347" operator="containsText" text=" ">
      <formula>NOT(ISERROR(SEARCH(" ",AB62)))</formula>
    </cfRule>
  </conditionalFormatting>
  <conditionalFormatting sqref="F63">
    <cfRule type="containsText" dxfId="403" priority="396" operator="containsText" text=" ">
      <formula>NOT(ISERROR(SEARCH(" ",F63)))</formula>
    </cfRule>
  </conditionalFormatting>
  <conditionalFormatting sqref="M63">
    <cfRule type="containsText" dxfId="402" priority="317" operator="containsText" text=" ">
      <formula>NOT(ISERROR(SEARCH(" ",M63)))</formula>
    </cfRule>
  </conditionalFormatting>
  <conditionalFormatting sqref="P63">
    <cfRule type="containsText" dxfId="401" priority="386" operator="containsText" text=" ">
      <formula>NOT(ISERROR(SEARCH(" ",P63)))</formula>
    </cfRule>
  </conditionalFormatting>
  <conditionalFormatting sqref="Q63">
    <cfRule type="containsText" dxfId="400" priority="376" operator="containsText" text=" ">
      <formula>NOT(ISERROR(SEARCH(" ",Q63)))</formula>
    </cfRule>
  </conditionalFormatting>
  <conditionalFormatting sqref="R63">
    <cfRule type="containsText" dxfId="399" priority="366" operator="containsText" text=" ">
      <formula>NOT(ISERROR(SEARCH(" ",R63)))</formula>
    </cfRule>
  </conditionalFormatting>
  <conditionalFormatting sqref="S63">
    <cfRule type="containsText" dxfId="398" priority="446" operator="containsText" text=" ">
      <formula>NOT(ISERROR(SEARCH(" ",S63)))</formula>
    </cfRule>
  </conditionalFormatting>
  <conditionalFormatting sqref="T63:U63">
    <cfRule type="containsText" dxfId="397" priority="456" operator="containsText" text=" ">
      <formula>NOT(ISERROR(SEARCH(" ",T63)))</formula>
    </cfRule>
  </conditionalFormatting>
  <conditionalFormatting sqref="V63:W63">
    <cfRule type="containsText" dxfId="396" priority="436" operator="containsText" text=" ">
      <formula>NOT(ISERROR(SEARCH(" ",V63)))</formula>
    </cfRule>
  </conditionalFormatting>
  <conditionalFormatting sqref="X63">
    <cfRule type="containsText" dxfId="395" priority="326" operator="containsText" text=" ">
      <formula>NOT(ISERROR(SEARCH(" ",X63)))</formula>
    </cfRule>
  </conditionalFormatting>
  <conditionalFormatting sqref="Y63">
    <cfRule type="containsText" dxfId="394" priority="336" operator="containsText" text=" ">
      <formula>NOT(ISERROR(SEARCH(" ",Y63)))</formula>
    </cfRule>
  </conditionalFormatting>
  <conditionalFormatting sqref="Z63">
    <cfRule type="containsText" dxfId="393" priority="356" operator="containsText" text=" ">
      <formula>NOT(ISERROR(SEARCH(" ",Z63)))</formula>
    </cfRule>
  </conditionalFormatting>
  <conditionalFormatting sqref="AB63">
    <cfRule type="containsText" dxfId="392" priority="346" operator="containsText" text=" ">
      <formula>NOT(ISERROR(SEARCH(" ",AB63)))</formula>
    </cfRule>
  </conditionalFormatting>
  <conditionalFormatting sqref="F64">
    <cfRule type="containsText" dxfId="391" priority="395" operator="containsText" text=" ">
      <formula>NOT(ISERROR(SEARCH(" ",F64)))</formula>
    </cfRule>
  </conditionalFormatting>
  <conditionalFormatting sqref="M64">
    <cfRule type="containsText" dxfId="390" priority="316" operator="containsText" text=" ">
      <formula>NOT(ISERROR(SEARCH(" ",M64)))</formula>
    </cfRule>
  </conditionalFormatting>
  <conditionalFormatting sqref="P64">
    <cfRule type="containsText" dxfId="389" priority="385" operator="containsText" text=" ">
      <formula>NOT(ISERROR(SEARCH(" ",P64)))</formula>
    </cfRule>
  </conditionalFormatting>
  <conditionalFormatting sqref="Q64">
    <cfRule type="containsText" dxfId="388" priority="375" operator="containsText" text=" ">
      <formula>NOT(ISERROR(SEARCH(" ",Q64)))</formula>
    </cfRule>
  </conditionalFormatting>
  <conditionalFormatting sqref="R64">
    <cfRule type="containsText" dxfId="387" priority="365" operator="containsText" text=" ">
      <formula>NOT(ISERROR(SEARCH(" ",R64)))</formula>
    </cfRule>
  </conditionalFormatting>
  <conditionalFormatting sqref="S64">
    <cfRule type="containsText" dxfId="386" priority="445" operator="containsText" text=" ">
      <formula>NOT(ISERROR(SEARCH(" ",S64)))</formula>
    </cfRule>
  </conditionalFormatting>
  <conditionalFormatting sqref="T64:U64">
    <cfRule type="containsText" dxfId="385" priority="455" operator="containsText" text=" ">
      <formula>NOT(ISERROR(SEARCH(" ",T64)))</formula>
    </cfRule>
  </conditionalFormatting>
  <conditionalFormatting sqref="V64:W64">
    <cfRule type="containsText" dxfId="384" priority="435" operator="containsText" text=" ">
      <formula>NOT(ISERROR(SEARCH(" ",V64)))</formula>
    </cfRule>
  </conditionalFormatting>
  <conditionalFormatting sqref="X64">
    <cfRule type="containsText" dxfId="383" priority="325" operator="containsText" text=" ">
      <formula>NOT(ISERROR(SEARCH(" ",X64)))</formula>
    </cfRule>
  </conditionalFormatting>
  <conditionalFormatting sqref="Y64">
    <cfRule type="containsText" dxfId="382" priority="335" operator="containsText" text=" ">
      <formula>NOT(ISERROR(SEARCH(" ",Y64)))</formula>
    </cfRule>
  </conditionalFormatting>
  <conditionalFormatting sqref="Z64">
    <cfRule type="containsText" dxfId="381" priority="355" operator="containsText" text=" ">
      <formula>NOT(ISERROR(SEARCH(" ",Z64)))</formula>
    </cfRule>
  </conditionalFormatting>
  <conditionalFormatting sqref="AB64">
    <cfRule type="containsText" dxfId="380" priority="345" operator="containsText" text=" ">
      <formula>NOT(ISERROR(SEARCH(" ",AB64)))</formula>
    </cfRule>
  </conditionalFormatting>
  <conditionalFormatting sqref="F65">
    <cfRule type="containsText" dxfId="379" priority="394" operator="containsText" text=" ">
      <formula>NOT(ISERROR(SEARCH(" ",F65)))</formula>
    </cfRule>
  </conditionalFormatting>
  <conditionalFormatting sqref="M65">
    <cfRule type="containsText" dxfId="378" priority="315" operator="containsText" text=" ">
      <formula>NOT(ISERROR(SEARCH(" ",M65)))</formula>
    </cfRule>
  </conditionalFormatting>
  <conditionalFormatting sqref="P65">
    <cfRule type="containsText" dxfId="377" priority="384" operator="containsText" text=" ">
      <formula>NOT(ISERROR(SEARCH(" ",P65)))</formula>
    </cfRule>
  </conditionalFormatting>
  <conditionalFormatting sqref="Q65">
    <cfRule type="containsText" dxfId="376" priority="374" operator="containsText" text=" ">
      <formula>NOT(ISERROR(SEARCH(" ",Q65)))</formula>
    </cfRule>
  </conditionalFormatting>
  <conditionalFormatting sqref="R65">
    <cfRule type="containsText" dxfId="375" priority="364" operator="containsText" text=" ">
      <formula>NOT(ISERROR(SEARCH(" ",R65)))</formula>
    </cfRule>
  </conditionalFormatting>
  <conditionalFormatting sqref="S65">
    <cfRule type="containsText" dxfId="374" priority="444" operator="containsText" text=" ">
      <formula>NOT(ISERROR(SEARCH(" ",S65)))</formula>
    </cfRule>
  </conditionalFormatting>
  <conditionalFormatting sqref="T65:U65">
    <cfRule type="containsText" dxfId="373" priority="454" operator="containsText" text=" ">
      <formula>NOT(ISERROR(SEARCH(" ",T65)))</formula>
    </cfRule>
  </conditionalFormatting>
  <conditionalFormatting sqref="V65:W65">
    <cfRule type="containsText" dxfId="372" priority="434" operator="containsText" text=" ">
      <formula>NOT(ISERROR(SEARCH(" ",V65)))</formula>
    </cfRule>
  </conditionalFormatting>
  <conditionalFormatting sqref="X65">
    <cfRule type="containsText" dxfId="371" priority="324" operator="containsText" text=" ">
      <formula>NOT(ISERROR(SEARCH(" ",X65)))</formula>
    </cfRule>
  </conditionalFormatting>
  <conditionalFormatting sqref="Y65">
    <cfRule type="containsText" dxfId="370" priority="334" operator="containsText" text=" ">
      <formula>NOT(ISERROR(SEARCH(" ",Y65)))</formula>
    </cfRule>
  </conditionalFormatting>
  <conditionalFormatting sqref="Z65">
    <cfRule type="containsText" dxfId="369" priority="354" operator="containsText" text=" ">
      <formula>NOT(ISERROR(SEARCH(" ",Z65)))</formula>
    </cfRule>
  </conditionalFormatting>
  <conditionalFormatting sqref="AB65">
    <cfRule type="containsText" dxfId="368" priority="344" operator="containsText" text=" ">
      <formula>NOT(ISERROR(SEARCH(" ",AB65)))</formula>
    </cfRule>
  </conditionalFormatting>
  <conditionalFormatting sqref="E66">
    <cfRule type="containsText" dxfId="367" priority="312" operator="containsText" text=" ">
      <formula>NOT(ISERROR(SEARCH(" ",E66)))</formula>
    </cfRule>
  </conditionalFormatting>
  <conditionalFormatting sqref="F66">
    <cfRule type="containsText" dxfId="366" priority="393" operator="containsText" text=" ">
      <formula>NOT(ISERROR(SEARCH(" ",F66)))</formula>
    </cfRule>
  </conditionalFormatting>
  <conditionalFormatting sqref="M66">
    <cfRule type="containsText" dxfId="365" priority="314" operator="containsText" text=" ">
      <formula>NOT(ISERROR(SEARCH(" ",M66)))</formula>
    </cfRule>
  </conditionalFormatting>
  <conditionalFormatting sqref="P66">
    <cfRule type="containsText" dxfId="364" priority="383" operator="containsText" text=" ">
      <formula>NOT(ISERROR(SEARCH(" ",P66)))</formula>
    </cfRule>
  </conditionalFormatting>
  <conditionalFormatting sqref="Q66">
    <cfRule type="containsText" dxfId="363" priority="373" operator="containsText" text=" ">
      <formula>NOT(ISERROR(SEARCH(" ",Q66)))</formula>
    </cfRule>
  </conditionalFormatting>
  <conditionalFormatting sqref="R66">
    <cfRule type="containsText" dxfId="362" priority="363" operator="containsText" text=" ">
      <formula>NOT(ISERROR(SEARCH(" ",R66)))</formula>
    </cfRule>
  </conditionalFormatting>
  <conditionalFormatting sqref="S66">
    <cfRule type="containsText" dxfId="361" priority="443" operator="containsText" text=" ">
      <formula>NOT(ISERROR(SEARCH(" ",S66)))</formula>
    </cfRule>
  </conditionalFormatting>
  <conditionalFormatting sqref="T66:U66">
    <cfRule type="containsText" dxfId="360" priority="453" operator="containsText" text=" ">
      <formula>NOT(ISERROR(SEARCH(" ",T66)))</formula>
    </cfRule>
  </conditionalFormatting>
  <conditionalFormatting sqref="V66:W66">
    <cfRule type="containsText" dxfId="359" priority="433" operator="containsText" text=" ">
      <formula>NOT(ISERROR(SEARCH(" ",V66)))</formula>
    </cfRule>
  </conditionalFormatting>
  <conditionalFormatting sqref="X66">
    <cfRule type="containsText" dxfId="358" priority="323" operator="containsText" text=" ">
      <formula>NOT(ISERROR(SEARCH(" ",X66)))</formula>
    </cfRule>
  </conditionalFormatting>
  <conditionalFormatting sqref="Y66">
    <cfRule type="containsText" dxfId="357" priority="333" operator="containsText" text=" ">
      <formula>NOT(ISERROR(SEARCH(" ",Y66)))</formula>
    </cfRule>
  </conditionalFormatting>
  <conditionalFormatting sqref="Z66">
    <cfRule type="containsText" dxfId="356" priority="353" operator="containsText" text=" ">
      <formula>NOT(ISERROR(SEARCH(" ",Z66)))</formula>
    </cfRule>
  </conditionalFormatting>
  <conditionalFormatting sqref="AB66">
    <cfRule type="containsText" dxfId="355" priority="343" operator="containsText" text=" ">
      <formula>NOT(ISERROR(SEARCH(" ",AB66)))</formula>
    </cfRule>
  </conditionalFormatting>
  <conditionalFormatting sqref="E67">
    <cfRule type="containsText" dxfId="354" priority="311" operator="containsText" text=" ">
      <formula>NOT(ISERROR(SEARCH(" ",E67)))</formula>
    </cfRule>
  </conditionalFormatting>
  <conditionalFormatting sqref="F67">
    <cfRule type="containsText" dxfId="353" priority="392" operator="containsText" text=" ">
      <formula>NOT(ISERROR(SEARCH(" ",F67)))</formula>
    </cfRule>
  </conditionalFormatting>
  <conditionalFormatting sqref="M67">
    <cfRule type="containsText" dxfId="352" priority="313" operator="containsText" text=" ">
      <formula>NOT(ISERROR(SEARCH(" ",M67)))</formula>
    </cfRule>
  </conditionalFormatting>
  <conditionalFormatting sqref="P67">
    <cfRule type="containsText" dxfId="351" priority="382" operator="containsText" text=" ">
      <formula>NOT(ISERROR(SEARCH(" ",P67)))</formula>
    </cfRule>
  </conditionalFormatting>
  <conditionalFormatting sqref="Q67">
    <cfRule type="containsText" dxfId="350" priority="372" operator="containsText" text=" ">
      <formula>NOT(ISERROR(SEARCH(" ",Q67)))</formula>
    </cfRule>
  </conditionalFormatting>
  <conditionalFormatting sqref="R67">
    <cfRule type="containsText" dxfId="349" priority="362" operator="containsText" text=" ">
      <formula>NOT(ISERROR(SEARCH(" ",R67)))</formula>
    </cfRule>
  </conditionalFormatting>
  <conditionalFormatting sqref="S67">
    <cfRule type="containsText" dxfId="348" priority="442" operator="containsText" text=" ">
      <formula>NOT(ISERROR(SEARCH(" ",S67)))</formula>
    </cfRule>
  </conditionalFormatting>
  <conditionalFormatting sqref="T67:U67">
    <cfRule type="containsText" dxfId="347" priority="452" operator="containsText" text=" ">
      <formula>NOT(ISERROR(SEARCH(" ",T67)))</formula>
    </cfRule>
  </conditionalFormatting>
  <conditionalFormatting sqref="V67:W67">
    <cfRule type="containsText" dxfId="346" priority="432" operator="containsText" text=" ">
      <formula>NOT(ISERROR(SEARCH(" ",V67)))</formula>
    </cfRule>
  </conditionalFormatting>
  <conditionalFormatting sqref="X67">
    <cfRule type="containsText" dxfId="345" priority="322" operator="containsText" text=" ">
      <formula>NOT(ISERROR(SEARCH(" ",X67)))</formula>
    </cfRule>
  </conditionalFormatting>
  <conditionalFormatting sqref="Y67">
    <cfRule type="containsText" dxfId="344" priority="332" operator="containsText" text=" ">
      <formula>NOT(ISERROR(SEARCH(" ",Y67)))</formula>
    </cfRule>
  </conditionalFormatting>
  <conditionalFormatting sqref="Z67">
    <cfRule type="containsText" dxfId="343" priority="352" operator="containsText" text=" ">
      <formula>NOT(ISERROR(SEARCH(" ",Z67)))</formula>
    </cfRule>
  </conditionalFormatting>
  <conditionalFormatting sqref="AB67">
    <cfRule type="containsText" dxfId="342" priority="342" operator="containsText" text=" ">
      <formula>NOT(ISERROR(SEARCH(" ",AB67)))</formula>
    </cfRule>
  </conditionalFormatting>
  <conditionalFormatting sqref="A68">
    <cfRule type="duplicateValues" dxfId="341" priority="259"/>
  </conditionalFormatting>
  <conditionalFormatting sqref="B68">
    <cfRule type="containsText" dxfId="340" priority="258" operator="containsText" text=" ">
      <formula>NOT(ISERROR(SEARCH(" ",B68)))</formula>
    </cfRule>
  </conditionalFormatting>
  <conditionalFormatting sqref="F68">
    <cfRule type="containsText" dxfId="339" priority="264" operator="containsText" text=" ">
      <formula>NOT(ISERROR(SEARCH(" ",F68)))</formula>
    </cfRule>
  </conditionalFormatting>
  <conditionalFormatting sqref="G68">
    <cfRule type="containsText" dxfId="338" priority="257" operator="containsText" text=" ">
      <formula>NOT(ISERROR(SEARCH(" ",G68)))</formula>
    </cfRule>
  </conditionalFormatting>
  <conditionalFormatting sqref="K68:L68">
    <cfRule type="containsText" dxfId="337" priority="256" operator="containsText" text=" ">
      <formula>NOT(ISERROR(SEARCH(" ",K68)))</formula>
    </cfRule>
  </conditionalFormatting>
  <conditionalFormatting sqref="Q68">
    <cfRule type="containsText" dxfId="336" priority="261" operator="containsText" text=" ">
      <formula>NOT(ISERROR(SEARCH(" ",Q68)))</formula>
    </cfRule>
  </conditionalFormatting>
  <conditionalFormatting sqref="T68:U68">
    <cfRule type="containsText" dxfId="335" priority="263" operator="containsText" text=" ">
      <formula>NOT(ISERROR(SEARCH(" ",T68)))</formula>
    </cfRule>
  </conditionalFormatting>
  <conditionalFormatting sqref="AA68">
    <cfRule type="containsText" dxfId="334" priority="266" operator="containsText" text=" ">
      <formula>NOT(ISERROR(SEARCH(" ",AA68)))</formula>
    </cfRule>
  </conditionalFormatting>
  <conditionalFormatting sqref="B69">
    <cfRule type="containsText" dxfId="333" priority="302" operator="containsText" text=" ">
      <formula>NOT(ISERROR(SEARCH(" ",B69)))</formula>
    </cfRule>
  </conditionalFormatting>
  <conditionalFormatting sqref="F69">
    <cfRule type="containsText" dxfId="332" priority="308" operator="containsText" text=" ">
      <formula>NOT(ISERROR(SEARCH(" ",F69)))</formula>
    </cfRule>
  </conditionalFormatting>
  <conditionalFormatting sqref="G69">
    <cfRule type="containsText" dxfId="331" priority="301" operator="containsText" text=" ">
      <formula>NOT(ISERROR(SEARCH(" ",G69)))</formula>
    </cfRule>
  </conditionalFormatting>
  <conditionalFormatting sqref="K69:L69">
    <cfRule type="containsText" dxfId="330" priority="300" operator="containsText" text=" ">
      <formula>NOT(ISERROR(SEARCH(" ",K69)))</formula>
    </cfRule>
  </conditionalFormatting>
  <conditionalFormatting sqref="Q69">
    <cfRule type="containsText" dxfId="329" priority="305" operator="containsText" text=" ">
      <formula>NOT(ISERROR(SEARCH(" ",Q69)))</formula>
    </cfRule>
  </conditionalFormatting>
  <conditionalFormatting sqref="T69:U69">
    <cfRule type="containsText" dxfId="328" priority="307" operator="containsText" text=" ">
      <formula>NOT(ISERROR(SEARCH(" ",T69)))</formula>
    </cfRule>
  </conditionalFormatting>
  <conditionalFormatting sqref="AA69">
    <cfRule type="containsText" dxfId="327" priority="310" operator="containsText" text=" ">
      <formula>NOT(ISERROR(SEARCH(" ",AA69)))</formula>
    </cfRule>
  </conditionalFormatting>
  <conditionalFormatting sqref="B70">
    <cfRule type="containsText" dxfId="326" priority="291" operator="containsText" text=" ">
      <formula>NOT(ISERROR(SEARCH(" ",B70)))</formula>
    </cfRule>
  </conditionalFormatting>
  <conditionalFormatting sqref="F70">
    <cfRule type="containsText" dxfId="325" priority="297" operator="containsText" text=" ">
      <formula>NOT(ISERROR(SEARCH(" ",F70)))</formula>
    </cfRule>
  </conditionalFormatting>
  <conditionalFormatting sqref="G70">
    <cfRule type="containsText" dxfId="324" priority="290" operator="containsText" text=" ">
      <formula>NOT(ISERROR(SEARCH(" ",G70)))</formula>
    </cfRule>
  </conditionalFormatting>
  <conditionalFormatting sqref="K70:L70">
    <cfRule type="containsText" dxfId="323" priority="289" operator="containsText" text=" ">
      <formula>NOT(ISERROR(SEARCH(" ",K70)))</formula>
    </cfRule>
  </conditionalFormatting>
  <conditionalFormatting sqref="Q70">
    <cfRule type="containsText" dxfId="322" priority="294" operator="containsText" text=" ">
      <formula>NOT(ISERROR(SEARCH(" ",Q70)))</formula>
    </cfRule>
  </conditionalFormatting>
  <conditionalFormatting sqref="T70:U70">
    <cfRule type="containsText" dxfId="321" priority="296" operator="containsText" text=" ">
      <formula>NOT(ISERROR(SEARCH(" ",T70)))</formula>
    </cfRule>
  </conditionalFormatting>
  <conditionalFormatting sqref="AA70">
    <cfRule type="containsText" dxfId="320" priority="299" operator="containsText" text=" ">
      <formula>NOT(ISERROR(SEARCH(" ",AA70)))</formula>
    </cfRule>
  </conditionalFormatting>
  <conditionalFormatting sqref="B71">
    <cfRule type="containsText" dxfId="319" priority="280" operator="containsText" text=" ">
      <formula>NOT(ISERROR(SEARCH(" ",B71)))</formula>
    </cfRule>
  </conditionalFormatting>
  <conditionalFormatting sqref="F71">
    <cfRule type="containsText" dxfId="318" priority="286" operator="containsText" text=" ">
      <formula>NOT(ISERROR(SEARCH(" ",F71)))</formula>
    </cfRule>
  </conditionalFormatting>
  <conditionalFormatting sqref="G71">
    <cfRule type="containsText" dxfId="317" priority="279" operator="containsText" text=" ">
      <formula>NOT(ISERROR(SEARCH(" ",G71)))</formula>
    </cfRule>
  </conditionalFormatting>
  <conditionalFormatting sqref="K71:L71">
    <cfRule type="containsText" dxfId="316" priority="278" operator="containsText" text=" ">
      <formula>NOT(ISERROR(SEARCH(" ",K71)))</formula>
    </cfRule>
  </conditionalFormatting>
  <conditionalFormatting sqref="Q71">
    <cfRule type="containsText" dxfId="315" priority="283" operator="containsText" text=" ">
      <formula>NOT(ISERROR(SEARCH(" ",Q71)))</formula>
    </cfRule>
  </conditionalFormatting>
  <conditionalFormatting sqref="T71:U71">
    <cfRule type="containsText" dxfId="314" priority="285" operator="containsText" text=" ">
      <formula>NOT(ISERROR(SEARCH(" ",T71)))</formula>
    </cfRule>
  </conditionalFormatting>
  <conditionalFormatting sqref="AA71">
    <cfRule type="containsText" dxfId="313" priority="288" operator="containsText" text=" ">
      <formula>NOT(ISERROR(SEARCH(" ",AA71)))</formula>
    </cfRule>
  </conditionalFormatting>
  <conditionalFormatting sqref="B72">
    <cfRule type="containsText" dxfId="312" priority="269" operator="containsText" text=" ">
      <formula>NOT(ISERROR(SEARCH(" ",B72)))</formula>
    </cfRule>
  </conditionalFormatting>
  <conditionalFormatting sqref="F72">
    <cfRule type="containsText" dxfId="311" priority="275" operator="containsText" text=" ">
      <formula>NOT(ISERROR(SEARCH(" ",F72)))</formula>
    </cfRule>
  </conditionalFormatting>
  <conditionalFormatting sqref="G72">
    <cfRule type="containsText" dxfId="310" priority="268" operator="containsText" text=" ">
      <formula>NOT(ISERROR(SEARCH(" ",G72)))</formula>
    </cfRule>
  </conditionalFormatting>
  <conditionalFormatting sqref="K72:L72">
    <cfRule type="containsText" dxfId="309" priority="267" operator="containsText" text=" ">
      <formula>NOT(ISERROR(SEARCH(" ",K72)))</formula>
    </cfRule>
  </conditionalFormatting>
  <conditionalFormatting sqref="Q72">
    <cfRule type="containsText" dxfId="308" priority="272" operator="containsText" text=" ">
      <formula>NOT(ISERROR(SEARCH(" ",Q72)))</formula>
    </cfRule>
  </conditionalFormatting>
  <conditionalFormatting sqref="T72:U72">
    <cfRule type="containsText" dxfId="307" priority="274" operator="containsText" text=" ">
      <formula>NOT(ISERROR(SEARCH(" ",T72)))</formula>
    </cfRule>
  </conditionalFormatting>
  <conditionalFormatting sqref="AA72">
    <cfRule type="containsText" dxfId="306" priority="277" operator="containsText" text=" ">
      <formula>NOT(ISERROR(SEARCH(" ",AA72)))</formula>
    </cfRule>
  </conditionalFormatting>
  <conditionalFormatting sqref="F73">
    <cfRule type="containsText" dxfId="305" priority="159" operator="containsText" text=" ">
      <formula>NOT(ISERROR(SEARCH(" ",F73)))</formula>
    </cfRule>
  </conditionalFormatting>
  <conditionalFormatting sqref="P73">
    <cfRule type="containsText" dxfId="304" priority="158" operator="containsText" text=" ">
      <formula>NOT(ISERROR(SEARCH(" ",P73)))</formula>
    </cfRule>
  </conditionalFormatting>
  <conditionalFormatting sqref="Q73">
    <cfRule type="containsText" dxfId="303" priority="157" operator="containsText" text=" ">
      <formula>NOT(ISERROR(SEARCH(" ",Q73)))</formula>
    </cfRule>
  </conditionalFormatting>
  <conditionalFormatting sqref="R73">
    <cfRule type="containsText" dxfId="302" priority="156" operator="containsText" text=" ">
      <formula>NOT(ISERROR(SEARCH(" ",R73)))</formula>
    </cfRule>
  </conditionalFormatting>
  <conditionalFormatting sqref="S73">
    <cfRule type="containsText" dxfId="301" priority="164" operator="containsText" text=" ">
      <formula>NOT(ISERROR(SEARCH(" ",S73)))</formula>
    </cfRule>
  </conditionalFormatting>
  <conditionalFormatting sqref="T73:U73">
    <cfRule type="containsText" dxfId="300" priority="165" operator="containsText" text=" ">
      <formula>NOT(ISERROR(SEARCH(" ",T73)))</formula>
    </cfRule>
  </conditionalFormatting>
  <conditionalFormatting sqref="V73:W73">
    <cfRule type="containsText" dxfId="299" priority="163" operator="containsText" text=" ">
      <formula>NOT(ISERROR(SEARCH(" ",V73)))</formula>
    </cfRule>
  </conditionalFormatting>
  <conditionalFormatting sqref="X73">
    <cfRule type="containsText" dxfId="298" priority="152" operator="containsText" text=" ">
      <formula>NOT(ISERROR(SEARCH(" ",X73)))</formula>
    </cfRule>
  </conditionalFormatting>
  <conditionalFormatting sqref="Y73">
    <cfRule type="containsText" dxfId="297" priority="153" operator="containsText" text=" ">
      <formula>NOT(ISERROR(SEARCH(" ",Y73)))</formula>
    </cfRule>
  </conditionalFormatting>
  <conditionalFormatting sqref="Z73">
    <cfRule type="containsText" dxfId="296" priority="155" operator="containsText" text=" ">
      <formula>NOT(ISERROR(SEARCH(" ",Z73)))</formula>
    </cfRule>
  </conditionalFormatting>
  <conditionalFormatting sqref="AB73">
    <cfRule type="containsText" dxfId="295" priority="154" operator="containsText" text=" ">
      <formula>NOT(ISERROR(SEARCH(" ",AB73)))</formula>
    </cfRule>
  </conditionalFormatting>
  <conditionalFormatting sqref="F74">
    <cfRule type="containsText" dxfId="294" priority="91" operator="containsText" text=" ">
      <formula>NOT(ISERROR(SEARCH(" ",F74)))</formula>
    </cfRule>
  </conditionalFormatting>
  <conditionalFormatting sqref="P74">
    <cfRule type="containsText" dxfId="293" priority="81" operator="containsText" text=" ">
      <formula>NOT(ISERROR(SEARCH(" ",P74)))</formula>
    </cfRule>
  </conditionalFormatting>
  <conditionalFormatting sqref="Q74">
    <cfRule type="containsText" dxfId="292" priority="71" operator="containsText" text=" ">
      <formula>NOT(ISERROR(SEARCH(" ",Q74)))</formula>
    </cfRule>
  </conditionalFormatting>
  <conditionalFormatting sqref="R74">
    <cfRule type="containsText" dxfId="291" priority="61" operator="containsText" text=" ">
      <formula>NOT(ISERROR(SEARCH(" ",R74)))</formula>
    </cfRule>
  </conditionalFormatting>
  <conditionalFormatting sqref="S74">
    <cfRule type="containsText" dxfId="290" priority="121" operator="containsText" text=" ">
      <formula>NOT(ISERROR(SEARCH(" ",S74)))</formula>
    </cfRule>
  </conditionalFormatting>
  <conditionalFormatting sqref="T74:U74">
    <cfRule type="containsText" dxfId="289" priority="131" operator="containsText" text=" ">
      <formula>NOT(ISERROR(SEARCH(" ",T74)))</formula>
    </cfRule>
  </conditionalFormatting>
  <conditionalFormatting sqref="V74:W74">
    <cfRule type="containsText" dxfId="288" priority="111" operator="containsText" text=" ">
      <formula>NOT(ISERROR(SEARCH(" ",V74)))</formula>
    </cfRule>
  </conditionalFormatting>
  <conditionalFormatting sqref="X74">
    <cfRule type="containsText" dxfId="287" priority="21" operator="containsText" text=" ">
      <formula>NOT(ISERROR(SEARCH(" ",X74)))</formula>
    </cfRule>
  </conditionalFormatting>
  <conditionalFormatting sqref="Y74">
    <cfRule type="containsText" dxfId="286" priority="31" operator="containsText" text=" ">
      <formula>NOT(ISERROR(SEARCH(" ",Y74)))</formula>
    </cfRule>
  </conditionalFormatting>
  <conditionalFormatting sqref="Z74">
    <cfRule type="containsText" dxfId="285" priority="51" operator="containsText" text=" ">
      <formula>NOT(ISERROR(SEARCH(" ",Z74)))</formula>
    </cfRule>
  </conditionalFormatting>
  <conditionalFormatting sqref="AB74">
    <cfRule type="containsText" dxfId="284" priority="41" operator="containsText" text=" ">
      <formula>NOT(ISERROR(SEARCH(" ",AB74)))</formula>
    </cfRule>
  </conditionalFormatting>
  <conditionalFormatting sqref="F75">
    <cfRule type="containsText" dxfId="283" priority="90" operator="containsText" text=" ">
      <formula>NOT(ISERROR(SEARCH(" ",F75)))</formula>
    </cfRule>
  </conditionalFormatting>
  <conditionalFormatting sqref="P75">
    <cfRule type="containsText" dxfId="282" priority="80" operator="containsText" text=" ">
      <formula>NOT(ISERROR(SEARCH(" ",P75)))</formula>
    </cfRule>
  </conditionalFormatting>
  <conditionalFormatting sqref="Q75">
    <cfRule type="containsText" dxfId="281" priority="70" operator="containsText" text=" ">
      <formula>NOT(ISERROR(SEARCH(" ",Q75)))</formula>
    </cfRule>
  </conditionalFormatting>
  <conditionalFormatting sqref="R75">
    <cfRule type="containsText" dxfId="280" priority="60" operator="containsText" text=" ">
      <formula>NOT(ISERROR(SEARCH(" ",R75)))</formula>
    </cfRule>
  </conditionalFormatting>
  <conditionalFormatting sqref="S75">
    <cfRule type="containsText" dxfId="279" priority="120" operator="containsText" text=" ">
      <formula>NOT(ISERROR(SEARCH(" ",S75)))</formula>
    </cfRule>
  </conditionalFormatting>
  <conditionalFormatting sqref="T75:U75">
    <cfRule type="containsText" dxfId="278" priority="130" operator="containsText" text=" ">
      <formula>NOT(ISERROR(SEARCH(" ",T75)))</formula>
    </cfRule>
  </conditionalFormatting>
  <conditionalFormatting sqref="V75:W75">
    <cfRule type="containsText" dxfId="277" priority="110" operator="containsText" text=" ">
      <formula>NOT(ISERROR(SEARCH(" ",V75)))</formula>
    </cfRule>
  </conditionalFormatting>
  <conditionalFormatting sqref="X75">
    <cfRule type="containsText" dxfId="276" priority="20" operator="containsText" text=" ">
      <formula>NOT(ISERROR(SEARCH(" ",X75)))</formula>
    </cfRule>
  </conditionalFormatting>
  <conditionalFormatting sqref="Y75">
    <cfRule type="containsText" dxfId="275" priority="30" operator="containsText" text=" ">
      <formula>NOT(ISERROR(SEARCH(" ",Y75)))</formula>
    </cfRule>
  </conditionalFormatting>
  <conditionalFormatting sqref="Z75">
    <cfRule type="containsText" dxfId="274" priority="50" operator="containsText" text=" ">
      <formula>NOT(ISERROR(SEARCH(" ",Z75)))</formula>
    </cfRule>
  </conditionalFormatting>
  <conditionalFormatting sqref="AB75">
    <cfRule type="containsText" dxfId="273" priority="40" operator="containsText" text=" ">
      <formula>NOT(ISERROR(SEARCH(" ",AB75)))</formula>
    </cfRule>
  </conditionalFormatting>
  <conditionalFormatting sqref="F76">
    <cfRule type="containsText" dxfId="272" priority="89" operator="containsText" text=" ">
      <formula>NOT(ISERROR(SEARCH(" ",F76)))</formula>
    </cfRule>
  </conditionalFormatting>
  <conditionalFormatting sqref="P76">
    <cfRule type="containsText" dxfId="271" priority="79" operator="containsText" text=" ">
      <formula>NOT(ISERROR(SEARCH(" ",P76)))</formula>
    </cfRule>
  </conditionalFormatting>
  <conditionalFormatting sqref="Q76">
    <cfRule type="containsText" dxfId="270" priority="69" operator="containsText" text=" ">
      <formula>NOT(ISERROR(SEARCH(" ",Q76)))</formula>
    </cfRule>
  </conditionalFormatting>
  <conditionalFormatting sqref="R76">
    <cfRule type="containsText" dxfId="269" priority="59" operator="containsText" text=" ">
      <formula>NOT(ISERROR(SEARCH(" ",R76)))</formula>
    </cfRule>
  </conditionalFormatting>
  <conditionalFormatting sqref="S76">
    <cfRule type="containsText" dxfId="268" priority="119" operator="containsText" text=" ">
      <formula>NOT(ISERROR(SEARCH(" ",S76)))</formula>
    </cfRule>
  </conditionalFormatting>
  <conditionalFormatting sqref="T76:U76">
    <cfRule type="containsText" dxfId="267" priority="129" operator="containsText" text=" ">
      <formula>NOT(ISERROR(SEARCH(" ",T76)))</formula>
    </cfRule>
  </conditionalFormatting>
  <conditionalFormatting sqref="V76:W76">
    <cfRule type="containsText" dxfId="266" priority="109" operator="containsText" text=" ">
      <formula>NOT(ISERROR(SEARCH(" ",V76)))</formula>
    </cfRule>
  </conditionalFormatting>
  <conditionalFormatting sqref="X76">
    <cfRule type="containsText" dxfId="265" priority="19" operator="containsText" text=" ">
      <formula>NOT(ISERROR(SEARCH(" ",X76)))</formula>
    </cfRule>
  </conditionalFormatting>
  <conditionalFormatting sqref="Y76">
    <cfRule type="containsText" dxfId="264" priority="29" operator="containsText" text=" ">
      <formula>NOT(ISERROR(SEARCH(" ",Y76)))</formula>
    </cfRule>
  </conditionalFormatting>
  <conditionalFormatting sqref="Z76">
    <cfRule type="containsText" dxfId="263" priority="49" operator="containsText" text=" ">
      <formula>NOT(ISERROR(SEARCH(" ",Z76)))</formula>
    </cfRule>
  </conditionalFormatting>
  <conditionalFormatting sqref="AB76">
    <cfRule type="containsText" dxfId="262" priority="39" operator="containsText" text=" ">
      <formula>NOT(ISERROR(SEARCH(" ",AB76)))</formula>
    </cfRule>
  </conditionalFormatting>
  <conditionalFormatting sqref="F77">
    <cfRule type="containsText" dxfId="261" priority="88" operator="containsText" text=" ">
      <formula>NOT(ISERROR(SEARCH(" ",F77)))</formula>
    </cfRule>
  </conditionalFormatting>
  <conditionalFormatting sqref="P77">
    <cfRule type="containsText" dxfId="260" priority="78" operator="containsText" text=" ">
      <formula>NOT(ISERROR(SEARCH(" ",P77)))</formula>
    </cfRule>
  </conditionalFormatting>
  <conditionalFormatting sqref="Q77">
    <cfRule type="containsText" dxfId="259" priority="68" operator="containsText" text=" ">
      <formula>NOT(ISERROR(SEARCH(" ",Q77)))</formula>
    </cfRule>
  </conditionalFormatting>
  <conditionalFormatting sqref="R77">
    <cfRule type="containsText" dxfId="258" priority="58" operator="containsText" text=" ">
      <formula>NOT(ISERROR(SEARCH(" ",R77)))</formula>
    </cfRule>
  </conditionalFormatting>
  <conditionalFormatting sqref="S77">
    <cfRule type="containsText" dxfId="257" priority="118" operator="containsText" text=" ">
      <formula>NOT(ISERROR(SEARCH(" ",S77)))</formula>
    </cfRule>
  </conditionalFormatting>
  <conditionalFormatting sqref="T77:U77">
    <cfRule type="containsText" dxfId="256" priority="128" operator="containsText" text=" ">
      <formula>NOT(ISERROR(SEARCH(" ",T77)))</formula>
    </cfRule>
  </conditionalFormatting>
  <conditionalFormatting sqref="V77:W77">
    <cfRule type="containsText" dxfId="255" priority="108" operator="containsText" text=" ">
      <formula>NOT(ISERROR(SEARCH(" ",V77)))</formula>
    </cfRule>
  </conditionalFormatting>
  <conditionalFormatting sqref="X77">
    <cfRule type="containsText" dxfId="254" priority="18" operator="containsText" text=" ">
      <formula>NOT(ISERROR(SEARCH(" ",X77)))</formula>
    </cfRule>
  </conditionalFormatting>
  <conditionalFormatting sqref="Y77">
    <cfRule type="containsText" dxfId="253" priority="28" operator="containsText" text=" ">
      <formula>NOT(ISERROR(SEARCH(" ",Y77)))</formula>
    </cfRule>
  </conditionalFormatting>
  <conditionalFormatting sqref="Z77">
    <cfRule type="containsText" dxfId="252" priority="48" operator="containsText" text=" ">
      <formula>NOT(ISERROR(SEARCH(" ",Z77)))</formula>
    </cfRule>
  </conditionalFormatting>
  <conditionalFormatting sqref="AB77">
    <cfRule type="containsText" dxfId="251" priority="38" operator="containsText" text=" ">
      <formula>NOT(ISERROR(SEARCH(" ",AB77)))</formula>
    </cfRule>
  </conditionalFormatting>
  <conditionalFormatting sqref="F78">
    <cfRule type="containsText" dxfId="250" priority="87" operator="containsText" text=" ">
      <formula>NOT(ISERROR(SEARCH(" ",F78)))</formula>
    </cfRule>
  </conditionalFormatting>
  <conditionalFormatting sqref="P78">
    <cfRule type="containsText" dxfId="249" priority="77" operator="containsText" text=" ">
      <formula>NOT(ISERROR(SEARCH(" ",P78)))</formula>
    </cfRule>
  </conditionalFormatting>
  <conditionalFormatting sqref="Q78">
    <cfRule type="containsText" dxfId="248" priority="67" operator="containsText" text=" ">
      <formula>NOT(ISERROR(SEARCH(" ",Q78)))</formula>
    </cfRule>
  </conditionalFormatting>
  <conditionalFormatting sqref="R78">
    <cfRule type="containsText" dxfId="247" priority="57" operator="containsText" text=" ">
      <formula>NOT(ISERROR(SEARCH(" ",R78)))</formula>
    </cfRule>
  </conditionalFormatting>
  <conditionalFormatting sqref="S78">
    <cfRule type="containsText" dxfId="246" priority="117" operator="containsText" text=" ">
      <formula>NOT(ISERROR(SEARCH(" ",S78)))</formula>
    </cfRule>
  </conditionalFormatting>
  <conditionalFormatting sqref="T78:U78">
    <cfRule type="containsText" dxfId="245" priority="127" operator="containsText" text=" ">
      <formula>NOT(ISERROR(SEARCH(" ",T78)))</formula>
    </cfRule>
  </conditionalFormatting>
  <conditionalFormatting sqref="V78:W78">
    <cfRule type="containsText" dxfId="244" priority="107" operator="containsText" text=" ">
      <formula>NOT(ISERROR(SEARCH(" ",V78)))</formula>
    </cfRule>
  </conditionalFormatting>
  <conditionalFormatting sqref="X78">
    <cfRule type="containsText" dxfId="243" priority="17" operator="containsText" text=" ">
      <formula>NOT(ISERROR(SEARCH(" ",X78)))</formula>
    </cfRule>
  </conditionalFormatting>
  <conditionalFormatting sqref="Y78">
    <cfRule type="containsText" dxfId="242" priority="27" operator="containsText" text=" ">
      <formula>NOT(ISERROR(SEARCH(" ",Y78)))</formula>
    </cfRule>
  </conditionalFormatting>
  <conditionalFormatting sqref="Z78">
    <cfRule type="containsText" dxfId="241" priority="47" operator="containsText" text=" ">
      <formula>NOT(ISERROR(SEARCH(" ",Z78)))</formula>
    </cfRule>
  </conditionalFormatting>
  <conditionalFormatting sqref="AB78">
    <cfRule type="containsText" dxfId="240" priority="37" operator="containsText" text=" ">
      <formula>NOT(ISERROR(SEARCH(" ",AB78)))</formula>
    </cfRule>
  </conditionalFormatting>
  <conditionalFormatting sqref="F79">
    <cfRule type="containsText" dxfId="239" priority="86" operator="containsText" text=" ">
      <formula>NOT(ISERROR(SEARCH(" ",F79)))</formula>
    </cfRule>
  </conditionalFormatting>
  <conditionalFormatting sqref="P79">
    <cfRule type="containsText" dxfId="238" priority="76" operator="containsText" text=" ">
      <formula>NOT(ISERROR(SEARCH(" ",P79)))</formula>
    </cfRule>
  </conditionalFormatting>
  <conditionalFormatting sqref="Q79">
    <cfRule type="containsText" dxfId="237" priority="66" operator="containsText" text=" ">
      <formula>NOT(ISERROR(SEARCH(" ",Q79)))</formula>
    </cfRule>
  </conditionalFormatting>
  <conditionalFormatting sqref="R79">
    <cfRule type="containsText" dxfId="236" priority="56" operator="containsText" text=" ">
      <formula>NOT(ISERROR(SEARCH(" ",R79)))</formula>
    </cfRule>
  </conditionalFormatting>
  <conditionalFormatting sqref="S79">
    <cfRule type="containsText" dxfId="235" priority="116" operator="containsText" text=" ">
      <formula>NOT(ISERROR(SEARCH(" ",S79)))</formula>
    </cfRule>
  </conditionalFormatting>
  <conditionalFormatting sqref="T79:U79">
    <cfRule type="containsText" dxfId="234" priority="126" operator="containsText" text=" ">
      <formula>NOT(ISERROR(SEARCH(" ",T79)))</formula>
    </cfRule>
  </conditionalFormatting>
  <conditionalFormatting sqref="V79:W79">
    <cfRule type="containsText" dxfId="233" priority="106" operator="containsText" text=" ">
      <formula>NOT(ISERROR(SEARCH(" ",V79)))</formula>
    </cfRule>
  </conditionalFormatting>
  <conditionalFormatting sqref="X79">
    <cfRule type="containsText" dxfId="232" priority="16" operator="containsText" text=" ">
      <formula>NOT(ISERROR(SEARCH(" ",X79)))</formula>
    </cfRule>
  </conditionalFormatting>
  <conditionalFormatting sqref="Y79">
    <cfRule type="containsText" dxfId="231" priority="26" operator="containsText" text=" ">
      <formula>NOT(ISERROR(SEARCH(" ",Y79)))</formula>
    </cfRule>
  </conditionalFormatting>
  <conditionalFormatting sqref="Z79">
    <cfRule type="containsText" dxfId="230" priority="46" operator="containsText" text=" ">
      <formula>NOT(ISERROR(SEARCH(" ",Z79)))</formula>
    </cfRule>
  </conditionalFormatting>
  <conditionalFormatting sqref="AB79">
    <cfRule type="containsText" dxfId="229" priority="36" operator="containsText" text=" ">
      <formula>NOT(ISERROR(SEARCH(" ",AB79)))</formula>
    </cfRule>
  </conditionalFormatting>
  <conditionalFormatting sqref="F80">
    <cfRule type="containsText" dxfId="228" priority="85" operator="containsText" text=" ">
      <formula>NOT(ISERROR(SEARCH(" ",F80)))</formula>
    </cfRule>
  </conditionalFormatting>
  <conditionalFormatting sqref="P80">
    <cfRule type="containsText" dxfId="227" priority="75" operator="containsText" text=" ">
      <formula>NOT(ISERROR(SEARCH(" ",P80)))</formula>
    </cfRule>
  </conditionalFormatting>
  <conditionalFormatting sqref="Q80">
    <cfRule type="containsText" dxfId="226" priority="65" operator="containsText" text=" ">
      <formula>NOT(ISERROR(SEARCH(" ",Q80)))</formula>
    </cfRule>
  </conditionalFormatting>
  <conditionalFormatting sqref="R80">
    <cfRule type="containsText" dxfId="225" priority="55" operator="containsText" text=" ">
      <formula>NOT(ISERROR(SEARCH(" ",R80)))</formula>
    </cfRule>
  </conditionalFormatting>
  <conditionalFormatting sqref="S80">
    <cfRule type="containsText" dxfId="224" priority="115" operator="containsText" text=" ">
      <formula>NOT(ISERROR(SEARCH(" ",S80)))</formula>
    </cfRule>
  </conditionalFormatting>
  <conditionalFormatting sqref="T80:U80">
    <cfRule type="containsText" dxfId="223" priority="125" operator="containsText" text=" ">
      <formula>NOT(ISERROR(SEARCH(" ",T80)))</formula>
    </cfRule>
  </conditionalFormatting>
  <conditionalFormatting sqref="V80:W80">
    <cfRule type="containsText" dxfId="222" priority="105" operator="containsText" text=" ">
      <formula>NOT(ISERROR(SEARCH(" ",V80)))</formula>
    </cfRule>
  </conditionalFormatting>
  <conditionalFormatting sqref="X80">
    <cfRule type="containsText" dxfId="221" priority="15" operator="containsText" text=" ">
      <formula>NOT(ISERROR(SEARCH(" ",X80)))</formula>
    </cfRule>
  </conditionalFormatting>
  <conditionalFormatting sqref="Y80">
    <cfRule type="containsText" dxfId="220" priority="25" operator="containsText" text=" ">
      <formula>NOT(ISERROR(SEARCH(" ",Y80)))</formula>
    </cfRule>
  </conditionalFormatting>
  <conditionalFormatting sqref="Z80">
    <cfRule type="containsText" dxfId="219" priority="45" operator="containsText" text=" ">
      <formula>NOT(ISERROR(SEARCH(" ",Z80)))</formula>
    </cfRule>
  </conditionalFormatting>
  <conditionalFormatting sqref="AB80">
    <cfRule type="containsText" dxfId="218" priority="35" operator="containsText" text=" ">
      <formula>NOT(ISERROR(SEARCH(" ",AB80)))</formula>
    </cfRule>
  </conditionalFormatting>
  <conditionalFormatting sqref="F81">
    <cfRule type="containsText" dxfId="217" priority="84" operator="containsText" text=" ">
      <formula>NOT(ISERROR(SEARCH(" ",F81)))</formula>
    </cfRule>
  </conditionalFormatting>
  <conditionalFormatting sqref="P81">
    <cfRule type="containsText" dxfId="216" priority="74" operator="containsText" text=" ">
      <formula>NOT(ISERROR(SEARCH(" ",P81)))</formula>
    </cfRule>
  </conditionalFormatting>
  <conditionalFormatting sqref="Q81">
    <cfRule type="containsText" dxfId="215" priority="64" operator="containsText" text=" ">
      <formula>NOT(ISERROR(SEARCH(" ",Q81)))</formula>
    </cfRule>
  </conditionalFormatting>
  <conditionalFormatting sqref="R81">
    <cfRule type="containsText" dxfId="214" priority="54" operator="containsText" text=" ">
      <formula>NOT(ISERROR(SEARCH(" ",R81)))</formula>
    </cfRule>
  </conditionalFormatting>
  <conditionalFormatting sqref="S81">
    <cfRule type="containsText" dxfId="213" priority="114" operator="containsText" text=" ">
      <formula>NOT(ISERROR(SEARCH(" ",S81)))</formula>
    </cfRule>
  </conditionalFormatting>
  <conditionalFormatting sqref="T81:U81">
    <cfRule type="containsText" dxfId="212" priority="124" operator="containsText" text=" ">
      <formula>NOT(ISERROR(SEARCH(" ",T81)))</formula>
    </cfRule>
  </conditionalFormatting>
  <conditionalFormatting sqref="V81:W81">
    <cfRule type="containsText" dxfId="211" priority="104" operator="containsText" text=" ">
      <formula>NOT(ISERROR(SEARCH(" ",V81)))</formula>
    </cfRule>
  </conditionalFormatting>
  <conditionalFormatting sqref="X81">
    <cfRule type="containsText" dxfId="210" priority="14" operator="containsText" text=" ">
      <formula>NOT(ISERROR(SEARCH(" ",X81)))</formula>
    </cfRule>
  </conditionalFormatting>
  <conditionalFormatting sqref="Y81">
    <cfRule type="containsText" dxfId="209" priority="24" operator="containsText" text=" ">
      <formula>NOT(ISERROR(SEARCH(" ",Y81)))</formula>
    </cfRule>
  </conditionalFormatting>
  <conditionalFormatting sqref="Z81">
    <cfRule type="containsText" dxfId="208" priority="44" operator="containsText" text=" ">
      <formula>NOT(ISERROR(SEARCH(" ",Z81)))</formula>
    </cfRule>
  </conditionalFormatting>
  <conditionalFormatting sqref="AB81">
    <cfRule type="containsText" dxfId="207" priority="34" operator="containsText" text=" ">
      <formula>NOT(ISERROR(SEARCH(" ",AB81)))</formula>
    </cfRule>
  </conditionalFormatting>
  <conditionalFormatting sqref="E82">
    <cfRule type="containsText" dxfId="206" priority="2" operator="containsText" text=" ">
      <formula>NOT(ISERROR(SEARCH(" ",E82)))</formula>
    </cfRule>
  </conditionalFormatting>
  <conditionalFormatting sqref="F82">
    <cfRule type="containsText" dxfId="205" priority="83" operator="containsText" text=" ">
      <formula>NOT(ISERROR(SEARCH(" ",F82)))</formula>
    </cfRule>
  </conditionalFormatting>
  <conditionalFormatting sqref="P82">
    <cfRule type="containsText" dxfId="204" priority="73" operator="containsText" text=" ">
      <formula>NOT(ISERROR(SEARCH(" ",P82)))</formula>
    </cfRule>
  </conditionalFormatting>
  <conditionalFormatting sqref="Q82">
    <cfRule type="containsText" dxfId="203" priority="63" operator="containsText" text=" ">
      <formula>NOT(ISERROR(SEARCH(" ",Q82)))</formula>
    </cfRule>
  </conditionalFormatting>
  <conditionalFormatting sqref="R82">
    <cfRule type="containsText" dxfId="202" priority="53" operator="containsText" text=" ">
      <formula>NOT(ISERROR(SEARCH(" ",R82)))</formula>
    </cfRule>
  </conditionalFormatting>
  <conditionalFormatting sqref="S82">
    <cfRule type="containsText" dxfId="201" priority="113" operator="containsText" text=" ">
      <formula>NOT(ISERROR(SEARCH(" ",S82)))</formula>
    </cfRule>
  </conditionalFormatting>
  <conditionalFormatting sqref="T82:U82">
    <cfRule type="containsText" dxfId="200" priority="123" operator="containsText" text=" ">
      <formula>NOT(ISERROR(SEARCH(" ",T82)))</formula>
    </cfRule>
  </conditionalFormatting>
  <conditionalFormatting sqref="V82:W82">
    <cfRule type="containsText" dxfId="199" priority="103" operator="containsText" text=" ">
      <formula>NOT(ISERROR(SEARCH(" ",V82)))</formula>
    </cfRule>
  </conditionalFormatting>
  <conditionalFormatting sqref="X82">
    <cfRule type="containsText" dxfId="198" priority="13" operator="containsText" text=" ">
      <formula>NOT(ISERROR(SEARCH(" ",X82)))</formula>
    </cfRule>
  </conditionalFormatting>
  <conditionalFormatting sqref="Y82">
    <cfRule type="containsText" dxfId="197" priority="23" operator="containsText" text=" ">
      <formula>NOT(ISERROR(SEARCH(" ",Y82)))</formula>
    </cfRule>
  </conditionalFormatting>
  <conditionalFormatting sqref="Z82">
    <cfRule type="containsText" dxfId="196" priority="43" operator="containsText" text=" ">
      <formula>NOT(ISERROR(SEARCH(" ",Z82)))</formula>
    </cfRule>
  </conditionalFormatting>
  <conditionalFormatting sqref="AB82">
    <cfRule type="containsText" dxfId="195" priority="33" operator="containsText" text=" ">
      <formula>NOT(ISERROR(SEARCH(" ",AB82)))</formula>
    </cfRule>
  </conditionalFormatting>
  <conditionalFormatting sqref="E83">
    <cfRule type="containsText" dxfId="194" priority="1" operator="containsText" text=" ">
      <formula>NOT(ISERROR(SEARCH(" ",E83)))</formula>
    </cfRule>
  </conditionalFormatting>
  <conditionalFormatting sqref="F83">
    <cfRule type="containsText" dxfId="193" priority="82" operator="containsText" text=" ">
      <formula>NOT(ISERROR(SEARCH(" ",F83)))</formula>
    </cfRule>
  </conditionalFormatting>
  <conditionalFormatting sqref="P83">
    <cfRule type="containsText" dxfId="192" priority="72" operator="containsText" text=" ">
      <formula>NOT(ISERROR(SEARCH(" ",P83)))</formula>
    </cfRule>
  </conditionalFormatting>
  <conditionalFormatting sqref="Q83">
    <cfRule type="containsText" dxfId="191" priority="62" operator="containsText" text=" ">
      <formula>NOT(ISERROR(SEARCH(" ",Q83)))</formula>
    </cfRule>
  </conditionalFormatting>
  <conditionalFormatting sqref="R83">
    <cfRule type="containsText" dxfId="190" priority="52" operator="containsText" text=" ">
      <formula>NOT(ISERROR(SEARCH(" ",R83)))</formula>
    </cfRule>
  </conditionalFormatting>
  <conditionalFormatting sqref="S83">
    <cfRule type="containsText" dxfId="189" priority="112" operator="containsText" text=" ">
      <formula>NOT(ISERROR(SEARCH(" ",S83)))</formula>
    </cfRule>
  </conditionalFormatting>
  <conditionalFormatting sqref="T83:U83">
    <cfRule type="containsText" dxfId="188" priority="122" operator="containsText" text=" ">
      <formula>NOT(ISERROR(SEARCH(" ",T83)))</formula>
    </cfRule>
  </conditionalFormatting>
  <conditionalFormatting sqref="V83:W83">
    <cfRule type="containsText" dxfId="187" priority="102" operator="containsText" text=" ">
      <formula>NOT(ISERROR(SEARCH(" ",V83)))</formula>
    </cfRule>
  </conditionalFormatting>
  <conditionalFormatting sqref="X83">
    <cfRule type="containsText" dxfId="186" priority="12" operator="containsText" text=" ">
      <formula>NOT(ISERROR(SEARCH(" ",X83)))</formula>
    </cfRule>
  </conditionalFormatting>
  <conditionalFormatting sqref="Y83">
    <cfRule type="containsText" dxfId="185" priority="22" operator="containsText" text=" ">
      <formula>NOT(ISERROR(SEARCH(" ",Y83)))</formula>
    </cfRule>
  </conditionalFormatting>
  <conditionalFormatting sqref="Z83">
    <cfRule type="containsText" dxfId="184" priority="42" operator="containsText" text=" ">
      <formula>NOT(ISERROR(SEARCH(" ",Z83)))</formula>
    </cfRule>
  </conditionalFormatting>
  <conditionalFormatting sqref="AB83">
    <cfRule type="containsText" dxfId="183" priority="32" operator="containsText" text=" ">
      <formula>NOT(ISERROR(SEARCH(" ",AB83)))</formula>
    </cfRule>
  </conditionalFormatting>
  <conditionalFormatting sqref="A57:A67">
    <cfRule type="duplicateValues" dxfId="182" priority="492"/>
  </conditionalFormatting>
  <conditionalFormatting sqref="A69:A72">
    <cfRule type="duplicateValues" dxfId="181" priority="303"/>
  </conditionalFormatting>
  <conditionalFormatting sqref="A73:A83">
    <cfRule type="duplicateValues" dxfId="180" priority="162"/>
  </conditionalFormatting>
  <conditionalFormatting sqref="B28:B33">
    <cfRule type="containsText" dxfId="179" priority="749" operator="containsText" text=" ">
      <formula>NOT(ISERROR(SEARCH(" ",B28)))</formula>
    </cfRule>
  </conditionalFormatting>
  <conditionalFormatting sqref="B45:B48">
    <cfRule type="containsText" dxfId="178" priority="679" operator="containsText" text=" ">
      <formula>NOT(ISERROR(SEARCH(" ",B45)))</formula>
    </cfRule>
  </conditionalFormatting>
  <conditionalFormatting sqref="B49:B52">
    <cfRule type="containsText" dxfId="177" priority="674" operator="containsText" text=" ">
      <formula>NOT(ISERROR(SEARCH(" ",B49)))</formula>
    </cfRule>
  </conditionalFormatting>
  <conditionalFormatting sqref="B57:B67">
    <cfRule type="containsText" dxfId="176" priority="490" operator="containsText" text=" ">
      <formula>NOT(ISERROR(SEARCH(" ",B57)))</formula>
    </cfRule>
  </conditionalFormatting>
  <conditionalFormatting sqref="B73:B83">
    <cfRule type="containsText" dxfId="175" priority="160" operator="containsText" text=" ">
      <formula>NOT(ISERROR(SEARCH(" ",B73)))</formula>
    </cfRule>
  </conditionalFormatting>
  <conditionalFormatting sqref="C29:C30">
    <cfRule type="containsText" dxfId="174" priority="850" operator="containsText" text=" ">
      <formula>NOT(ISERROR(SEARCH(" ",C29)))</formula>
    </cfRule>
  </conditionalFormatting>
  <conditionalFormatting sqref="C32:C33">
    <cfRule type="containsText" dxfId="173" priority="835" operator="containsText" text=" ">
      <formula>NOT(ISERROR(SEARCH(" ",C32)))</formula>
    </cfRule>
  </conditionalFormatting>
  <conditionalFormatting sqref="E28:E30">
    <cfRule type="containsText" dxfId="172" priority="724" operator="containsText" text=" ">
      <formula>NOT(ISERROR(SEARCH(" ",E28)))</formula>
    </cfRule>
  </conditionalFormatting>
  <conditionalFormatting sqref="F7:F10">
    <cfRule type="containsText" dxfId="171" priority="678" operator="containsText" text=" ">
      <formula>NOT(ISERROR(SEARCH(" ",F7)))</formula>
    </cfRule>
  </conditionalFormatting>
  <conditionalFormatting sqref="I29:I30">
    <cfRule type="containsText" dxfId="170" priority="849" operator="containsText" text=" ">
      <formula>NOT(ISERROR(SEARCH(" ",I29)))</formula>
    </cfRule>
  </conditionalFormatting>
  <conditionalFormatting sqref="I32:I33">
    <cfRule type="containsText" dxfId="169" priority="839" operator="containsText" text=" ">
      <formula>NOT(ISERROR(SEARCH(" ",I32)))</formula>
    </cfRule>
  </conditionalFormatting>
  <conditionalFormatting sqref="N1:N2">
    <cfRule type="containsText" dxfId="168" priority="676" operator="containsText" text=" ">
      <formula>NOT(ISERROR(SEARCH(" ",N1)))</formula>
    </cfRule>
  </conditionalFormatting>
  <conditionalFormatting sqref="Q36:Q37">
    <cfRule type="containsText" dxfId="167" priority="789" operator="containsText" text=" ">
      <formula>NOT(ISERROR(SEARCH(" ",Q36)))</formula>
    </cfRule>
  </conditionalFormatting>
  <conditionalFormatting sqref="U1:U3">
    <cfRule type="containsText" dxfId="166" priority="698" operator="containsText" text=" ">
      <formula>NOT(ISERROR(SEARCH(" ",U1)))</formula>
    </cfRule>
  </conditionalFormatting>
  <conditionalFormatting sqref="X36:X37">
    <cfRule type="containsText" dxfId="165" priority="783" operator="containsText" text=" ">
      <formula>NOT(ISERROR(SEARCH(" ",X36)))</formula>
    </cfRule>
  </conditionalFormatting>
  <conditionalFormatting sqref="X49:X52">
    <cfRule type="containsText" dxfId="164" priority="623" operator="containsText" text=" ">
      <formula>NOT(ISERROR(SEARCH(" ",X49)))</formula>
    </cfRule>
  </conditionalFormatting>
  <conditionalFormatting sqref="Y32:Y33">
    <cfRule type="containsText" dxfId="163" priority="809" operator="containsText" text=" ">
      <formula>NOT(ISERROR(SEARCH(" ",Y32)))</formula>
    </cfRule>
  </conditionalFormatting>
  <conditionalFormatting sqref="Y36:Y37">
    <cfRule type="containsText" dxfId="162" priority="782" operator="containsText" text=" ">
      <formula>NOT(ISERROR(SEARCH(" ",Y36)))</formula>
    </cfRule>
  </conditionalFormatting>
  <conditionalFormatting sqref="Y49:Y52">
    <cfRule type="containsText" dxfId="161" priority="624" operator="containsText" text=" ">
      <formula>NOT(ISERROR(SEARCH(" ",Y49)))</formula>
    </cfRule>
  </conditionalFormatting>
  <conditionalFormatting sqref="AB29:AB30">
    <cfRule type="containsText" dxfId="160" priority="808" operator="containsText" text=" ">
      <formula>NOT(ISERROR(SEARCH(" ",AB29)))</formula>
    </cfRule>
  </conditionalFormatting>
  <conditionalFormatting sqref="AB32:AB33">
    <cfRule type="containsText" dxfId="159" priority="807" operator="containsText" text=" ">
      <formula>NOT(ISERROR(SEARCH(" ",AB32)))</formula>
    </cfRule>
  </conditionalFormatting>
  <conditionalFormatting sqref="AB40:AB42">
    <cfRule type="containsText" dxfId="158" priority="559" operator="containsText" text=" ">
      <formula>NOT(ISERROR(SEARCH(" ",AB40)))</formula>
    </cfRule>
  </conditionalFormatting>
  <conditionalFormatting sqref="A1:C4 C5:C6 A5:A8 C8 T6:U10 V1:W3 AB6:XFD8 Z6:Z8 AA6:AA10 Z1:XFD5 V6:W8 N4:W5 N6:S8 O1:T3 C36:C37 Z84:XFD1048576 A84:G1048576 AA36:AA39 T36:U37 AA13:AA22 AA26 T26:U26 AC49:XFD49 G49 C49:E49 A49:A52 A36:A38 T22:U22 AA43 AA45:AA52 AC43:XFD43 AC38:XFD38 I36:I37 A43 V13:W16">
    <cfRule type="containsText" dxfId="157" priority="859" operator="containsText" text=" ">
      <formula>NOT(ISERROR(SEARCH(" ",A1)))</formula>
    </cfRule>
  </conditionalFormatting>
  <conditionalFormatting sqref="A1:A11 A13:A22 A28:A38 A84:A1048576 A45:A52 A43 A26">
    <cfRule type="duplicateValues" dxfId="156" priority="680"/>
  </conditionalFormatting>
  <conditionalFormatting sqref="D1:D6 D8 E4:G4">
    <cfRule type="containsText" dxfId="155" priority="730" operator="containsText" text=" ">
      <formula>NOT(ISERROR(SEARCH(" ",D1)))</formula>
    </cfRule>
  </conditionalFormatting>
  <conditionalFormatting sqref="E1:G3">
    <cfRule type="containsText" dxfId="154" priority="726" operator="containsText" text=" ">
      <formula>NOT(ISERROR(SEARCH(" ",E1)))</formula>
    </cfRule>
  </conditionalFormatting>
  <conditionalFormatting sqref="N3 K1:M2 K3:L3 K4:M8 K9:S10 I1:J3 K11:W11 I4 I5:J11 I13:J16 H1:H11 H13:H22 K13:O17 J17 I18:S22 H84:W1048576 K36:N36 J36:J37 H36:H37 H26:J26 K49:O53 K26:P27 K45:L48 K43:P44 K37:O42">
    <cfRule type="containsText" dxfId="153" priority="675" operator="containsText" text=" ">
      <formula>NOT(ISERROR(SEARCH(" ",H1)))</formula>
    </cfRule>
  </conditionalFormatting>
  <conditionalFormatting sqref="X1:X2 X5:X9 X84:X1048576">
    <cfRule type="containsText" dxfId="152" priority="844" operator="containsText" text=" ">
      <formula>NOT(ISERROR(SEARCH(" ",X1)))</formula>
    </cfRule>
  </conditionalFormatting>
  <conditionalFormatting sqref="Y1:Y9 Y84:Y1048576">
    <cfRule type="containsText" dxfId="151" priority="843" operator="containsText" text=" ">
      <formula>NOT(ISERROR(SEARCH(" ",Y1)))</formula>
    </cfRule>
  </conditionalFormatting>
  <conditionalFormatting sqref="X3 A32:A33 Q32:Q33 X29:Y30 Q29:Q30">
    <cfRule type="containsText" dxfId="150" priority="842" operator="containsText" text=" ">
      <formula>NOT(ISERROR(SEARCH(" ",A3)))</formula>
    </cfRule>
  </conditionalFormatting>
  <conditionalFormatting sqref="M3 AC36:XFD37">
    <cfRule type="containsText" dxfId="149" priority="858" operator="containsText" text=" ">
      <formula>NOT(ISERROR(SEARCH(" ",M3)))</formula>
    </cfRule>
  </conditionalFormatting>
  <conditionalFormatting sqref="B5:B6 B36:B37">
    <cfRule type="containsText" dxfId="148" priority="753" operator="containsText" text=" ">
      <formula>NOT(ISERROR(SEARCH(" ",B5)))</formula>
    </cfRule>
  </conditionalFormatting>
  <conditionalFormatting sqref="E5:G6 E7:E10 G7:G10">
    <cfRule type="containsText" dxfId="147" priority="725" operator="containsText" text=" ">
      <formula>NOT(ISERROR(SEARCH(" ",E5)))</formula>
    </cfRule>
  </conditionalFormatting>
  <conditionalFormatting sqref="B7 F17:F22 F26 F36:F38 Q13:Q16 X28:Y28 AB18:XFD22 V18:Z22 AB13:XFD16 X13:Z16 Q28 F45:F48 F43 A18:E22 A13:G13 D36:E37 A14:F16 G14:G17">
    <cfRule type="containsText" dxfId="146" priority="751" operator="containsText" text=" ">
      <formula>NOT(ISERROR(SEARCH(" ",A7)))</formula>
    </cfRule>
  </conditionalFormatting>
  <conditionalFormatting sqref="C7 H38:J53 F35:P35 F28:P28 F29:H34 D28:D35 T28:U35 AA28:AA35 J29:N34 H27:J27">
    <cfRule type="containsText" dxfId="145" priority="856" operator="containsText" text=" ">
      <formula>NOT(ISERROR(SEARCH(" ",C7)))</formula>
    </cfRule>
  </conditionalFormatting>
  <conditionalFormatting sqref="C9 A9 V9:W9 AB9:XFD9 Z9 R13:S16 P13:P16">
    <cfRule type="containsText" dxfId="144" priority="854" operator="containsText" text=" ">
      <formula>NOT(ISERROR(SEARCH(" ",A9)))</formula>
    </cfRule>
  </conditionalFormatting>
  <conditionalFormatting sqref="C10 A10 V10:W10 Z10 AB10:XFD10">
    <cfRule type="containsText" dxfId="143" priority="834" operator="containsText" text=" ">
      <formula>NOT(ISERROR(SEARCH(" ",A10)))</formula>
    </cfRule>
  </conditionalFormatting>
  <conditionalFormatting sqref="A11 AC11:XFD11">
    <cfRule type="containsText" dxfId="142" priority="717" operator="containsText" text=" ">
      <formula>NOT(ISERROR(SEARCH(" ",A11)))</formula>
    </cfRule>
  </conditionalFormatting>
  <conditionalFormatting sqref="C11 Z11:AB11">
    <cfRule type="containsText" dxfId="141" priority="558" operator="containsText" text=" ">
      <formula>NOT(ISERROR(SEARCH(" ",C11)))</formula>
    </cfRule>
  </conditionalFormatting>
  <conditionalFormatting sqref="A12 AC12:XFD12">
    <cfRule type="containsText" dxfId="140" priority="176" operator="containsText" text=" ">
      <formula>NOT(ISERROR(SEARCH(" ",A12)))</formula>
    </cfRule>
  </conditionalFormatting>
  <conditionalFormatting sqref="C12 Z12:AB12">
    <cfRule type="containsText" dxfId="139" priority="172" operator="containsText" text=" ">
      <formula>NOT(ISERROR(SEARCH(" ",C12)))</formula>
    </cfRule>
  </conditionalFormatting>
  <conditionalFormatting sqref="K12:W12 I12:J12 H12">
    <cfRule type="containsText" dxfId="138" priority="173" operator="containsText" text=" ">
      <formula>NOT(ISERROR(SEARCH(" ",H12)))</formula>
    </cfRule>
  </conditionalFormatting>
  <conditionalFormatting sqref="T13:U21">
    <cfRule type="containsText" dxfId="137" priority="697" operator="containsText" text=" ">
      <formula>NOT(ISERROR(SEARCH(" ",T13)))</formula>
    </cfRule>
  </conditionalFormatting>
  <conditionalFormatting sqref="A17:E17 AB17:XFD17 X17:Z17 Q17">
    <cfRule type="containsText" dxfId="136" priority="700" operator="containsText" text=" ">
      <formula>NOT(ISERROR(SEARCH(" ",A17)))</formula>
    </cfRule>
  </conditionalFormatting>
  <conditionalFormatting sqref="G18:G22 G26 G36:G38 G45:G48 G43">
    <cfRule type="containsText" dxfId="135" priority="677" operator="containsText" text=" ">
      <formula>NOT(ISERROR(SEARCH(" ",G18)))</formula>
    </cfRule>
  </conditionalFormatting>
  <conditionalFormatting sqref="C23 AB23:XFD23 Z23 R23:S23 V23:W23 A23">
    <cfRule type="containsText" dxfId="134" priority="524" operator="containsText" text=" ">
      <formula>NOT(ISERROR(SEARCH(" ",A23)))</formula>
    </cfRule>
  </conditionalFormatting>
  <conditionalFormatting sqref="AA23 T23:U23">
    <cfRule type="containsText" dxfId="133" priority="526" operator="containsText" text=" ">
      <formula>NOT(ISERROR(SEARCH(" ",T23)))</formula>
    </cfRule>
  </conditionalFormatting>
  <conditionalFormatting sqref="C24 AB24:XFD24 Z24 R24:S24 V24:W24 A24">
    <cfRule type="containsText" dxfId="132" priority="253" operator="containsText" text=" ">
      <formula>NOT(ISERROR(SEARCH(" ",A24)))</formula>
    </cfRule>
  </conditionalFormatting>
  <conditionalFormatting sqref="AA24 T24:U24">
    <cfRule type="containsText" dxfId="131" priority="255" operator="containsText" text=" ">
      <formula>NOT(ISERROR(SEARCH(" ",T24)))</formula>
    </cfRule>
  </conditionalFormatting>
  <conditionalFormatting sqref="C25 AB25:XFD25 Z25 R25:S25 V25:W25 A25">
    <cfRule type="containsText" dxfId="130" priority="241" operator="containsText" text=" ">
      <formula>NOT(ISERROR(SEARCH(" ",A25)))</formula>
    </cfRule>
  </conditionalFormatting>
  <conditionalFormatting sqref="AA25 T25:U25">
    <cfRule type="containsText" dxfId="129" priority="243" operator="containsText" text=" ">
      <formula>NOT(ISERROR(SEARCH(" ",T25)))</formula>
    </cfRule>
  </conditionalFormatting>
  <conditionalFormatting sqref="C26 AB26:XFD26 Z26 R26:S26 V26:W26 A26">
    <cfRule type="containsText" dxfId="128" priority="709" operator="containsText" text=" ">
      <formula>NOT(ISERROR(SEARCH(" ",A26)))</formula>
    </cfRule>
  </conditionalFormatting>
  <conditionalFormatting sqref="C27 A27 V27:W27 R27:S27 Z27 AB27:XFD27">
    <cfRule type="containsText" dxfId="127" priority="607" operator="containsText" text=" ">
      <formula>NOT(ISERROR(SEARCH(" ",A27)))</formula>
    </cfRule>
  </conditionalFormatting>
  <conditionalFormatting sqref="T27:U27 AA27">
    <cfRule type="containsText" dxfId="126" priority="609" operator="containsText" text=" ">
      <formula>NOT(ISERROR(SEARCH(" ",T27)))</formula>
    </cfRule>
  </conditionalFormatting>
  <conditionalFormatting sqref="A28:A30 AC29:XFD30 Z28:Z30 R28:S30 AB28:XFD28 P29:P30 V28:W30 C28">
    <cfRule type="containsText" dxfId="125" priority="852" operator="containsText" text=" ">
      <formula>NOT(ISERROR(SEARCH(" ",A28)))</formula>
    </cfRule>
  </conditionalFormatting>
  <conditionalFormatting sqref="A31 AC31:XFD31 P31 Z31 V31:W31 R31:S31">
    <cfRule type="containsText" dxfId="124" priority="768" operator="containsText" text=" ">
      <formula>NOT(ISERROR(SEARCH(" ",A31)))</formula>
    </cfRule>
  </conditionalFormatting>
  <conditionalFormatting sqref="Z32:Z33 AC32:XFD33 P32:P33 R32:S33 V32:W33">
    <cfRule type="containsText" dxfId="123" priority="841" operator="containsText" text=" ">
      <formula>NOT(ISERROR(SEARCH(" ",P32)))</formula>
    </cfRule>
  </conditionalFormatting>
  <conditionalFormatting sqref="A34 AC34:XFD34 P34 Z34 V34:W34 R34:S34">
    <cfRule type="containsText" dxfId="122" priority="805" operator="containsText" text=" ">
      <formula>NOT(ISERROR(SEARCH(" ",A34)))</formula>
    </cfRule>
  </conditionalFormatting>
  <conditionalFormatting sqref="A35 AB35:XFD35 Z35 R35:S35 V35:W35 C35">
    <cfRule type="containsText" dxfId="121" priority="760" operator="containsText" text=" ">
      <formula>NOT(ISERROR(SEARCH(" ",A35)))</formula>
    </cfRule>
  </conditionalFormatting>
  <conditionalFormatting sqref="P36 R36:S36 AB36 Z36 V36:W36">
    <cfRule type="containsText" dxfId="120" priority="788" operator="containsText" text=" ">
      <formula>NOT(ISERROR(SEARCH(" ",P36)))</formula>
    </cfRule>
  </conditionalFormatting>
  <conditionalFormatting sqref="V37:W37 AB37 Z37">
    <cfRule type="containsText" dxfId="119" priority="784" operator="containsText" text=" ">
      <formula>NOT(ISERROR(SEARCH(" ",V37)))</formula>
    </cfRule>
  </conditionalFormatting>
  <conditionalFormatting sqref="B38:E38 Q38 X38:Z38">
    <cfRule type="containsText" dxfId="118" priority="694" operator="containsText" text=" ">
      <formula>NOT(ISERROR(SEARCH(" ",B38)))</formula>
    </cfRule>
  </conditionalFormatting>
  <conditionalFormatting sqref="R38:S38 P38">
    <cfRule type="containsText" dxfId="117" priority="695" operator="containsText" text=" ">
      <formula>NOT(ISERROR(SEARCH(" ",P38)))</formula>
    </cfRule>
  </conditionalFormatting>
  <conditionalFormatting sqref="A39 AC39:XFD39">
    <cfRule type="containsText" dxfId="116" priority="619" operator="containsText" text=" ">
      <formula>NOT(ISERROR(SEARCH(" ",A39)))</formula>
    </cfRule>
  </conditionalFormatting>
  <conditionalFormatting sqref="B39:E39 Q39 X39:Z39">
    <cfRule type="containsText" dxfId="115" priority="615" operator="containsText" text=" ">
      <formula>NOT(ISERROR(SEARCH(" ",B39)))</formula>
    </cfRule>
  </conditionalFormatting>
  <conditionalFormatting sqref="R39:S39 P39">
    <cfRule type="containsText" dxfId="114" priority="616" operator="containsText" text=" ">
      <formula>NOT(ISERROR(SEARCH(" ",P39)))</formula>
    </cfRule>
  </conditionalFormatting>
  <conditionalFormatting sqref="A40 AA40 AC40:XFD40">
    <cfRule type="containsText" dxfId="113" priority="598" operator="containsText" text=" ">
      <formula>NOT(ISERROR(SEARCH(" ",A40)))</formula>
    </cfRule>
  </conditionalFormatting>
  <conditionalFormatting sqref="B40:E40 Q40 X40:Z40">
    <cfRule type="containsText" dxfId="112" priority="594" operator="containsText" text=" ">
      <formula>NOT(ISERROR(SEARCH(" ",B40)))</formula>
    </cfRule>
  </conditionalFormatting>
  <conditionalFormatting sqref="R40:S40 P40">
    <cfRule type="containsText" dxfId="111" priority="595" operator="containsText" text=" ">
      <formula>NOT(ISERROR(SEARCH(" ",P40)))</formula>
    </cfRule>
  </conditionalFormatting>
  <conditionalFormatting sqref="A41 AA41 AC41:XFD41">
    <cfRule type="containsText" dxfId="110" priority="589" operator="containsText" text=" ">
      <formula>NOT(ISERROR(SEARCH(" ",A41)))</formula>
    </cfRule>
  </conditionalFormatting>
  <conditionalFormatting sqref="B41:E41 Q41 X41:Z41">
    <cfRule type="containsText" dxfId="109" priority="585" operator="containsText" text=" ">
      <formula>NOT(ISERROR(SEARCH(" ",B41)))</formula>
    </cfRule>
  </conditionalFormatting>
  <conditionalFormatting sqref="R41:S41 P41">
    <cfRule type="containsText" dxfId="108" priority="586" operator="containsText" text=" ">
      <formula>NOT(ISERROR(SEARCH(" ",P41)))</formula>
    </cfRule>
  </conditionalFormatting>
  <conditionalFormatting sqref="A42 AA42 AC42:XFD42">
    <cfRule type="containsText" dxfId="107" priority="580" operator="containsText" text=" ">
      <formula>NOT(ISERROR(SEARCH(" ",A42)))</formula>
    </cfRule>
  </conditionalFormatting>
  <conditionalFormatting sqref="B42:E42 Q42 X42:Z42">
    <cfRule type="containsText" dxfId="106" priority="576" operator="containsText" text=" ">
      <formula>NOT(ISERROR(SEARCH(" ",B42)))</formula>
    </cfRule>
  </conditionalFormatting>
  <conditionalFormatting sqref="R42:S42 P42">
    <cfRule type="containsText" dxfId="105" priority="577" operator="containsText" text=" ">
      <formula>NOT(ISERROR(SEARCH(" ",P42)))</formula>
    </cfRule>
  </conditionalFormatting>
  <conditionalFormatting sqref="C43 S49 P45:P48 V43:W43 R45:S48 R43:S43 AB43 Z45:Z48 Z43">
    <cfRule type="containsText" dxfId="104" priority="690" operator="containsText" text=" ">
      <formula>NOT(ISERROR(SEARCH(" ",C43)))</formula>
    </cfRule>
  </conditionalFormatting>
  <conditionalFormatting sqref="Q43 Q45:Q48">
    <cfRule type="containsText" dxfId="103" priority="689" operator="containsText" text=" ">
      <formula>NOT(ISERROR(SEARCH(" ",Q43)))</formula>
    </cfRule>
  </conditionalFormatting>
  <conditionalFormatting sqref="T43:U43 T45:U49">
    <cfRule type="containsText" dxfId="102" priority="691" operator="containsText" text=" ">
      <formula>NOT(ISERROR(SEARCH(" ",T43)))</formula>
    </cfRule>
  </conditionalFormatting>
  <conditionalFormatting sqref="AA44 A44 AC44:XFD44">
    <cfRule type="containsText" dxfId="101" priority="571" operator="containsText" text=" ">
      <formula>NOT(ISERROR(SEARCH(" ",A44)))</formula>
    </cfRule>
  </conditionalFormatting>
  <conditionalFormatting sqref="C44 V44:W44 R44:S44 AB44 Z44">
    <cfRule type="containsText" dxfId="100" priority="568" operator="containsText" text=" ">
      <formula>NOT(ISERROR(SEARCH(" ",C44)))</formula>
    </cfRule>
  </conditionalFormatting>
  <conditionalFormatting sqref="A45:A48 V45:Y48 V49:W49 AB45:XFD48 C45:E48 O45:O48">
    <cfRule type="containsText" dxfId="99" priority="682" operator="containsText" text=" ">
      <formula>NOT(ISERROR(SEARCH(" ",A45)))</formula>
    </cfRule>
  </conditionalFormatting>
  <conditionalFormatting sqref="C50:E50 G50 AC50:XFD50">
    <cfRule type="containsText" dxfId="98" priority="666" operator="containsText" text=" ">
      <formula>NOT(ISERROR(SEARCH(" ",C50)))</formula>
    </cfRule>
  </conditionalFormatting>
  <conditionalFormatting sqref="C51:E51 G51 AC51:XFD51">
    <cfRule type="containsText" dxfId="97" priority="652" operator="containsText" text=" ">
      <formula>NOT(ISERROR(SEARCH(" ",C51)))</formula>
    </cfRule>
  </conditionalFormatting>
  <conditionalFormatting sqref="C52:E52 G52 AC52:XFD52">
    <cfRule type="containsText" dxfId="96" priority="638" operator="containsText" text=" ">
      <formula>NOT(ISERROR(SEARCH(" ",C52)))</formula>
    </cfRule>
  </conditionalFormatting>
  <conditionalFormatting sqref="AA53 A53">
    <cfRule type="containsText" dxfId="95" priority="553" operator="containsText" text=" ">
      <formula>NOT(ISERROR(SEARCH(" ",A53)))</formula>
    </cfRule>
  </conditionalFormatting>
  <conditionalFormatting sqref="C53:E53 G53 AC53:XFD53">
    <cfRule type="containsText" dxfId="94" priority="550" operator="containsText" text=" ">
      <formula>NOT(ISERROR(SEARCH(" ",C53)))</formula>
    </cfRule>
  </conditionalFormatting>
  <conditionalFormatting sqref="AA54 A54">
    <cfRule type="containsText" dxfId="93" priority="229" operator="containsText" text=" ">
      <formula>NOT(ISERROR(SEARCH(" ",A54)))</formula>
    </cfRule>
  </conditionalFormatting>
  <conditionalFormatting sqref="C54:E54 G54 AC54:XFD54">
    <cfRule type="containsText" dxfId="92" priority="226" operator="containsText" text=" ">
      <formula>NOT(ISERROR(SEARCH(" ",C54)))</formula>
    </cfRule>
  </conditionalFormatting>
  <conditionalFormatting sqref="K54:M54 O54">
    <cfRule type="containsText" dxfId="91" priority="230" operator="containsText" text=" ">
      <formula>NOT(ISERROR(SEARCH(" ",K54)))</formula>
    </cfRule>
  </conditionalFormatting>
  <conditionalFormatting sqref="AA55 A55">
    <cfRule type="containsText" dxfId="90" priority="211" operator="containsText" text=" ">
      <formula>NOT(ISERROR(SEARCH(" ",A55)))</formula>
    </cfRule>
  </conditionalFormatting>
  <conditionalFormatting sqref="C55 E55 G55 AC55:XFD55">
    <cfRule type="containsText" dxfId="89" priority="208" operator="containsText" text=" ">
      <formula>NOT(ISERROR(SEARCH(" ",C55)))</formula>
    </cfRule>
  </conditionalFormatting>
  <conditionalFormatting sqref="K55:M55 O55">
    <cfRule type="containsText" dxfId="88" priority="212" operator="containsText" text=" ">
      <formula>NOT(ISERROR(SEARCH(" ",K55)))</formula>
    </cfRule>
  </conditionalFormatting>
  <conditionalFormatting sqref="AA56 A56">
    <cfRule type="containsText" dxfId="87" priority="192" operator="containsText" text=" ">
      <formula>NOT(ISERROR(SEARCH(" ",A56)))</formula>
    </cfRule>
  </conditionalFormatting>
  <conditionalFormatting sqref="C56:E56 G56 AC56:XFD56">
    <cfRule type="containsText" dxfId="86" priority="189" operator="containsText" text=" ">
      <formula>NOT(ISERROR(SEARCH(" ",C56)))</formula>
    </cfRule>
  </conditionalFormatting>
  <conditionalFormatting sqref="K56:M56 O56">
    <cfRule type="containsText" dxfId="85" priority="193" operator="containsText" text=" ">
      <formula>NOT(ISERROR(SEARCH(" ",K56)))</formula>
    </cfRule>
  </conditionalFormatting>
  <conditionalFormatting sqref="AA57 E65 E63 E61 E59 C58:D67 AC57:XFD57 G57 C57:E57 A57:A67">
    <cfRule type="containsText" dxfId="84" priority="497" operator="containsText" text=" ">
      <formula>NOT(ISERROR(SEARCH(" ",A57)))</formula>
    </cfRule>
  </conditionalFormatting>
  <conditionalFormatting sqref="H57:J57 I58:I67">
    <cfRule type="containsText" dxfId="83" priority="496" operator="containsText" text=" ">
      <formula>NOT(ISERROR(SEARCH(" ",H57)))</formula>
    </cfRule>
  </conditionalFormatting>
  <conditionalFormatting sqref="K57:O57 O58:O67">
    <cfRule type="containsText" dxfId="82" priority="491" operator="containsText" text=" ">
      <formula>NOT(ISERROR(SEARCH(" ",K57)))</formula>
    </cfRule>
  </conditionalFormatting>
  <conditionalFormatting sqref="AA58 E64 E62 E60 AC58:XFD58 G58 E58">
    <cfRule type="containsText" dxfId="81" priority="481" operator="containsText" text=" ">
      <formula>NOT(ISERROR(SEARCH(" ",E58)))</formula>
    </cfRule>
  </conditionalFormatting>
  <conditionalFormatting sqref="H58 J58">
    <cfRule type="containsText" dxfId="80" priority="471" operator="containsText" text=" ">
      <formula>NOT(ISERROR(SEARCH(" ",H58)))</formula>
    </cfRule>
  </conditionalFormatting>
  <conditionalFormatting sqref="AA59 AC59:XFD59 G59">
    <cfRule type="containsText" dxfId="79" priority="480" operator="containsText" text=" ">
      <formula>NOT(ISERROR(SEARCH(" ",G59)))</formula>
    </cfRule>
  </conditionalFormatting>
  <conditionalFormatting sqref="H59 J59">
    <cfRule type="containsText" dxfId="78" priority="470" operator="containsText" text=" ">
      <formula>NOT(ISERROR(SEARCH(" ",H59)))</formula>
    </cfRule>
  </conditionalFormatting>
  <conditionalFormatting sqref="K59:L59 N59">
    <cfRule type="containsText" dxfId="77" priority="420" operator="containsText" text=" ">
      <formula>NOT(ISERROR(SEARCH(" ",K59)))</formula>
    </cfRule>
  </conditionalFormatting>
  <conditionalFormatting sqref="AA60 AC60:XFD60 G60">
    <cfRule type="containsText" dxfId="76" priority="479" operator="containsText" text=" ">
      <formula>NOT(ISERROR(SEARCH(" ",G60)))</formula>
    </cfRule>
  </conditionalFormatting>
  <conditionalFormatting sqref="H60 J60">
    <cfRule type="containsText" dxfId="75" priority="469" operator="containsText" text=" ">
      <formula>NOT(ISERROR(SEARCH(" ",H60)))</formula>
    </cfRule>
  </conditionalFormatting>
  <conditionalFormatting sqref="K60:L60 N60">
    <cfRule type="containsText" dxfId="74" priority="419" operator="containsText" text=" ">
      <formula>NOT(ISERROR(SEARCH(" ",K60)))</formula>
    </cfRule>
  </conditionalFormatting>
  <conditionalFormatting sqref="AA61 AC61:XFD61 G61">
    <cfRule type="containsText" dxfId="73" priority="478" operator="containsText" text=" ">
      <formula>NOT(ISERROR(SEARCH(" ",G61)))</formula>
    </cfRule>
  </conditionalFormatting>
  <conditionalFormatting sqref="H61 J61">
    <cfRule type="containsText" dxfId="72" priority="468" operator="containsText" text=" ">
      <formula>NOT(ISERROR(SEARCH(" ",H61)))</formula>
    </cfRule>
  </conditionalFormatting>
  <conditionalFormatting sqref="K61:L61 N61">
    <cfRule type="containsText" dxfId="71" priority="418" operator="containsText" text=" ">
      <formula>NOT(ISERROR(SEARCH(" ",K61)))</formula>
    </cfRule>
  </conditionalFormatting>
  <conditionalFormatting sqref="AA62 AC62:XFD62 G62">
    <cfRule type="containsText" dxfId="70" priority="477" operator="containsText" text=" ">
      <formula>NOT(ISERROR(SEARCH(" ",G62)))</formula>
    </cfRule>
  </conditionalFormatting>
  <conditionalFormatting sqref="H62 J62">
    <cfRule type="containsText" dxfId="69" priority="467" operator="containsText" text=" ">
      <formula>NOT(ISERROR(SEARCH(" ",H62)))</formula>
    </cfRule>
  </conditionalFormatting>
  <conditionalFormatting sqref="K62:L62 N62">
    <cfRule type="containsText" dxfId="68" priority="417" operator="containsText" text=" ">
      <formula>NOT(ISERROR(SEARCH(" ",K62)))</formula>
    </cfRule>
  </conditionalFormatting>
  <conditionalFormatting sqref="AA63 AC63:XFD63 G63">
    <cfRule type="containsText" dxfId="67" priority="476" operator="containsText" text=" ">
      <formula>NOT(ISERROR(SEARCH(" ",G63)))</formula>
    </cfRule>
  </conditionalFormatting>
  <conditionalFormatting sqref="H63 J63">
    <cfRule type="containsText" dxfId="66" priority="466" operator="containsText" text=" ">
      <formula>NOT(ISERROR(SEARCH(" ",H63)))</formula>
    </cfRule>
  </conditionalFormatting>
  <conditionalFormatting sqref="K63:L63 N63">
    <cfRule type="containsText" dxfId="65" priority="416" operator="containsText" text=" ">
      <formula>NOT(ISERROR(SEARCH(" ",K63)))</formula>
    </cfRule>
  </conditionalFormatting>
  <conditionalFormatting sqref="AA64 AC64:XFD64 G64">
    <cfRule type="containsText" dxfId="64" priority="475" operator="containsText" text=" ">
      <formula>NOT(ISERROR(SEARCH(" ",G64)))</formula>
    </cfRule>
  </conditionalFormatting>
  <conditionalFormatting sqref="H64 J64">
    <cfRule type="containsText" dxfId="63" priority="465" operator="containsText" text=" ">
      <formula>NOT(ISERROR(SEARCH(" ",H64)))</formula>
    </cfRule>
  </conditionalFormatting>
  <conditionalFormatting sqref="K64:L64 N64">
    <cfRule type="containsText" dxfId="62" priority="415" operator="containsText" text=" ">
      <formula>NOT(ISERROR(SEARCH(" ",K64)))</formula>
    </cfRule>
  </conditionalFormatting>
  <conditionalFormatting sqref="AA65 AC65:XFD65 G65">
    <cfRule type="containsText" dxfId="61" priority="474" operator="containsText" text=" ">
      <formula>NOT(ISERROR(SEARCH(" ",G65)))</formula>
    </cfRule>
  </conditionalFormatting>
  <conditionalFormatting sqref="H65 J65">
    <cfRule type="containsText" dxfId="60" priority="464" operator="containsText" text=" ">
      <formula>NOT(ISERROR(SEARCH(" ",H65)))</formula>
    </cfRule>
  </conditionalFormatting>
  <conditionalFormatting sqref="K65:L65 N65">
    <cfRule type="containsText" dxfId="59" priority="414" operator="containsText" text=" ">
      <formula>NOT(ISERROR(SEARCH(" ",K65)))</formula>
    </cfRule>
  </conditionalFormatting>
  <conditionalFormatting sqref="AA66 AC66:XFD66 G66">
    <cfRule type="containsText" dxfId="58" priority="473" operator="containsText" text=" ">
      <formula>NOT(ISERROR(SEARCH(" ",G66)))</formula>
    </cfRule>
  </conditionalFormatting>
  <conditionalFormatting sqref="H66 J66">
    <cfRule type="containsText" dxfId="57" priority="463" operator="containsText" text=" ">
      <formula>NOT(ISERROR(SEARCH(" ",H66)))</formula>
    </cfRule>
  </conditionalFormatting>
  <conditionalFormatting sqref="K66:L66 N66">
    <cfRule type="containsText" dxfId="56" priority="413" operator="containsText" text=" ">
      <formula>NOT(ISERROR(SEARCH(" ",K66)))</formula>
    </cfRule>
  </conditionalFormatting>
  <conditionalFormatting sqref="AA67 AC67:XFD67 G67">
    <cfRule type="containsText" dxfId="55" priority="472" operator="containsText" text=" ">
      <formula>NOT(ISERROR(SEARCH(" ",G67)))</formula>
    </cfRule>
  </conditionalFormatting>
  <conditionalFormatting sqref="H67 J67">
    <cfRule type="containsText" dxfId="54" priority="462" operator="containsText" text=" ">
      <formula>NOT(ISERROR(SEARCH(" ",H67)))</formula>
    </cfRule>
  </conditionalFormatting>
  <conditionalFormatting sqref="K67:L67 N67">
    <cfRule type="containsText" dxfId="53" priority="412" operator="containsText" text=" ">
      <formula>NOT(ISERROR(SEARCH(" ",K67)))</formula>
    </cfRule>
  </conditionalFormatting>
  <conditionalFormatting sqref="O68 AB72 AB70 E69:E72 A68 V68:Y68 AB68:XFD68 C68:E68">
    <cfRule type="containsText" dxfId="52" priority="260" operator="containsText" text=" ">
      <formula>NOT(ISERROR(SEARCH(" ",A68)))</formula>
    </cfRule>
  </conditionalFormatting>
  <conditionalFormatting sqref="H68:J68 I69:I72">
    <cfRule type="containsText" dxfId="51" priority="265" operator="containsText" text=" ">
      <formula>NOT(ISERROR(SEARCH(" ",H68)))</formula>
    </cfRule>
  </conditionalFormatting>
  <conditionalFormatting sqref="Z68 P68 R68:S68">
    <cfRule type="containsText" dxfId="50" priority="262" operator="containsText" text=" ">
      <formula>NOT(ISERROR(SEARCH(" ",P68)))</formula>
    </cfRule>
  </conditionalFormatting>
  <conditionalFormatting sqref="O69 AB71 A69:A72 V69:Y69 AB69:XFD69 C69:D69">
    <cfRule type="containsText" dxfId="49" priority="304" operator="containsText" text=" ">
      <formula>NOT(ISERROR(SEARCH(" ",A69)))</formula>
    </cfRule>
  </conditionalFormatting>
  <conditionalFormatting sqref="H69 J69">
    <cfRule type="containsText" dxfId="48" priority="309" operator="containsText" text=" ">
      <formula>NOT(ISERROR(SEARCH(" ",H69)))</formula>
    </cfRule>
  </conditionalFormatting>
  <conditionalFormatting sqref="Z69 P69 R69:S69">
    <cfRule type="containsText" dxfId="47" priority="306" operator="containsText" text=" ">
      <formula>NOT(ISERROR(SEARCH(" ",P69)))</formula>
    </cfRule>
  </conditionalFormatting>
  <conditionalFormatting sqref="O70 V70:Y70 AC70:XFD70 C70:D70">
    <cfRule type="containsText" dxfId="46" priority="293" operator="containsText" text=" ">
      <formula>NOT(ISERROR(SEARCH(" ",C70)))</formula>
    </cfRule>
  </conditionalFormatting>
  <conditionalFormatting sqref="H70 J70">
    <cfRule type="containsText" dxfId="45" priority="298" operator="containsText" text=" ">
      <formula>NOT(ISERROR(SEARCH(" ",H70)))</formula>
    </cfRule>
  </conditionalFormatting>
  <conditionalFormatting sqref="Z70 P70 R70:S70">
    <cfRule type="containsText" dxfId="44" priority="295" operator="containsText" text=" ">
      <formula>NOT(ISERROR(SEARCH(" ",P70)))</formula>
    </cfRule>
  </conditionalFormatting>
  <conditionalFormatting sqref="O71 V71:Y71 AC71:XFD71 C71:D71">
    <cfRule type="containsText" dxfId="43" priority="282" operator="containsText" text=" ">
      <formula>NOT(ISERROR(SEARCH(" ",C71)))</formula>
    </cfRule>
  </conditionalFormatting>
  <conditionalFormatting sqref="H71 J71">
    <cfRule type="containsText" dxfId="42" priority="287" operator="containsText" text=" ">
      <formula>NOT(ISERROR(SEARCH(" ",H71)))</formula>
    </cfRule>
  </conditionalFormatting>
  <conditionalFormatting sqref="Z71 P71 R71:S71">
    <cfRule type="containsText" dxfId="41" priority="284" operator="containsText" text=" ">
      <formula>NOT(ISERROR(SEARCH(" ",P71)))</formula>
    </cfRule>
  </conditionalFormatting>
  <conditionalFormatting sqref="O72 V72:Y72 AC72:XFD72 C72:D72">
    <cfRule type="containsText" dxfId="40" priority="271" operator="containsText" text=" ">
      <formula>NOT(ISERROR(SEARCH(" ",C72)))</formula>
    </cfRule>
  </conditionalFormatting>
  <conditionalFormatting sqref="H72 J72">
    <cfRule type="containsText" dxfId="39" priority="276" operator="containsText" text=" ">
      <formula>NOT(ISERROR(SEARCH(" ",H72)))</formula>
    </cfRule>
  </conditionalFormatting>
  <conditionalFormatting sqref="Z72 P72 R72:S72">
    <cfRule type="containsText" dxfId="38" priority="273" operator="containsText" text=" ">
      <formula>NOT(ISERROR(SEARCH(" ",P72)))</formula>
    </cfRule>
  </conditionalFormatting>
  <conditionalFormatting sqref="AA73 E81 E79 E77 E75 C74:D83 AC73:XFD73 G73 C73:E73 A73:A83">
    <cfRule type="containsText" dxfId="37" priority="167" operator="containsText" text=" ">
      <formula>NOT(ISERROR(SEARCH(" ",A73)))</formula>
    </cfRule>
  </conditionalFormatting>
  <conditionalFormatting sqref="H73:J73 I74:I83">
    <cfRule type="containsText" dxfId="36" priority="166" operator="containsText" text=" ">
      <formula>NOT(ISERROR(SEARCH(" ",H73)))</formula>
    </cfRule>
  </conditionalFormatting>
  <conditionalFormatting sqref="K73:O73 O74:O83 M74:M83">
    <cfRule type="containsText" dxfId="35" priority="161" operator="containsText" text=" ">
      <formula>NOT(ISERROR(SEARCH(" ",K73)))</formula>
    </cfRule>
  </conditionalFormatting>
  <conditionalFormatting sqref="AA74 E80 E78 E76 AC74:XFD74 G74 E74">
    <cfRule type="containsText" dxfId="34" priority="151" operator="containsText" text=" ">
      <formula>NOT(ISERROR(SEARCH(" ",E74)))</formula>
    </cfRule>
  </conditionalFormatting>
  <conditionalFormatting sqref="H74 J74">
    <cfRule type="containsText" dxfId="33" priority="141" operator="containsText" text=" ">
      <formula>NOT(ISERROR(SEARCH(" ",H74)))</formula>
    </cfRule>
  </conditionalFormatting>
  <conditionalFormatting sqref="K74:L74 N74">
    <cfRule type="containsText" dxfId="32" priority="101" operator="containsText" text=" ">
      <formula>NOT(ISERROR(SEARCH(" ",K74)))</formula>
    </cfRule>
  </conditionalFormatting>
  <conditionalFormatting sqref="AA75 AC75:XFD75 G75">
    <cfRule type="containsText" dxfId="31" priority="150" operator="containsText" text=" ">
      <formula>NOT(ISERROR(SEARCH(" ",G75)))</formula>
    </cfRule>
  </conditionalFormatting>
  <conditionalFormatting sqref="H75 J75">
    <cfRule type="containsText" dxfId="30" priority="140" operator="containsText" text=" ">
      <formula>NOT(ISERROR(SEARCH(" ",H75)))</formula>
    </cfRule>
  </conditionalFormatting>
  <conditionalFormatting sqref="K75:L75 N75">
    <cfRule type="containsText" dxfId="29" priority="100" operator="containsText" text=" ">
      <formula>NOT(ISERROR(SEARCH(" ",K75)))</formula>
    </cfRule>
  </conditionalFormatting>
  <conditionalFormatting sqref="AA76 AC76:XFD76 G76">
    <cfRule type="containsText" dxfId="28" priority="149" operator="containsText" text=" ">
      <formula>NOT(ISERROR(SEARCH(" ",G76)))</formula>
    </cfRule>
  </conditionalFormatting>
  <conditionalFormatting sqref="H76 J76">
    <cfRule type="containsText" dxfId="27" priority="139" operator="containsText" text=" ">
      <formula>NOT(ISERROR(SEARCH(" ",H76)))</formula>
    </cfRule>
  </conditionalFormatting>
  <conditionalFormatting sqref="K76:L76 N76">
    <cfRule type="containsText" dxfId="26" priority="99" operator="containsText" text=" ">
      <formula>NOT(ISERROR(SEARCH(" ",K76)))</formula>
    </cfRule>
  </conditionalFormatting>
  <conditionalFormatting sqref="AA77 AC77:XFD77 G77">
    <cfRule type="containsText" dxfId="25" priority="148" operator="containsText" text=" ">
      <formula>NOT(ISERROR(SEARCH(" ",G77)))</formula>
    </cfRule>
  </conditionalFormatting>
  <conditionalFormatting sqref="H77 J77">
    <cfRule type="containsText" dxfId="24" priority="138" operator="containsText" text=" ">
      <formula>NOT(ISERROR(SEARCH(" ",H77)))</formula>
    </cfRule>
  </conditionalFormatting>
  <conditionalFormatting sqref="K77:L77 N77">
    <cfRule type="containsText" dxfId="23" priority="98" operator="containsText" text=" ">
      <formula>NOT(ISERROR(SEARCH(" ",K77)))</formula>
    </cfRule>
  </conditionalFormatting>
  <conditionalFormatting sqref="AA78 AC78:XFD78 G78">
    <cfRule type="containsText" dxfId="22" priority="147" operator="containsText" text=" ">
      <formula>NOT(ISERROR(SEARCH(" ",G78)))</formula>
    </cfRule>
  </conditionalFormatting>
  <conditionalFormatting sqref="H78 J78">
    <cfRule type="containsText" dxfId="21" priority="137" operator="containsText" text=" ">
      <formula>NOT(ISERROR(SEARCH(" ",H78)))</formula>
    </cfRule>
  </conditionalFormatting>
  <conditionalFormatting sqref="K78:L78 N78">
    <cfRule type="containsText" dxfId="20" priority="97" operator="containsText" text=" ">
      <formula>NOT(ISERROR(SEARCH(" ",K78)))</formula>
    </cfRule>
  </conditionalFormatting>
  <conditionalFormatting sqref="AA79 AC79:XFD79 G79">
    <cfRule type="containsText" dxfId="19" priority="146" operator="containsText" text=" ">
      <formula>NOT(ISERROR(SEARCH(" ",G79)))</formula>
    </cfRule>
  </conditionalFormatting>
  <conditionalFormatting sqref="H79 J79">
    <cfRule type="containsText" dxfId="18" priority="136" operator="containsText" text=" ">
      <formula>NOT(ISERROR(SEARCH(" ",H79)))</formula>
    </cfRule>
  </conditionalFormatting>
  <conditionalFormatting sqref="K79:L79 N79">
    <cfRule type="containsText" dxfId="17" priority="96" operator="containsText" text=" ">
      <formula>NOT(ISERROR(SEARCH(" ",K79)))</formula>
    </cfRule>
  </conditionalFormatting>
  <conditionalFormatting sqref="AA80 AC80:XFD80 G80">
    <cfRule type="containsText" dxfId="16" priority="145" operator="containsText" text=" ">
      <formula>NOT(ISERROR(SEARCH(" ",G80)))</formula>
    </cfRule>
  </conditionalFormatting>
  <conditionalFormatting sqref="H80 J80">
    <cfRule type="containsText" dxfId="15" priority="135" operator="containsText" text=" ">
      <formula>NOT(ISERROR(SEARCH(" ",H80)))</formula>
    </cfRule>
  </conditionalFormatting>
  <conditionalFormatting sqref="K80:L80 N80">
    <cfRule type="containsText" dxfId="14" priority="95" operator="containsText" text=" ">
      <formula>NOT(ISERROR(SEARCH(" ",K80)))</formula>
    </cfRule>
  </conditionalFormatting>
  <conditionalFormatting sqref="AA81 AC81:XFD81 G81">
    <cfRule type="containsText" dxfId="13" priority="144" operator="containsText" text=" ">
      <formula>NOT(ISERROR(SEARCH(" ",G81)))</formula>
    </cfRule>
  </conditionalFormatting>
  <conditionalFormatting sqref="H81 J81">
    <cfRule type="containsText" dxfId="12" priority="134" operator="containsText" text=" ">
      <formula>NOT(ISERROR(SEARCH(" ",H81)))</formula>
    </cfRule>
  </conditionalFormatting>
  <conditionalFormatting sqref="K81:L81 N81">
    <cfRule type="containsText" dxfId="11" priority="94" operator="containsText" text=" ">
      <formula>NOT(ISERROR(SEARCH(" ",K81)))</formula>
    </cfRule>
  </conditionalFormatting>
  <conditionalFormatting sqref="AA82 AC82:XFD82 G82">
    <cfRule type="containsText" dxfId="10" priority="143" operator="containsText" text=" ">
      <formula>NOT(ISERROR(SEARCH(" ",G82)))</formula>
    </cfRule>
  </conditionalFormatting>
  <conditionalFormatting sqref="H82 J82">
    <cfRule type="containsText" dxfId="9" priority="133" operator="containsText" text=" ">
      <formula>NOT(ISERROR(SEARCH(" ",H82)))</formula>
    </cfRule>
  </conditionalFormatting>
  <conditionalFormatting sqref="K82:L82 N82">
    <cfRule type="containsText" dxfId="8" priority="93" operator="containsText" text=" ">
      <formula>NOT(ISERROR(SEARCH(" ",K82)))</formula>
    </cfRule>
  </conditionalFormatting>
  <conditionalFormatting sqref="AA83 AC83:XFD83 G83">
    <cfRule type="containsText" dxfId="7" priority="142" operator="containsText" text=" ">
      <formula>NOT(ISERROR(SEARCH(" ",G83)))</formula>
    </cfRule>
  </conditionalFormatting>
  <conditionalFormatting sqref="H83 J83">
    <cfRule type="containsText" dxfId="6" priority="132" operator="containsText" text=" ">
      <formula>NOT(ISERROR(SEARCH(" ",H83)))</formula>
    </cfRule>
  </conditionalFormatting>
  <conditionalFormatting sqref="K83:L83 N83">
    <cfRule type="containsText" dxfId="5" priority="92" operator="containsText" text=" ">
      <formula>NOT(ISERROR(SEARCH(" ",K83)))</formula>
    </cfRule>
  </conditionalFormatting>
  <pageMargins left="0.69930555555555596" right="0.69930555555555596" top="0.75" bottom="0.75" header="0.3" footer="0.3"/>
  <pageSetup paperSize="9" orientation="portrait" horizontalDpi="300" verticalDpi="30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5"/>
  <sheetViews>
    <sheetView workbookViewId="0">
      <selection activeCell="E5" sqref="E5"/>
    </sheetView>
  </sheetViews>
  <sheetFormatPr defaultColWidth="9" defaultRowHeight="15.6" x14ac:dyDescent="0.25"/>
  <cols>
    <col min="1" max="1" width="9.88671875" style="2" customWidth="1"/>
    <col min="2" max="2" width="25.21875" style="2" customWidth="1"/>
    <col min="3" max="3" width="20.77734375" style="2" customWidth="1"/>
    <col min="4" max="4" width="26.44140625" style="2" customWidth="1"/>
    <col min="5" max="5" width="17.44140625" style="2" customWidth="1"/>
    <col min="6" max="6" width="20.44140625" style="2" customWidth="1"/>
    <col min="7" max="7" width="11.88671875" style="2" customWidth="1"/>
    <col min="8" max="8" width="13.44140625" style="2" customWidth="1"/>
    <col min="9" max="9" width="10.44140625" style="2" customWidth="1"/>
    <col min="10" max="10" width="14.6640625" style="2" customWidth="1"/>
    <col min="11" max="11" width="9" style="2"/>
    <col min="12" max="12" width="14" style="2" customWidth="1"/>
    <col min="13" max="13" width="19.88671875" style="2" customWidth="1"/>
    <col min="14" max="14" width="14" style="2" customWidth="1"/>
    <col min="15" max="15" width="11.21875" style="2" customWidth="1"/>
    <col min="16" max="16" width="12" style="2" customWidth="1"/>
    <col min="17" max="16384" width="9" style="2"/>
  </cols>
  <sheetData>
    <row r="1" spans="1:17" x14ac:dyDescent="0.35">
      <c r="A1" s="3" t="s">
        <v>0</v>
      </c>
      <c r="B1" s="3" t="s">
        <v>1290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4" t="s">
        <v>0</v>
      </c>
      <c r="I1" s="4" t="s">
        <v>0</v>
      </c>
      <c r="J1" s="4" t="s">
        <v>0</v>
      </c>
      <c r="K1" s="8" t="s">
        <v>0</v>
      </c>
      <c r="L1" s="8" t="s">
        <v>0</v>
      </c>
      <c r="M1" s="9" t="s">
        <v>0</v>
      </c>
      <c r="N1" s="9" t="s">
        <v>0</v>
      </c>
      <c r="O1" s="3" t="s">
        <v>0</v>
      </c>
      <c r="P1" s="3" t="s">
        <v>0</v>
      </c>
    </row>
    <row r="2" spans="1:17" x14ac:dyDescent="0.35">
      <c r="A2" s="3" t="s">
        <v>11</v>
      </c>
      <c r="B2" s="3" t="s">
        <v>12</v>
      </c>
      <c r="C2" s="3" t="s">
        <v>14</v>
      </c>
      <c r="D2" s="3" t="s">
        <v>14</v>
      </c>
      <c r="E2" s="3" t="s">
        <v>11</v>
      </c>
      <c r="F2" s="3" t="s">
        <v>11</v>
      </c>
      <c r="G2" s="3" t="s">
        <v>14</v>
      </c>
      <c r="H2" s="4" t="s">
        <v>11</v>
      </c>
      <c r="I2" s="4" t="s">
        <v>11</v>
      </c>
      <c r="J2" s="4" t="s">
        <v>11</v>
      </c>
      <c r="K2" s="8" t="s">
        <v>11</v>
      </c>
      <c r="L2" s="8" t="s">
        <v>11</v>
      </c>
      <c r="M2" s="9" t="s">
        <v>14</v>
      </c>
      <c r="N2" s="9" t="s">
        <v>11</v>
      </c>
      <c r="O2" s="3" t="s">
        <v>11</v>
      </c>
      <c r="P2" s="3" t="s">
        <v>11</v>
      </c>
      <c r="Q2" s="2" t="s">
        <v>1654</v>
      </c>
    </row>
    <row r="3" spans="1:17" x14ac:dyDescent="0.35">
      <c r="A3" s="3" t="s">
        <v>1655</v>
      </c>
      <c r="B3" s="3" t="s">
        <v>1656</v>
      </c>
      <c r="C3" s="3" t="s">
        <v>1657</v>
      </c>
      <c r="D3" s="3" t="s">
        <v>1663</v>
      </c>
      <c r="E3" s="3" t="s">
        <v>1664</v>
      </c>
      <c r="F3" s="3" t="s">
        <v>1667</v>
      </c>
      <c r="G3" s="3" t="s">
        <v>1669</v>
      </c>
      <c r="H3" s="4" t="s">
        <v>1670</v>
      </c>
      <c r="I3" s="4" t="s">
        <v>1672</v>
      </c>
      <c r="J3" s="4" t="s">
        <v>1673</v>
      </c>
      <c r="K3" s="8" t="s">
        <v>1676</v>
      </c>
      <c r="L3" s="8" t="s">
        <v>1677</v>
      </c>
      <c r="M3" s="9" t="s">
        <v>1678</v>
      </c>
      <c r="N3" s="9" t="s">
        <v>1679</v>
      </c>
      <c r="O3" s="3" t="s">
        <v>1680</v>
      </c>
      <c r="P3" s="3" t="s">
        <v>1682</v>
      </c>
    </row>
    <row r="4" spans="1:17" s="1" customFormat="1" ht="92.4" x14ac:dyDescent="0.25">
      <c r="A4" s="5" t="s">
        <v>1960</v>
      </c>
      <c r="B4" s="6" t="s">
        <v>1961</v>
      </c>
      <c r="C4" s="5" t="s">
        <v>1685</v>
      </c>
      <c r="D4" s="5" t="s">
        <v>1690</v>
      </c>
      <c r="E4" s="5" t="s">
        <v>1962</v>
      </c>
      <c r="F4" s="5" t="s">
        <v>1963</v>
      </c>
      <c r="G4" s="6" t="s">
        <v>1964</v>
      </c>
      <c r="H4" s="7" t="s">
        <v>1965</v>
      </c>
      <c r="I4" s="7" t="s">
        <v>1699</v>
      </c>
      <c r="J4" s="7" t="s">
        <v>1700</v>
      </c>
      <c r="K4" s="10" t="s">
        <v>1703</v>
      </c>
      <c r="L4" s="10" t="s">
        <v>1704</v>
      </c>
      <c r="M4" s="11" t="s">
        <v>1705</v>
      </c>
      <c r="N4" s="11" t="s">
        <v>1706</v>
      </c>
      <c r="O4" s="5" t="s">
        <v>1707</v>
      </c>
      <c r="P4" s="5" t="s">
        <v>1709</v>
      </c>
      <c r="Q4" s="12" t="s">
        <v>1710</v>
      </c>
    </row>
    <row r="5" spans="1:17" x14ac:dyDescent="0.25">
      <c r="A5" s="2">
        <v>1204</v>
      </c>
      <c r="B5" s="2" t="s">
        <v>1966</v>
      </c>
      <c r="C5" s="2" t="s">
        <v>1967</v>
      </c>
      <c r="D5" s="2" t="s">
        <v>1968</v>
      </c>
      <c r="E5" s="2">
        <f>'道具|Item'!J28</f>
        <v>0</v>
      </c>
      <c r="F5" s="2">
        <f>'道具|Item'!M28</f>
        <v>0</v>
      </c>
      <c r="G5" s="2">
        <f>'道具|Item'!O28</f>
        <v>6</v>
      </c>
      <c r="H5" s="2">
        <f>'道具|Item'!P28</f>
        <v>-1</v>
      </c>
      <c r="I5" s="2">
        <f>'道具|Item'!R28</f>
        <v>0</v>
      </c>
      <c r="J5" s="2">
        <f>'道具|Item'!S28</f>
        <v>-1</v>
      </c>
      <c r="K5" s="2">
        <f>'道具|Item'!V28</f>
        <v>0</v>
      </c>
      <c r="L5" s="2">
        <f>'道具|Item'!W28</f>
        <v>-1</v>
      </c>
      <c r="M5" s="2">
        <f>'道具|Item'!X28</f>
        <v>0</v>
      </c>
      <c r="N5" s="2">
        <f>'道具|Item'!Y28</f>
        <v>-1</v>
      </c>
      <c r="O5" s="2">
        <f>'道具|Item'!Z28</f>
        <v>0</v>
      </c>
      <c r="P5" s="2">
        <f>'道具|Item'!AB28</f>
        <v>-1</v>
      </c>
    </row>
  </sheetData>
  <phoneticPr fontId="55" type="noConversion"/>
  <conditionalFormatting sqref="M3">
    <cfRule type="containsText" dxfId="4" priority="6" operator="containsText" text=" ">
      <formula>NOT(ISERROR(SEARCH(" ",M3)))</formula>
    </cfRule>
  </conditionalFormatting>
  <conditionalFormatting sqref="A5:XFD5">
    <cfRule type="containsText" dxfId="3" priority="16" operator="containsText" text=" ">
      <formula>NOT(ISERROR(SEARCH(" ",A5)))</formula>
    </cfRule>
  </conditionalFormatting>
  <conditionalFormatting sqref="M1:M2">
    <cfRule type="containsText" dxfId="2" priority="8" operator="containsText" text=" ">
      <formula>NOT(ISERROR(SEARCH(" ",M1)))</formula>
    </cfRule>
  </conditionalFormatting>
  <conditionalFormatting sqref="A3:E3 I7:K7 A6:D7 H6:K6 A8:L1048576 G3:L3 A4:L4 L6:L7 A1:L2 O1:XFD4 O6:XFD1048576">
    <cfRule type="containsText" dxfId="1" priority="23" operator="containsText" text=" ">
      <formula>NOT(ISERROR(SEARCH(" ",A1)))</formula>
    </cfRule>
  </conditionalFormatting>
  <conditionalFormatting sqref="F3 N1:N4 M6:N1048576">
    <cfRule type="containsText" dxfId="0" priority="22" operator="containsText" text=" ">
      <formula>NOT(ISERROR(SEARCH(" ",F1)))</formula>
    </cfRule>
  </conditionalFormatting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炮解锁|CannonUnlock</vt:lpstr>
      <vt:lpstr>全局参数|GlobalPar</vt:lpstr>
      <vt:lpstr>VIP升级|VIPUp</vt:lpstr>
      <vt:lpstr>看广告VIP特权|VIPAd</vt:lpstr>
      <vt:lpstr>VIP特权类型|VIPPower</vt:lpstr>
      <vt:lpstr>弹头价值|Dantou</vt:lpstr>
      <vt:lpstr>道具|Item</vt:lpstr>
      <vt:lpstr>道具|Item-f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jianlong wo</cp:lastModifiedBy>
  <dcterms:created xsi:type="dcterms:W3CDTF">2006-09-20T08:00:00Z</dcterms:created>
  <dcterms:modified xsi:type="dcterms:W3CDTF">2021-12-27T02:15:31Z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C39484ADD382432388F0FE6BCCA455DF</vt:lpwstr>
  </property>
</Properties>
</file>