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7.xml" ContentType="application/vnd.openxmlformats-officedocument.drawing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app_kuaishou\DataTable\"/>
    </mc:Choice>
  </mc:AlternateContent>
  <bookViews>
    <workbookView xWindow="0" yWindow="0" windowWidth="23904" windowHeight="10284" tabRatio="934" firstSheet="1" activeTab="3"/>
  </bookViews>
  <sheets>
    <sheet name="炮解锁|CannonUnlock" sheetId="10" r:id="rId1"/>
    <sheet name="全局参数|GlobalPar" sheetId="8" r:id="rId2"/>
    <sheet name="VIP升级|VIPUp" sheetId="27" r:id="rId3"/>
    <sheet name="房间规则|RoomRules" sheetId="22" r:id="rId4"/>
    <sheet name="用户升级|RoleUp" sheetId="2" r:id="rId5"/>
    <sheet name="鱼属性|FishAttribute" sheetId="1" r:id="rId6"/>
    <sheet name="弹头价值|Dantou" sheetId="45" r:id="rId7"/>
    <sheet name="抽奖|MoonBless" sheetId="31" r:id="rId8"/>
    <sheet name="掉落|Drop" sheetId="25" r:id="rId9"/>
    <sheet name="兑换|Exchange" sheetId="24" r:id="rId10"/>
    <sheet name="签到|SignIn" sheetId="9" r:id="rId11"/>
    <sheet name="道具|Item" sheetId="26" r:id="rId12"/>
    <sheet name="道具|Item-f" sheetId="34" r:id="rId13"/>
    <sheet name="福卡赛奖励|CompetitionBillReward" sheetId="32" r:id="rId14"/>
    <sheet name="BOSS翻N倍玩法|BossOfNfold" sheetId="30" r:id="rId15"/>
    <sheet name="每日充值|Recharge" sheetId="47" r:id="rId16"/>
    <sheet name="福卡鱼潮S值|BasicsBillValue" sheetId="42" r:id="rId17"/>
    <sheet name="话费赛潜艇|AirBalloon" sheetId="19" r:id="rId18"/>
    <sheet name="新手七天|SevenDay" sheetId="33" r:id="rId19"/>
    <sheet name="潜艇等级|AirBallLv" sheetId="46" r:id="rId20"/>
  </sheets>
  <calcPr calcId="162913"/>
</workbook>
</file>

<file path=xl/calcChain.xml><?xml version="1.0" encoding="utf-8"?>
<calcChain xmlns="http://schemas.openxmlformats.org/spreadsheetml/2006/main">
  <c r="AU6" i="22" l="1"/>
  <c r="AU7" i="22"/>
  <c r="AU8" i="22"/>
  <c r="AU10" i="22"/>
  <c r="B247" i="8" l="1"/>
  <c r="K32" i="46"/>
  <c r="K33" i="46" s="1"/>
  <c r="K34" i="46" s="1"/>
  <c r="K35" i="46" s="1"/>
  <c r="K36" i="46" s="1"/>
  <c r="K37" i="46" s="1"/>
  <c r="K38" i="46" s="1"/>
  <c r="K39" i="46" s="1"/>
  <c r="K40" i="46" s="1"/>
  <c r="P31" i="46"/>
  <c r="P32" i="46" s="1"/>
  <c r="P33" i="46" s="1"/>
  <c r="P34" i="46" s="1"/>
  <c r="P35" i="46" s="1"/>
  <c r="P36" i="46" s="1"/>
  <c r="P37" i="46" s="1"/>
  <c r="P38" i="46" s="1"/>
  <c r="P39" i="46" s="1"/>
  <c r="P40" i="46" s="1"/>
  <c r="L31" i="46"/>
  <c r="L32" i="46" s="1"/>
  <c r="Q30" i="46"/>
  <c r="P30" i="46"/>
  <c r="N30" i="46"/>
  <c r="M30" i="46"/>
  <c r="L30" i="46"/>
  <c r="R31" i="46" s="1"/>
  <c r="S30" i="46" s="1"/>
  <c r="P29" i="46"/>
  <c r="L29" i="46"/>
  <c r="M29" i="46" s="1"/>
  <c r="P28" i="46"/>
  <c r="N28" i="46"/>
  <c r="M28" i="46"/>
  <c r="L28" i="46"/>
  <c r="R29" i="46" s="1"/>
  <c r="S28" i="46" s="1"/>
  <c r="P27" i="46"/>
  <c r="L27" i="46"/>
  <c r="M27" i="46" s="1"/>
  <c r="P26" i="46"/>
  <c r="N26" i="46"/>
  <c r="M26" i="46"/>
  <c r="L26" i="46"/>
  <c r="R27" i="46" s="1"/>
  <c r="S26" i="46" s="1"/>
  <c r="P25" i="46"/>
  <c r="L25" i="46"/>
  <c r="M25" i="46" s="1"/>
  <c r="P24" i="46"/>
  <c r="N24" i="46"/>
  <c r="M24" i="46"/>
  <c r="L24" i="46"/>
  <c r="R25" i="46" s="1"/>
  <c r="S24" i="46" s="1"/>
  <c r="P23" i="46"/>
  <c r="O23" i="46"/>
  <c r="L23" i="46"/>
  <c r="M23" i="46" s="1"/>
  <c r="R22" i="46"/>
  <c r="Q22" i="46"/>
  <c r="P22" i="46"/>
  <c r="O22" i="46"/>
  <c r="N22" i="46"/>
  <c r="M22" i="46"/>
  <c r="L22" i="46"/>
  <c r="R23" i="46" s="1"/>
  <c r="S22" i="46" s="1"/>
  <c r="T22" i="46" s="1"/>
  <c r="S21" i="46"/>
  <c r="U21" i="46" s="1"/>
  <c r="U22" i="46" s="1"/>
  <c r="R21" i="46"/>
  <c r="Q21" i="46"/>
  <c r="P21" i="46"/>
  <c r="O21" i="46"/>
  <c r="N21" i="46"/>
  <c r="M21" i="46"/>
  <c r="L21" i="46"/>
  <c r="R12" i="46"/>
  <c r="Q12" i="46"/>
  <c r="Q31" i="46" s="1"/>
  <c r="Q32" i="46" s="1"/>
  <c r="Q33" i="46" s="1"/>
  <c r="Q34" i="46" s="1"/>
  <c r="Q35" i="46" s="1"/>
  <c r="Q36" i="46" s="1"/>
  <c r="Q37" i="46" s="1"/>
  <c r="N12" i="46"/>
  <c r="N31" i="46" s="1"/>
  <c r="N32" i="46" s="1"/>
  <c r="N33" i="46" s="1"/>
  <c r="N34" i="46" s="1"/>
  <c r="N35" i="46" s="1"/>
  <c r="N36" i="46" s="1"/>
  <c r="N37" i="46" s="1"/>
  <c r="N38" i="46" s="1"/>
  <c r="N39" i="46" s="1"/>
  <c r="N40" i="46" s="1"/>
  <c r="M12" i="46"/>
  <c r="R11" i="46"/>
  <c r="Q11" i="46"/>
  <c r="N11" i="46"/>
  <c r="M11" i="46"/>
  <c r="R10" i="46"/>
  <c r="Q10" i="46"/>
  <c r="Q29" i="46" s="1"/>
  <c r="N10" i="46"/>
  <c r="N29" i="46" s="1"/>
  <c r="M10" i="46"/>
  <c r="R9" i="46"/>
  <c r="S8" i="46" s="1"/>
  <c r="Q9" i="46"/>
  <c r="T15" i="46" s="1"/>
  <c r="N9" i="46"/>
  <c r="M9" i="46"/>
  <c r="R8" i="46"/>
  <c r="S7" i="46" s="1"/>
  <c r="Q8" i="46"/>
  <c r="Q27" i="46" s="1"/>
  <c r="N8" i="46"/>
  <c r="N27" i="46" s="1"/>
  <c r="M8" i="46"/>
  <c r="R7" i="46"/>
  <c r="S6" i="46" s="1"/>
  <c r="Q7" i="46"/>
  <c r="Q26" i="46" s="1"/>
  <c r="N7" i="46"/>
  <c r="M7" i="46"/>
  <c r="R6" i="46"/>
  <c r="S5" i="46" s="1"/>
  <c r="Q6" i="46"/>
  <c r="Q25" i="46" s="1"/>
  <c r="N6" i="46"/>
  <c r="N25" i="46" s="1"/>
  <c r="M6" i="46"/>
  <c r="R5" i="46"/>
  <c r="S4" i="46" s="1"/>
  <c r="T4" i="46" s="1"/>
  <c r="Q5" i="46"/>
  <c r="Q24" i="46" s="1"/>
  <c r="N5" i="46"/>
  <c r="M5" i="46"/>
  <c r="R4" i="46"/>
  <c r="Q4" i="46"/>
  <c r="Q23" i="46" s="1"/>
  <c r="O4" i="46"/>
  <c r="O5" i="46" s="1"/>
  <c r="N4" i="46"/>
  <c r="N23" i="46" s="1"/>
  <c r="M4" i="46"/>
  <c r="H4" i="46"/>
  <c r="S3" i="46"/>
  <c r="T3" i="46" s="1"/>
  <c r="R3" i="46"/>
  <c r="S2" i="46" s="1"/>
  <c r="U2" i="46" s="1"/>
  <c r="U3" i="46" s="1"/>
  <c r="U4" i="46" s="1"/>
  <c r="Q3" i="46"/>
  <c r="N3" i="46"/>
  <c r="T14" i="46" s="1"/>
  <c r="M3" i="46"/>
  <c r="M2" i="46"/>
  <c r="I2" i="46"/>
  <c r="P27" i="33"/>
  <c r="O27" i="33"/>
  <c r="L27" i="33"/>
  <c r="P26" i="33"/>
  <c r="O26" i="33"/>
  <c r="N26" i="33"/>
  <c r="M26" i="33"/>
  <c r="L26" i="33"/>
  <c r="P25" i="33"/>
  <c r="O25" i="33"/>
  <c r="N25" i="33"/>
  <c r="M25" i="33"/>
  <c r="L25" i="33"/>
  <c r="P24" i="33"/>
  <c r="O24" i="33"/>
  <c r="N24" i="33"/>
  <c r="M24" i="33"/>
  <c r="L24" i="33"/>
  <c r="P23" i="33"/>
  <c r="O23" i="33"/>
  <c r="N23" i="33"/>
  <c r="M23" i="33"/>
  <c r="L23" i="33"/>
  <c r="P22" i="33"/>
  <c r="O22" i="33"/>
  <c r="N22" i="33"/>
  <c r="M22" i="33"/>
  <c r="L22" i="33"/>
  <c r="P21" i="33"/>
  <c r="O21" i="33"/>
  <c r="M21" i="33"/>
  <c r="L21" i="33"/>
  <c r="P20" i="33"/>
  <c r="O20" i="33"/>
  <c r="M20" i="33"/>
  <c r="L20" i="33"/>
  <c r="P19" i="33"/>
  <c r="O19" i="33"/>
  <c r="N19" i="33"/>
  <c r="L19" i="33"/>
  <c r="P18" i="33"/>
  <c r="O18" i="33"/>
  <c r="M18" i="33"/>
  <c r="L18" i="33"/>
  <c r="P17" i="33"/>
  <c r="O17" i="33"/>
  <c r="M17" i="33"/>
  <c r="L17" i="33"/>
  <c r="P16" i="33"/>
  <c r="O16" i="33"/>
  <c r="L16" i="33"/>
  <c r="P15" i="33"/>
  <c r="O15" i="33"/>
  <c r="L15" i="33"/>
  <c r="P14" i="33"/>
  <c r="O14" i="33"/>
  <c r="L14" i="33"/>
  <c r="P13" i="33"/>
  <c r="O13" i="33"/>
  <c r="L13" i="33"/>
  <c r="P12" i="33"/>
  <c r="O12" i="33"/>
  <c r="L12" i="33"/>
  <c r="P11" i="33"/>
  <c r="O11" i="33"/>
  <c r="N11" i="33"/>
  <c r="L11" i="33"/>
  <c r="P10" i="33"/>
  <c r="O10" i="33"/>
  <c r="N10" i="33"/>
  <c r="L10" i="33"/>
  <c r="P9" i="33"/>
  <c r="O9" i="33"/>
  <c r="N9" i="33"/>
  <c r="L9" i="33"/>
  <c r="P8" i="33"/>
  <c r="O8" i="33"/>
  <c r="N8" i="33"/>
  <c r="L8" i="33"/>
  <c r="P7" i="33"/>
  <c r="O7" i="33"/>
  <c r="L7" i="33"/>
  <c r="G8" i="33" s="1"/>
  <c r="P6" i="33"/>
  <c r="O6" i="33"/>
  <c r="L6" i="33"/>
  <c r="P5" i="33"/>
  <c r="O5" i="33"/>
  <c r="N5" i="33"/>
  <c r="M5" i="33"/>
  <c r="L5" i="33"/>
  <c r="G6" i="33" s="1"/>
  <c r="P4" i="33"/>
  <c r="O4" i="33"/>
  <c r="N4" i="33"/>
  <c r="M4" i="33"/>
  <c r="L4" i="33"/>
  <c r="D11" i="19"/>
  <c r="C12" i="19" s="1"/>
  <c r="D12" i="19" s="1"/>
  <c r="D9" i="19"/>
  <c r="C10" i="19" s="1"/>
  <c r="D10" i="19" s="1"/>
  <c r="D8" i="19"/>
  <c r="D7" i="19"/>
  <c r="C8" i="19" s="1"/>
  <c r="G6" i="19"/>
  <c r="G7" i="19" s="1"/>
  <c r="G8" i="19" s="1"/>
  <c r="F6" i="19"/>
  <c r="F7" i="19" s="1"/>
  <c r="F8" i="19" s="1"/>
  <c r="E6" i="19"/>
  <c r="E7" i="19" s="1"/>
  <c r="E8" i="19" s="1"/>
  <c r="H5" i="19"/>
  <c r="H6" i="19" s="1"/>
  <c r="H7" i="19" s="1"/>
  <c r="H8" i="19" s="1"/>
  <c r="D5" i="19"/>
  <c r="C6" i="19" s="1"/>
  <c r="D6" i="19" s="1"/>
  <c r="L3" i="19"/>
  <c r="J8" i="42"/>
  <c r="M8" i="42" s="1"/>
  <c r="I8" i="42"/>
  <c r="I9" i="42" s="1"/>
  <c r="I7" i="42"/>
  <c r="C7" i="42"/>
  <c r="C8" i="42" s="1"/>
  <c r="J6" i="42"/>
  <c r="M6" i="42" s="1"/>
  <c r="C6" i="42"/>
  <c r="J7" i="42" s="1"/>
  <c r="M7" i="42" s="1"/>
  <c r="AA26" i="47"/>
  <c r="Z26" i="47"/>
  <c r="Y26" i="47"/>
  <c r="X26" i="47"/>
  <c r="W26" i="47"/>
  <c r="AA25" i="47"/>
  <c r="Z25" i="47"/>
  <c r="Y25" i="47"/>
  <c r="X25" i="47"/>
  <c r="W25" i="47"/>
  <c r="AA24" i="47"/>
  <c r="Z24" i="47"/>
  <c r="Y24" i="47"/>
  <c r="X24" i="47"/>
  <c r="W24" i="47"/>
  <c r="AA23" i="47"/>
  <c r="Z23" i="47"/>
  <c r="Y23" i="47"/>
  <c r="X23" i="47"/>
  <c r="W23" i="47"/>
  <c r="AA22" i="47"/>
  <c r="Z22" i="47"/>
  <c r="Y22" i="47"/>
  <c r="X22" i="47"/>
  <c r="W22" i="47"/>
  <c r="AA21" i="47"/>
  <c r="Z21" i="47"/>
  <c r="X21" i="47"/>
  <c r="W21" i="47"/>
  <c r="AA20" i="47"/>
  <c r="Z20" i="47"/>
  <c r="X20" i="47"/>
  <c r="W20" i="47"/>
  <c r="AA19" i="47"/>
  <c r="Z19" i="47"/>
  <c r="Y19" i="47"/>
  <c r="W19" i="47"/>
  <c r="AA18" i="47"/>
  <c r="Z18" i="47"/>
  <c r="X18" i="47"/>
  <c r="W18" i="47"/>
  <c r="AA17" i="47"/>
  <c r="Z17" i="47"/>
  <c r="X17" i="47"/>
  <c r="W17" i="47"/>
  <c r="AA16" i="47"/>
  <c r="Z16" i="47"/>
  <c r="W16" i="47"/>
  <c r="AA15" i="47"/>
  <c r="Z15" i="47"/>
  <c r="W15" i="47"/>
  <c r="AA14" i="47"/>
  <c r="Z14" i="47"/>
  <c r="W14" i="47"/>
  <c r="AA13" i="47"/>
  <c r="Z13" i="47"/>
  <c r="W13" i="47"/>
  <c r="AA12" i="47"/>
  <c r="Z12" i="47"/>
  <c r="W12" i="47"/>
  <c r="AA11" i="47"/>
  <c r="Z11" i="47"/>
  <c r="Y11" i="47"/>
  <c r="W11" i="47"/>
  <c r="AA10" i="47"/>
  <c r="Z10" i="47"/>
  <c r="Y10" i="47"/>
  <c r="W10" i="47"/>
  <c r="AA9" i="47"/>
  <c r="Z9" i="47"/>
  <c r="Y9" i="47"/>
  <c r="W9" i="47"/>
  <c r="AA8" i="47"/>
  <c r="Z8" i="47"/>
  <c r="Y8" i="47"/>
  <c r="W8" i="47"/>
  <c r="AA7" i="47"/>
  <c r="Z7" i="47"/>
  <c r="W7" i="47"/>
  <c r="Q7" i="47"/>
  <c r="AA6" i="47"/>
  <c r="Z6" i="47"/>
  <c r="W6" i="47"/>
  <c r="AA5" i="47"/>
  <c r="Z5" i="47"/>
  <c r="Y5" i="47"/>
  <c r="X5" i="47"/>
  <c r="W5" i="47"/>
  <c r="M5" i="47"/>
  <c r="H5" i="47"/>
  <c r="AA4" i="47"/>
  <c r="Z4" i="47"/>
  <c r="Y4" i="47"/>
  <c r="X4" i="47"/>
  <c r="W4" i="47"/>
  <c r="G19" i="30"/>
  <c r="C19" i="30"/>
  <c r="B19" i="30"/>
  <c r="C18" i="30"/>
  <c r="B18" i="30"/>
  <c r="G18" i="30" s="1"/>
  <c r="C17" i="30"/>
  <c r="B17" i="30"/>
  <c r="G17" i="30" s="1"/>
  <c r="C16" i="30"/>
  <c r="G16" i="30" s="1"/>
  <c r="B16" i="30"/>
  <c r="C15" i="30"/>
  <c r="G15" i="30" s="1"/>
  <c r="B15" i="30"/>
  <c r="C14" i="30"/>
  <c r="G14" i="30" s="1"/>
  <c r="B14" i="30"/>
  <c r="C13" i="30"/>
  <c r="G13" i="30" s="1"/>
  <c r="B13" i="30"/>
  <c r="G12" i="30"/>
  <c r="C12" i="30"/>
  <c r="B12" i="30"/>
  <c r="G11" i="30"/>
  <c r="C11" i="30"/>
  <c r="B11" i="30"/>
  <c r="C10" i="30"/>
  <c r="B10" i="30"/>
  <c r="G10" i="30" s="1"/>
  <c r="C9" i="30"/>
  <c r="B9" i="30"/>
  <c r="G9" i="30" s="1"/>
  <c r="C8" i="30"/>
  <c r="G8" i="30" s="1"/>
  <c r="B8" i="30"/>
  <c r="C7" i="30"/>
  <c r="G7" i="30" s="1"/>
  <c r="G4" i="30" s="1"/>
  <c r="B7" i="30"/>
  <c r="C6" i="30"/>
  <c r="G6" i="30" s="1"/>
  <c r="B6" i="30"/>
  <c r="C5" i="30"/>
  <c r="G5" i="30" s="1"/>
  <c r="B5" i="30"/>
  <c r="C30" i="32"/>
  <c r="C21" i="32"/>
  <c r="C12" i="32"/>
  <c r="P5" i="34"/>
  <c r="O5" i="34"/>
  <c r="N5" i="34"/>
  <c r="M5" i="34"/>
  <c r="L5" i="34"/>
  <c r="K5" i="34"/>
  <c r="J5" i="34"/>
  <c r="I5" i="34"/>
  <c r="H5" i="34"/>
  <c r="G5" i="34"/>
  <c r="F5" i="34"/>
  <c r="E5" i="34"/>
  <c r="E33" i="26"/>
  <c r="Q38" i="9"/>
  <c r="Q37" i="9"/>
  <c r="Q36" i="9"/>
  <c r="Q35" i="9"/>
  <c r="V27" i="9"/>
  <c r="U27" i="9"/>
  <c r="R27" i="9"/>
  <c r="V26" i="9"/>
  <c r="U26" i="9"/>
  <c r="T26" i="9"/>
  <c r="S26" i="9"/>
  <c r="R26" i="9"/>
  <c r="V25" i="9"/>
  <c r="U25" i="9"/>
  <c r="T25" i="9"/>
  <c r="S25" i="9"/>
  <c r="R25" i="9"/>
  <c r="V24" i="9"/>
  <c r="U24" i="9"/>
  <c r="T24" i="9"/>
  <c r="S24" i="9"/>
  <c r="R24" i="9"/>
  <c r="V23" i="9"/>
  <c r="U23" i="9"/>
  <c r="T23" i="9"/>
  <c r="S23" i="9"/>
  <c r="R23" i="9"/>
  <c r="V22" i="9"/>
  <c r="U22" i="9"/>
  <c r="T22" i="9"/>
  <c r="S22" i="9"/>
  <c r="R22" i="9"/>
  <c r="V21" i="9"/>
  <c r="U21" i="9"/>
  <c r="S21" i="9"/>
  <c r="R21" i="9"/>
  <c r="V20" i="9"/>
  <c r="U20" i="9"/>
  <c r="S20" i="9"/>
  <c r="R20" i="9"/>
  <c r="V19" i="9"/>
  <c r="U19" i="9"/>
  <c r="T19" i="9"/>
  <c r="R19" i="9"/>
  <c r="V18" i="9"/>
  <c r="U18" i="9"/>
  <c r="S18" i="9"/>
  <c r="R18" i="9"/>
  <c r="M18" i="9"/>
  <c r="L18" i="9"/>
  <c r="V17" i="9"/>
  <c r="U17" i="9"/>
  <c r="S17" i="9"/>
  <c r="R17" i="9"/>
  <c r="M17" i="9"/>
  <c r="K17" i="9"/>
  <c r="V16" i="9"/>
  <c r="U16" i="9"/>
  <c r="R16" i="9"/>
  <c r="M16" i="9"/>
  <c r="V15" i="9"/>
  <c r="U15" i="9"/>
  <c r="R15" i="9"/>
  <c r="M15" i="9"/>
  <c r="V14" i="9"/>
  <c r="U14" i="9"/>
  <c r="R14" i="9"/>
  <c r="M14" i="9"/>
  <c r="K14" i="9"/>
  <c r="V13" i="9"/>
  <c r="U13" i="9"/>
  <c r="R13" i="9"/>
  <c r="M13" i="9"/>
  <c r="K13" i="9"/>
  <c r="V12" i="9"/>
  <c r="U12" i="9"/>
  <c r="R12" i="9"/>
  <c r="M12" i="9"/>
  <c r="V11" i="9"/>
  <c r="U11" i="9"/>
  <c r="T11" i="9"/>
  <c r="R11" i="9"/>
  <c r="I11" i="9"/>
  <c r="N11" i="9" s="1"/>
  <c r="V10" i="9"/>
  <c r="U10" i="9"/>
  <c r="T10" i="9"/>
  <c r="R10" i="9"/>
  <c r="I10" i="9"/>
  <c r="N10" i="9" s="1"/>
  <c r="V9" i="9"/>
  <c r="U9" i="9"/>
  <c r="T9" i="9"/>
  <c r="R9" i="9"/>
  <c r="N9" i="9"/>
  <c r="I9" i="9"/>
  <c r="V8" i="9"/>
  <c r="U8" i="9"/>
  <c r="T8" i="9"/>
  <c r="R8" i="9"/>
  <c r="Q8" i="9"/>
  <c r="L8" i="9"/>
  <c r="I8" i="9"/>
  <c r="N8" i="9" s="1"/>
  <c r="V7" i="9"/>
  <c r="U7" i="9"/>
  <c r="R7" i="9"/>
  <c r="Q7" i="9"/>
  <c r="I7" i="9"/>
  <c r="N7" i="9" s="1"/>
  <c r="V6" i="9"/>
  <c r="U6" i="9"/>
  <c r="R6" i="9"/>
  <c r="Q6" i="9"/>
  <c r="K6" i="9"/>
  <c r="I6" i="9"/>
  <c r="N6" i="9" s="1"/>
  <c r="V5" i="9"/>
  <c r="U5" i="9"/>
  <c r="T5" i="9"/>
  <c r="S5" i="9"/>
  <c r="R5" i="9"/>
  <c r="Q5" i="9"/>
  <c r="N5" i="9"/>
  <c r="G5" i="9"/>
  <c r="V4" i="9"/>
  <c r="U4" i="9"/>
  <c r="T4" i="9"/>
  <c r="S4" i="9"/>
  <c r="R4" i="9"/>
  <c r="L16" i="9" s="1"/>
  <c r="P4" i="9"/>
  <c r="O2" i="9"/>
  <c r="N40" i="24"/>
  <c r="G40" i="24"/>
  <c r="G39" i="24"/>
  <c r="G35" i="24"/>
  <c r="G34" i="24"/>
  <c r="AA30" i="24"/>
  <c r="Z30" i="24"/>
  <c r="X30" i="24"/>
  <c r="Y30" i="24" s="1"/>
  <c r="W30" i="24"/>
  <c r="G30" i="24"/>
  <c r="AA29" i="24"/>
  <c r="Z29" i="24"/>
  <c r="W29" i="24"/>
  <c r="G29" i="24"/>
  <c r="AA28" i="24"/>
  <c r="Z28" i="24"/>
  <c r="W28" i="24"/>
  <c r="AA27" i="24"/>
  <c r="Z27" i="24"/>
  <c r="W27" i="24"/>
  <c r="AA26" i="24"/>
  <c r="Z26" i="24"/>
  <c r="Y26" i="24"/>
  <c r="X26" i="24"/>
  <c r="W26" i="24"/>
  <c r="AA25" i="24"/>
  <c r="Z25" i="24"/>
  <c r="Y25" i="24"/>
  <c r="X25" i="24"/>
  <c r="W25" i="24"/>
  <c r="AA24" i="24"/>
  <c r="Z24" i="24"/>
  <c r="Y24" i="24"/>
  <c r="X24" i="24"/>
  <c r="W24" i="24"/>
  <c r="AA23" i="24"/>
  <c r="Z23" i="24"/>
  <c r="Y23" i="24"/>
  <c r="X23" i="24"/>
  <c r="W23" i="24"/>
  <c r="G23" i="24"/>
  <c r="AA22" i="24"/>
  <c r="Z22" i="24"/>
  <c r="Y22" i="24"/>
  <c r="X22" i="24"/>
  <c r="W22" i="24"/>
  <c r="G22" i="24"/>
  <c r="AK21" i="24"/>
  <c r="AN21" i="24" s="1"/>
  <c r="AA21" i="24"/>
  <c r="Z21" i="24"/>
  <c r="X21" i="24"/>
  <c r="W21" i="24"/>
  <c r="G21" i="24"/>
  <c r="AA20" i="24"/>
  <c r="Z20" i="24"/>
  <c r="X20" i="24"/>
  <c r="W20" i="24"/>
  <c r="AA19" i="24"/>
  <c r="Z19" i="24"/>
  <c r="Y19" i="24"/>
  <c r="X19" i="24"/>
  <c r="W19" i="24"/>
  <c r="AA18" i="24"/>
  <c r="Z18" i="24"/>
  <c r="X18" i="24"/>
  <c r="W18" i="24"/>
  <c r="AA17" i="24"/>
  <c r="Z17" i="24"/>
  <c r="X17" i="24"/>
  <c r="W17" i="24"/>
  <c r="AA16" i="24"/>
  <c r="Z16" i="24"/>
  <c r="W16" i="24"/>
  <c r="AA15" i="24"/>
  <c r="Z15" i="24"/>
  <c r="W15" i="24"/>
  <c r="G15" i="24"/>
  <c r="AA14" i="24"/>
  <c r="Z14" i="24"/>
  <c r="X14" i="24"/>
  <c r="Y14" i="24" s="1"/>
  <c r="W14" i="24"/>
  <c r="G14" i="24"/>
  <c r="AA13" i="24"/>
  <c r="Z13" i="24"/>
  <c r="W13" i="24"/>
  <c r="G13" i="24"/>
  <c r="AK12" i="24"/>
  <c r="AN12" i="24" s="1"/>
  <c r="AA12" i="24"/>
  <c r="Z12" i="24"/>
  <c r="X12" i="24"/>
  <c r="X7" i="24" s="1"/>
  <c r="W12" i="24"/>
  <c r="AN11" i="24"/>
  <c r="AA11" i="24"/>
  <c r="Z11" i="24"/>
  <c r="Y11" i="24"/>
  <c r="W11" i="24"/>
  <c r="AN10" i="24"/>
  <c r="AA10" i="24"/>
  <c r="Z10" i="24"/>
  <c r="Y10" i="24"/>
  <c r="W10" i="24"/>
  <c r="AN9" i="24"/>
  <c r="AA9" i="24"/>
  <c r="Z9" i="24"/>
  <c r="Y9" i="24"/>
  <c r="X9" i="24"/>
  <c r="W9" i="24"/>
  <c r="AN8" i="24"/>
  <c r="AA8" i="24"/>
  <c r="Z8" i="24"/>
  <c r="Y8" i="24"/>
  <c r="W8" i="24"/>
  <c r="AK7" i="24"/>
  <c r="AA7" i="24"/>
  <c r="Z7" i="24"/>
  <c r="W7" i="24"/>
  <c r="G7" i="24"/>
  <c r="AN6" i="24"/>
  <c r="AA6" i="24"/>
  <c r="Z6" i="24"/>
  <c r="W6" i="24"/>
  <c r="G6" i="24"/>
  <c r="AA5" i="24"/>
  <c r="Z5" i="24"/>
  <c r="Y5" i="24"/>
  <c r="Y12" i="24" s="1"/>
  <c r="X5" i="24"/>
  <c r="W5" i="24"/>
  <c r="R5" i="24"/>
  <c r="G5" i="24"/>
  <c r="AA4" i="24"/>
  <c r="Z4" i="24"/>
  <c r="Y4" i="24"/>
  <c r="X4" i="24"/>
  <c r="W4" i="24"/>
  <c r="R88" i="25"/>
  <c r="R87" i="25"/>
  <c r="R86" i="25"/>
  <c r="R85" i="25"/>
  <c r="R84" i="25"/>
  <c r="R83" i="25"/>
  <c r="R82" i="25"/>
  <c r="R81" i="25"/>
  <c r="R80" i="25"/>
  <c r="R79" i="25"/>
  <c r="R78" i="25"/>
  <c r="R77" i="25"/>
  <c r="R76" i="25"/>
  <c r="R75" i="25"/>
  <c r="R74" i="25"/>
  <c r="R63" i="25"/>
  <c r="R62" i="25"/>
  <c r="R61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5" i="25"/>
  <c r="R44" i="25"/>
  <c r="R43" i="25"/>
  <c r="R42" i="25"/>
  <c r="R41" i="25"/>
  <c r="R40" i="25"/>
  <c r="R39" i="25"/>
  <c r="Q38" i="25"/>
  <c r="Q37" i="25"/>
  <c r="Q36" i="25"/>
  <c r="Q35" i="25"/>
  <c r="Q34" i="25"/>
  <c r="Q33" i="25"/>
  <c r="I33" i="25"/>
  <c r="AE32" i="25"/>
  <c r="AD32" i="25"/>
  <c r="AC32" i="25"/>
  <c r="AB32" i="25"/>
  <c r="AA32" i="25"/>
  <c r="Z32" i="25"/>
  <c r="Q32" i="25"/>
  <c r="K32" i="25"/>
  <c r="AE31" i="25"/>
  <c r="AD31" i="25"/>
  <c r="AC31" i="25"/>
  <c r="AB31" i="25"/>
  <c r="AA31" i="25"/>
  <c r="Z31" i="25"/>
  <c r="Q31" i="25"/>
  <c r="AE30" i="25"/>
  <c r="AD30" i="25"/>
  <c r="AC30" i="25"/>
  <c r="Z30" i="25"/>
  <c r="Q30" i="25"/>
  <c r="AE29" i="25"/>
  <c r="AD29" i="25"/>
  <c r="AC29" i="25"/>
  <c r="Z29" i="25"/>
  <c r="Q29" i="25"/>
  <c r="AE28" i="25"/>
  <c r="AD28" i="25"/>
  <c r="AC28" i="25"/>
  <c r="Z28" i="25"/>
  <c r="I28" i="25"/>
  <c r="Q28" i="25" s="1"/>
  <c r="AE27" i="25"/>
  <c r="AD27" i="25"/>
  <c r="AC27" i="25"/>
  <c r="Z27" i="25"/>
  <c r="K27" i="25"/>
  <c r="Q27" i="25" s="1"/>
  <c r="AE26" i="25"/>
  <c r="AD26" i="25"/>
  <c r="AC26" i="25"/>
  <c r="AB26" i="25"/>
  <c r="AA26" i="25"/>
  <c r="Z26" i="25"/>
  <c r="Q26" i="25"/>
  <c r="AE25" i="25"/>
  <c r="AD25" i="25"/>
  <c r="AC25" i="25"/>
  <c r="AB25" i="25"/>
  <c r="AA25" i="25"/>
  <c r="Z25" i="25"/>
  <c r="Q25" i="25"/>
  <c r="AE24" i="25"/>
  <c r="AD24" i="25"/>
  <c r="AC24" i="25"/>
  <c r="AB24" i="25"/>
  <c r="AA24" i="25"/>
  <c r="Z24" i="25"/>
  <c r="Q24" i="25"/>
  <c r="AE23" i="25"/>
  <c r="AD23" i="25"/>
  <c r="AC23" i="25"/>
  <c r="AB23" i="25"/>
  <c r="AA23" i="25"/>
  <c r="Z23" i="25"/>
  <c r="Y23" i="25"/>
  <c r="Q23" i="25"/>
  <c r="I23" i="25"/>
  <c r="AE22" i="25"/>
  <c r="AD22" i="25"/>
  <c r="AC22" i="25"/>
  <c r="AB22" i="25"/>
  <c r="AA22" i="25"/>
  <c r="Z22" i="25"/>
  <c r="Y22" i="25"/>
  <c r="K22" i="25"/>
  <c r="Q22" i="25" s="1"/>
  <c r="AE21" i="25"/>
  <c r="AD21" i="25"/>
  <c r="AC21" i="25"/>
  <c r="AA21" i="25"/>
  <c r="Z21" i="25"/>
  <c r="Y21" i="25"/>
  <c r="Q21" i="25"/>
  <c r="AE20" i="25"/>
  <c r="AD20" i="25"/>
  <c r="AC20" i="25"/>
  <c r="AA20" i="25"/>
  <c r="Z20" i="25"/>
  <c r="Y20" i="25"/>
  <c r="Q20" i="25"/>
  <c r="AE19" i="25"/>
  <c r="AD19" i="25"/>
  <c r="AC19" i="25"/>
  <c r="AB19" i="25"/>
  <c r="Z19" i="25"/>
  <c r="Q19" i="25"/>
  <c r="AE18" i="25"/>
  <c r="AD18" i="25"/>
  <c r="AC18" i="25"/>
  <c r="AA18" i="25"/>
  <c r="Z18" i="25"/>
  <c r="Q18" i="25"/>
  <c r="AE17" i="25"/>
  <c r="AD17" i="25"/>
  <c r="AC17" i="25"/>
  <c r="AA17" i="25"/>
  <c r="Z17" i="25"/>
  <c r="Q17" i="25"/>
  <c r="AE16" i="25"/>
  <c r="AD16" i="25"/>
  <c r="AC16" i="25"/>
  <c r="Z16" i="25"/>
  <c r="Q16" i="25"/>
  <c r="AE15" i="25"/>
  <c r="AD15" i="25"/>
  <c r="AC15" i="25"/>
  <c r="Z15" i="25"/>
  <c r="Q15" i="25"/>
  <c r="G15" i="25"/>
  <c r="AE14" i="25"/>
  <c r="AD14" i="25"/>
  <c r="AC14" i="25"/>
  <c r="Z14" i="25"/>
  <c r="Q14" i="25"/>
  <c r="AE13" i="25"/>
  <c r="AD13" i="25"/>
  <c r="AC13" i="25"/>
  <c r="Z13" i="25"/>
  <c r="Q13" i="25"/>
  <c r="AE12" i="25"/>
  <c r="AD12" i="25"/>
  <c r="AC12" i="25"/>
  <c r="Z12" i="25"/>
  <c r="Q12" i="25"/>
  <c r="AE11" i="25"/>
  <c r="AD11" i="25"/>
  <c r="AC11" i="25"/>
  <c r="AB11" i="25"/>
  <c r="Z11" i="25"/>
  <c r="Q11" i="25"/>
  <c r="AE10" i="25"/>
  <c r="AD10" i="25"/>
  <c r="AC10" i="25"/>
  <c r="AB10" i="25"/>
  <c r="Z10" i="25"/>
  <c r="Q10" i="25"/>
  <c r="AE9" i="25"/>
  <c r="AD9" i="25"/>
  <c r="AC9" i="25"/>
  <c r="AB9" i="25"/>
  <c r="Z9" i="25"/>
  <c r="Q9" i="25"/>
  <c r="AE8" i="25"/>
  <c r="AD8" i="25"/>
  <c r="AC8" i="25"/>
  <c r="AB8" i="25"/>
  <c r="Z8" i="25"/>
  <c r="Q8" i="25"/>
  <c r="AE7" i="25"/>
  <c r="AD7" i="25"/>
  <c r="AC7" i="25"/>
  <c r="Z7" i="25"/>
  <c r="Q7" i="25"/>
  <c r="AE6" i="25"/>
  <c r="AD6" i="25"/>
  <c r="AC6" i="25"/>
  <c r="Z6" i="25"/>
  <c r="Q6" i="25"/>
  <c r="AE5" i="25"/>
  <c r="AD5" i="25"/>
  <c r="AC5" i="25"/>
  <c r="AB5" i="25"/>
  <c r="AA5" i="25"/>
  <c r="Z5" i="25"/>
  <c r="Q5" i="25"/>
  <c r="AE4" i="25"/>
  <c r="AD4" i="25"/>
  <c r="AC4" i="25"/>
  <c r="AB4" i="25"/>
  <c r="AA4" i="25"/>
  <c r="Z4" i="25"/>
  <c r="DB84" i="31"/>
  <c r="DA84" i="31"/>
  <c r="CZ84" i="31"/>
  <c r="CY84" i="31"/>
  <c r="CW84" i="31"/>
  <c r="CV84" i="31"/>
  <c r="DB83" i="31"/>
  <c r="DA83" i="31"/>
  <c r="CY83" i="31"/>
  <c r="CZ83" i="31" s="1"/>
  <c r="CW83" i="31"/>
  <c r="CV83" i="31"/>
  <c r="DB82" i="31"/>
  <c r="CY82" i="31"/>
  <c r="DA82" i="31" s="1"/>
  <c r="CW82" i="31"/>
  <c r="CV82" i="31"/>
  <c r="BR12" i="31" s="1"/>
  <c r="DB81" i="31"/>
  <c r="CY81" i="31"/>
  <c r="CW81" i="31"/>
  <c r="CV81" i="31"/>
  <c r="DB80" i="31"/>
  <c r="CZ80" i="31"/>
  <c r="CY80" i="31"/>
  <c r="DA80" i="31" s="1"/>
  <c r="CW80" i="31"/>
  <c r="CV80" i="31"/>
  <c r="DB79" i="31"/>
  <c r="DA79" i="31"/>
  <c r="CZ79" i="31"/>
  <c r="CY79" i="31"/>
  <c r="CW79" i="31"/>
  <c r="CV79" i="31"/>
  <c r="DB78" i="31"/>
  <c r="DA78" i="31"/>
  <c r="CY78" i="31"/>
  <c r="CW78" i="31"/>
  <c r="CV78" i="31"/>
  <c r="DB77" i="31"/>
  <c r="CY77" i="31"/>
  <c r="CW77" i="31"/>
  <c r="CV77" i="31"/>
  <c r="DB76" i="31"/>
  <c r="DA76" i="31"/>
  <c r="CZ76" i="31"/>
  <c r="CY76" i="31"/>
  <c r="CW76" i="31"/>
  <c r="CV76" i="31"/>
  <c r="DB75" i="31"/>
  <c r="DA75" i="31"/>
  <c r="CY75" i="31"/>
  <c r="CZ75" i="31" s="1"/>
  <c r="CW75" i="31"/>
  <c r="CV75" i="31"/>
  <c r="CT75" i="31"/>
  <c r="DB74" i="31"/>
  <c r="CY74" i="31"/>
  <c r="CW74" i="31"/>
  <c r="CV74" i="31"/>
  <c r="DB73" i="31"/>
  <c r="CZ73" i="31"/>
  <c r="CY73" i="31"/>
  <c r="DA73" i="31" s="1"/>
  <c r="CW73" i="31"/>
  <c r="CV73" i="31"/>
  <c r="DB72" i="31"/>
  <c r="DA72" i="31"/>
  <c r="CZ72" i="31"/>
  <c r="CY72" i="31"/>
  <c r="CW72" i="31"/>
  <c r="CV72" i="31"/>
  <c r="DB71" i="31"/>
  <c r="CY71" i="31"/>
  <c r="CW71" i="31"/>
  <c r="CV71" i="31"/>
  <c r="DB70" i="31"/>
  <c r="CY70" i="31"/>
  <c r="CW70" i="31"/>
  <c r="CV70" i="31"/>
  <c r="DB69" i="31"/>
  <c r="DA69" i="31"/>
  <c r="CZ69" i="31"/>
  <c r="CY69" i="31"/>
  <c r="CW69" i="31"/>
  <c r="CV69" i="31"/>
  <c r="DB68" i="31"/>
  <c r="DA68" i="31"/>
  <c r="CY68" i="31"/>
  <c r="CZ68" i="31" s="1"/>
  <c r="CW68" i="31"/>
  <c r="CV68" i="31"/>
  <c r="DB67" i="31"/>
  <c r="CY67" i="31"/>
  <c r="DA67" i="31" s="1"/>
  <c r="CW67" i="31"/>
  <c r="CV67" i="31"/>
  <c r="DB66" i="31"/>
  <c r="CY66" i="31"/>
  <c r="CW66" i="31"/>
  <c r="CV66" i="31"/>
  <c r="DB65" i="31"/>
  <c r="CY65" i="31"/>
  <c r="CW65" i="31"/>
  <c r="CV65" i="31"/>
  <c r="DB64" i="31"/>
  <c r="CY64" i="31"/>
  <c r="CW64" i="31"/>
  <c r="CV64" i="31"/>
  <c r="DB63" i="31"/>
  <c r="CZ63" i="31"/>
  <c r="CY63" i="31"/>
  <c r="CW63" i="31"/>
  <c r="CV63" i="31"/>
  <c r="DB62" i="31"/>
  <c r="DA62" i="31"/>
  <c r="CZ62" i="31"/>
  <c r="CY62" i="31"/>
  <c r="CW62" i="31"/>
  <c r="CV62" i="31"/>
  <c r="DB61" i="31"/>
  <c r="DA61" i="31"/>
  <c r="CY61" i="31"/>
  <c r="CZ61" i="31" s="1"/>
  <c r="CW61" i="31"/>
  <c r="CV61" i="31"/>
  <c r="DB60" i="31"/>
  <c r="CY60" i="31"/>
  <c r="CW60" i="31"/>
  <c r="CV60" i="31"/>
  <c r="DB59" i="31"/>
  <c r="CY59" i="31"/>
  <c r="CW59" i="31"/>
  <c r="CV59" i="31"/>
  <c r="DB58" i="31"/>
  <c r="CY58" i="31"/>
  <c r="CW58" i="31"/>
  <c r="CV58" i="31"/>
  <c r="DB57" i="31"/>
  <c r="DA57" i="31"/>
  <c r="CZ57" i="31"/>
  <c r="CY57" i="31"/>
  <c r="CW57" i="31"/>
  <c r="CV57" i="31"/>
  <c r="DB56" i="31"/>
  <c r="CY56" i="31"/>
  <c r="CZ56" i="31" s="1"/>
  <c r="CW56" i="31"/>
  <c r="CV56" i="31"/>
  <c r="DB55" i="31"/>
  <c r="CY55" i="31"/>
  <c r="DA55" i="31" s="1"/>
  <c r="CW55" i="31"/>
  <c r="CV55" i="31"/>
  <c r="G10" i="31" s="1"/>
  <c r="CT55" i="31"/>
  <c r="DB54" i="31"/>
  <c r="CY54" i="31"/>
  <c r="CZ54" i="31" s="1"/>
  <c r="CW54" i="31"/>
  <c r="CV54" i="31"/>
  <c r="DB53" i="31"/>
  <c r="CY53" i="31"/>
  <c r="CW53" i="31"/>
  <c r="CV53" i="31"/>
  <c r="DB52" i="31"/>
  <c r="DA52" i="31"/>
  <c r="CY52" i="31"/>
  <c r="CZ52" i="31" s="1"/>
  <c r="BS9" i="31" s="1"/>
  <c r="CW52" i="31"/>
  <c r="CV52" i="31"/>
  <c r="DB51" i="31"/>
  <c r="CY51" i="31"/>
  <c r="DA51" i="31" s="1"/>
  <c r="CW51" i="31"/>
  <c r="CV51" i="31"/>
  <c r="DB50" i="31"/>
  <c r="DA50" i="31"/>
  <c r="CZ50" i="31"/>
  <c r="CY50" i="31"/>
  <c r="CW50" i="31"/>
  <c r="CV50" i="31"/>
  <c r="DB49" i="31"/>
  <c r="CY49" i="31"/>
  <c r="CW49" i="31"/>
  <c r="CV49" i="31"/>
  <c r="DB48" i="31"/>
  <c r="CY48" i="31"/>
  <c r="CW48" i="31"/>
  <c r="CV48" i="31"/>
  <c r="DB47" i="31"/>
  <c r="DA47" i="31"/>
  <c r="CZ47" i="31"/>
  <c r="CY47" i="31"/>
  <c r="CW47" i="31"/>
  <c r="CV47" i="31"/>
  <c r="DB46" i="31"/>
  <c r="DA46" i="31"/>
  <c r="CZ46" i="31"/>
  <c r="Q9" i="31" s="1"/>
  <c r="CY46" i="31"/>
  <c r="CW46" i="31"/>
  <c r="CV46" i="31"/>
  <c r="DB45" i="31"/>
  <c r="CY45" i="31"/>
  <c r="DA45" i="31" s="1"/>
  <c r="CW45" i="31"/>
  <c r="CV45" i="31"/>
  <c r="DB44" i="31"/>
  <c r="CY44" i="31"/>
  <c r="CW44" i="31"/>
  <c r="CV44" i="31"/>
  <c r="DB43" i="31"/>
  <c r="CZ43" i="31"/>
  <c r="CY43" i="31"/>
  <c r="CW43" i="31"/>
  <c r="CV43" i="31"/>
  <c r="DB42" i="31"/>
  <c r="DA42" i="31"/>
  <c r="BS8" i="31" s="1"/>
  <c r="CZ42" i="31"/>
  <c r="CY42" i="31"/>
  <c r="CW42" i="31"/>
  <c r="CV42" i="31"/>
  <c r="DB41" i="31"/>
  <c r="DA41" i="31"/>
  <c r="CZ41" i="31"/>
  <c r="CY41" i="31"/>
  <c r="CW41" i="31"/>
  <c r="CV41" i="31"/>
  <c r="DB40" i="31"/>
  <c r="DA40" i="31"/>
  <c r="CY40" i="31"/>
  <c r="CZ40" i="31" s="1"/>
  <c r="BA8" i="31" s="1"/>
  <c r="CW40" i="31"/>
  <c r="CV40" i="31"/>
  <c r="AZ8" i="31" s="1"/>
  <c r="DB39" i="31"/>
  <c r="CY39" i="31"/>
  <c r="DA39" i="31" s="1"/>
  <c r="CW39" i="31"/>
  <c r="CV39" i="31"/>
  <c r="DB38" i="31"/>
  <c r="CY38" i="31"/>
  <c r="CW38" i="31"/>
  <c r="CV38" i="31"/>
  <c r="DB37" i="31"/>
  <c r="DA37" i="31"/>
  <c r="CZ37" i="31"/>
  <c r="CY37" i="31"/>
  <c r="CW37" i="31"/>
  <c r="CV37" i="31"/>
  <c r="DB36" i="31"/>
  <c r="DA36" i="31"/>
  <c r="CY36" i="31"/>
  <c r="CW36" i="31"/>
  <c r="CV36" i="31"/>
  <c r="DB35" i="31"/>
  <c r="CY35" i="31"/>
  <c r="CZ35" i="31" s="1"/>
  <c r="CW35" i="31"/>
  <c r="CV35" i="31"/>
  <c r="G8" i="31" s="1"/>
  <c r="DA34" i="31"/>
  <c r="CK7" i="31" s="1"/>
  <c r="CZ34" i="31"/>
  <c r="CY34" i="31"/>
  <c r="CW34" i="31"/>
  <c r="CV34" i="31"/>
  <c r="DA33" i="31"/>
  <c r="CZ33" i="31"/>
  <c r="CY33" i="31"/>
  <c r="CW33" i="31"/>
  <c r="CV33" i="31"/>
  <c r="DA32" i="31"/>
  <c r="CZ32" i="31"/>
  <c r="CY32" i="31"/>
  <c r="CW32" i="31"/>
  <c r="CV32" i="31"/>
  <c r="DA31" i="31"/>
  <c r="CZ31" i="31"/>
  <c r="CY31" i="31"/>
  <c r="CW31" i="31"/>
  <c r="CV31" i="31"/>
  <c r="DP30" i="31"/>
  <c r="AB30" i="25" s="1"/>
  <c r="CY30" i="31"/>
  <c r="CW30" i="31"/>
  <c r="CV30" i="31"/>
  <c r="DA29" i="31"/>
  <c r="CY29" i="31"/>
  <c r="CW29" i="31"/>
  <c r="CV29" i="31"/>
  <c r="DB28" i="31"/>
  <c r="AI7" i="31" s="1"/>
  <c r="DA28" i="31"/>
  <c r="CZ28" i="31"/>
  <c r="CY28" i="31"/>
  <c r="CW28" i="31"/>
  <c r="CV28" i="31"/>
  <c r="DD27" i="31"/>
  <c r="DB27" i="31"/>
  <c r="CZ27" i="31"/>
  <c r="Z7" i="31" s="1"/>
  <c r="CY27" i="31"/>
  <c r="DA27" i="31" s="1"/>
  <c r="CW27" i="31"/>
  <c r="CV27" i="31"/>
  <c r="DB26" i="31"/>
  <c r="DA26" i="31"/>
  <c r="CZ26" i="31"/>
  <c r="Q7" i="31" s="1"/>
  <c r="CY26" i="31"/>
  <c r="CW26" i="31"/>
  <c r="CV26" i="31"/>
  <c r="DW25" i="31"/>
  <c r="DB25" i="31"/>
  <c r="CY25" i="31"/>
  <c r="CZ25" i="31" s="1"/>
  <c r="CW25" i="31"/>
  <c r="CV25" i="31"/>
  <c r="G7" i="31" s="1"/>
  <c r="DB24" i="31"/>
  <c r="DA24" i="31"/>
  <c r="CZ24" i="31"/>
  <c r="CY24" i="31"/>
  <c r="CW24" i="31"/>
  <c r="CV24" i="31"/>
  <c r="DB23" i="31"/>
  <c r="DA23" i="31"/>
  <c r="CY23" i="31"/>
  <c r="CZ23" i="31" s="1"/>
  <c r="CB6" i="31" s="1"/>
  <c r="CW23" i="31"/>
  <c r="CV23" i="31"/>
  <c r="DB22" i="31"/>
  <c r="CY22" i="31"/>
  <c r="CW22" i="31"/>
  <c r="CV22" i="31"/>
  <c r="DP21" i="31"/>
  <c r="DE21" i="31"/>
  <c r="BL6" i="31" s="1"/>
  <c r="DB21" i="31"/>
  <c r="DA21" i="31"/>
  <c r="CZ21" i="31"/>
  <c r="CY21" i="31"/>
  <c r="CW21" i="31"/>
  <c r="CV21" i="31"/>
  <c r="BI6" i="31" s="1"/>
  <c r="DP20" i="31"/>
  <c r="DB20" i="31"/>
  <c r="CY20" i="31"/>
  <c r="CW20" i="31"/>
  <c r="CV20" i="31"/>
  <c r="DO19" i="31"/>
  <c r="S19" i="9" s="1"/>
  <c r="DD19" i="31"/>
  <c r="DB19" i="31"/>
  <c r="DA19" i="31"/>
  <c r="CZ19" i="31"/>
  <c r="CY19" i="31"/>
  <c r="CW19" i="31"/>
  <c r="CV19" i="31"/>
  <c r="DP18" i="31"/>
  <c r="DD18" i="31"/>
  <c r="DB18" i="31"/>
  <c r="CY18" i="31"/>
  <c r="CW18" i="31"/>
  <c r="CV18" i="31"/>
  <c r="DP17" i="31"/>
  <c r="DB17" i="31"/>
  <c r="DA17" i="31"/>
  <c r="CZ17" i="31"/>
  <c r="CY17" i="31"/>
  <c r="CW17" i="31"/>
  <c r="CV17" i="31"/>
  <c r="DB16" i="31"/>
  <c r="DA16" i="31"/>
  <c r="CZ16" i="31"/>
  <c r="CY16" i="31"/>
  <c r="CW16" i="31"/>
  <c r="CV16" i="31"/>
  <c r="DB15" i="31"/>
  <c r="CY15" i="31"/>
  <c r="CW15" i="31"/>
  <c r="CV15" i="31"/>
  <c r="G6" i="31" s="1"/>
  <c r="CY14" i="31"/>
  <c r="DA14" i="31" s="1"/>
  <c r="CW14" i="31"/>
  <c r="CV14" i="31"/>
  <c r="DA13" i="31"/>
  <c r="CZ13" i="31"/>
  <c r="CB5" i="31" s="1"/>
  <c r="CY13" i="31"/>
  <c r="CW13" i="31"/>
  <c r="CV13" i="31"/>
  <c r="DO12" i="31"/>
  <c r="DO30" i="31" s="1"/>
  <c r="AA30" i="25" s="1"/>
  <c r="DA12" i="31"/>
  <c r="CY12" i="31"/>
  <c r="CZ12" i="31" s="1"/>
  <c r="CW12" i="31"/>
  <c r="CV12" i="31"/>
  <c r="CQ12" i="31"/>
  <c r="CP12" i="31"/>
  <c r="CO12" i="31"/>
  <c r="CN12" i="31"/>
  <c r="CK12" i="31"/>
  <c r="CJ12" i="31"/>
  <c r="CH12" i="31"/>
  <c r="CG12" i="31"/>
  <c r="CF12" i="31"/>
  <c r="CE12" i="31"/>
  <c r="CB12" i="31"/>
  <c r="CA12" i="31"/>
  <c r="BY12" i="31"/>
  <c r="BX12" i="31"/>
  <c r="BW12" i="31"/>
  <c r="BV12" i="31"/>
  <c r="BP12" i="31"/>
  <c r="BO12" i="31"/>
  <c r="BN12" i="31"/>
  <c r="BM12" i="31"/>
  <c r="BI12" i="31"/>
  <c r="BG12" i="31"/>
  <c r="BF12" i="31"/>
  <c r="BE12" i="31"/>
  <c r="BD12" i="31"/>
  <c r="BA12" i="31"/>
  <c r="AZ12" i="31"/>
  <c r="AX12" i="31"/>
  <c r="AW12" i="31"/>
  <c r="AV12" i="31"/>
  <c r="AU12" i="31"/>
  <c r="AR12" i="31"/>
  <c r="AQ12" i="31"/>
  <c r="AO12" i="31"/>
  <c r="AN12" i="31"/>
  <c r="AM12" i="31"/>
  <c r="AL12" i="31"/>
  <c r="AH12" i="31"/>
  <c r="AF12" i="31"/>
  <c r="AE12" i="31"/>
  <c r="AD12" i="31"/>
  <c r="AC12" i="31"/>
  <c r="Y12" i="31"/>
  <c r="W12" i="31"/>
  <c r="V12" i="31"/>
  <c r="U12" i="31"/>
  <c r="T12" i="31"/>
  <c r="Q12" i="31"/>
  <c r="P12" i="31"/>
  <c r="N12" i="31"/>
  <c r="M12" i="31"/>
  <c r="L12" i="31"/>
  <c r="K12" i="31"/>
  <c r="H12" i="31"/>
  <c r="G12" i="31"/>
  <c r="DO11" i="31"/>
  <c r="X11" i="24" s="1"/>
  <c r="CY11" i="31"/>
  <c r="CW11" i="31"/>
  <c r="CV11" i="31"/>
  <c r="CQ11" i="31"/>
  <c r="CP11" i="31"/>
  <c r="CO11" i="31"/>
  <c r="CN11" i="31"/>
  <c r="CJ11" i="31"/>
  <c r="CH11" i="31"/>
  <c r="CG11" i="31"/>
  <c r="CF11" i="31"/>
  <c r="CE11" i="31"/>
  <c r="CB11" i="31"/>
  <c r="CA11" i="31"/>
  <c r="BY11" i="31"/>
  <c r="BX11" i="31"/>
  <c r="BW11" i="31"/>
  <c r="BV11" i="31"/>
  <c r="BS11" i="31"/>
  <c r="BR11" i="31"/>
  <c r="BP11" i="31"/>
  <c r="BO11" i="31"/>
  <c r="BN11" i="31"/>
  <c r="BM11" i="31"/>
  <c r="BI11" i="31"/>
  <c r="BG11" i="31"/>
  <c r="BF11" i="31"/>
  <c r="BE11" i="31"/>
  <c r="BD11" i="31"/>
  <c r="AZ11" i="31"/>
  <c r="AX11" i="31"/>
  <c r="AW11" i="31"/>
  <c r="AV11" i="31"/>
  <c r="AU11" i="31"/>
  <c r="AR11" i="31"/>
  <c r="AQ11" i="31"/>
  <c r="AO11" i="31"/>
  <c r="AN11" i="31"/>
  <c r="AM11" i="31"/>
  <c r="AL11" i="31"/>
  <c r="AI11" i="31"/>
  <c r="AH11" i="31"/>
  <c r="AF11" i="31"/>
  <c r="AE11" i="31"/>
  <c r="AD11" i="31"/>
  <c r="AC11" i="31"/>
  <c r="Y11" i="31"/>
  <c r="W11" i="31"/>
  <c r="V11" i="31"/>
  <c r="U11" i="31"/>
  <c r="T11" i="31"/>
  <c r="P11" i="31"/>
  <c r="N11" i="31"/>
  <c r="M11" i="31"/>
  <c r="L11" i="31"/>
  <c r="K11" i="31"/>
  <c r="G11" i="31"/>
  <c r="E11" i="31"/>
  <c r="CT65" i="31" s="1"/>
  <c r="DO10" i="31"/>
  <c r="DE10" i="31"/>
  <c r="BC5" i="31" s="1"/>
  <c r="DB10" i="31"/>
  <c r="CY10" i="31"/>
  <c r="DA10" i="31" s="1"/>
  <c r="CW10" i="31"/>
  <c r="CV10" i="31"/>
  <c r="CQ10" i="31"/>
  <c r="CP10" i="31"/>
  <c r="CO10" i="31"/>
  <c r="CN10" i="31"/>
  <c r="CJ10" i="31"/>
  <c r="CH10" i="31"/>
  <c r="CG10" i="31"/>
  <c r="CF10" i="31"/>
  <c r="CE10" i="31"/>
  <c r="CA10" i="31"/>
  <c r="BY10" i="31"/>
  <c r="BX10" i="31"/>
  <c r="BW10" i="31"/>
  <c r="BV10" i="31"/>
  <c r="BS10" i="31"/>
  <c r="BR10" i="31"/>
  <c r="BP10" i="31"/>
  <c r="BO10" i="31"/>
  <c r="BN10" i="31"/>
  <c r="BM10" i="31"/>
  <c r="BJ10" i="31"/>
  <c r="BI10" i="31"/>
  <c r="BG10" i="31"/>
  <c r="BF10" i="31"/>
  <c r="BE10" i="31"/>
  <c r="BD10" i="31"/>
  <c r="AZ10" i="31"/>
  <c r="AX10" i="31"/>
  <c r="AW10" i="31"/>
  <c r="AV10" i="31"/>
  <c r="AU10" i="31"/>
  <c r="AQ10" i="31"/>
  <c r="AO10" i="31"/>
  <c r="AN10" i="31"/>
  <c r="AM10" i="31"/>
  <c r="AL10" i="31"/>
  <c r="AH10" i="31"/>
  <c r="AF10" i="31"/>
  <c r="AE10" i="31"/>
  <c r="AD10" i="31"/>
  <c r="AC10" i="31"/>
  <c r="Z10" i="31"/>
  <c r="Y10" i="31"/>
  <c r="W10" i="31"/>
  <c r="V10" i="31"/>
  <c r="U10" i="31"/>
  <c r="T10" i="31"/>
  <c r="P10" i="31"/>
  <c r="N10" i="31"/>
  <c r="M10" i="31"/>
  <c r="L10" i="31"/>
  <c r="K10" i="31"/>
  <c r="E10" i="31"/>
  <c r="DO9" i="31"/>
  <c r="DB9" i="31"/>
  <c r="DA9" i="31"/>
  <c r="CZ9" i="31"/>
  <c r="CY9" i="31"/>
  <c r="CW9" i="31"/>
  <c r="CV9" i="31"/>
  <c r="AQ5" i="31" s="1"/>
  <c r="CQ9" i="31"/>
  <c r="CP9" i="31"/>
  <c r="CO9" i="31"/>
  <c r="CN9" i="31"/>
  <c r="CJ9" i="31"/>
  <c r="CH9" i="31"/>
  <c r="CG9" i="31"/>
  <c r="CF9" i="31"/>
  <c r="CE9" i="31"/>
  <c r="CA9" i="31"/>
  <c r="BY9" i="31"/>
  <c r="BX9" i="31"/>
  <c r="BW9" i="31"/>
  <c r="BV9" i="31"/>
  <c r="BR9" i="31"/>
  <c r="BP9" i="31"/>
  <c r="BO9" i="31"/>
  <c r="BN9" i="31"/>
  <c r="BM9" i="31"/>
  <c r="BI9" i="31"/>
  <c r="BG9" i="31"/>
  <c r="BF9" i="31"/>
  <c r="BE9" i="31"/>
  <c r="BD9" i="31"/>
  <c r="BA9" i="31"/>
  <c r="AZ9" i="31"/>
  <c r="AX9" i="31"/>
  <c r="AW9" i="31"/>
  <c r="AV9" i="31"/>
  <c r="AU9" i="31"/>
  <c r="AQ9" i="31"/>
  <c r="AO9" i="31"/>
  <c r="AN9" i="31"/>
  <c r="AM9" i="31"/>
  <c r="AL9" i="31"/>
  <c r="AH9" i="31"/>
  <c r="AF9" i="31"/>
  <c r="AE9" i="31"/>
  <c r="AD9" i="31"/>
  <c r="AC9" i="31"/>
  <c r="Z9" i="31"/>
  <c r="Y9" i="31"/>
  <c r="W9" i="31"/>
  <c r="V9" i="31"/>
  <c r="U9" i="31"/>
  <c r="T9" i="31"/>
  <c r="P9" i="31"/>
  <c r="N9" i="31"/>
  <c r="M9" i="31"/>
  <c r="L9" i="31"/>
  <c r="K9" i="31"/>
  <c r="E9" i="31"/>
  <c r="CT45" i="31" s="1"/>
  <c r="DO8" i="31"/>
  <c r="X8" i="24" s="1"/>
  <c r="DB8" i="31"/>
  <c r="DA8" i="31"/>
  <c r="CY8" i="31"/>
  <c r="CZ8" i="31" s="1"/>
  <c r="AI5" i="31" s="1"/>
  <c r="CW8" i="31"/>
  <c r="CV8" i="31"/>
  <c r="CQ8" i="31"/>
  <c r="CP8" i="31"/>
  <c r="CO8" i="31"/>
  <c r="CN8" i="31"/>
  <c r="CJ8" i="31"/>
  <c r="CH8" i="31"/>
  <c r="CG8" i="31"/>
  <c r="CF8" i="31"/>
  <c r="CE8" i="31"/>
  <c r="CA8" i="31"/>
  <c r="BY8" i="31"/>
  <c r="BX8" i="31"/>
  <c r="BW8" i="31"/>
  <c r="BV8" i="31"/>
  <c r="BR8" i="31"/>
  <c r="BP8" i="31"/>
  <c r="BO8" i="31"/>
  <c r="BN8" i="31"/>
  <c r="BM8" i="31"/>
  <c r="BJ8" i="31"/>
  <c r="BI8" i="31"/>
  <c r="BG8" i="31"/>
  <c r="BF8" i="31"/>
  <c r="BE8" i="31"/>
  <c r="BD8" i="31"/>
  <c r="AX8" i="31"/>
  <c r="AW8" i="31"/>
  <c r="AV8" i="31"/>
  <c r="AU8" i="31"/>
  <c r="AQ8" i="31"/>
  <c r="AO8" i="31"/>
  <c r="AN8" i="31"/>
  <c r="AM8" i="31"/>
  <c r="AL8" i="31"/>
  <c r="AH8" i="31"/>
  <c r="AF8" i="31"/>
  <c r="AE8" i="31"/>
  <c r="AD8" i="31"/>
  <c r="AC8" i="31"/>
  <c r="Z8" i="31"/>
  <c r="Y8" i="31"/>
  <c r="W8" i="31"/>
  <c r="V8" i="31"/>
  <c r="U8" i="31"/>
  <c r="T8" i="31"/>
  <c r="P8" i="31"/>
  <c r="N8" i="31"/>
  <c r="M8" i="31"/>
  <c r="L8" i="31"/>
  <c r="K8" i="31"/>
  <c r="E8" i="31"/>
  <c r="CT35" i="31" s="1"/>
  <c r="DP7" i="31"/>
  <c r="DE38" i="31" s="1"/>
  <c r="AK8" i="31" s="1"/>
  <c r="DO7" i="31"/>
  <c r="AA7" i="25" s="1"/>
  <c r="DL7" i="31"/>
  <c r="DB7" i="31"/>
  <c r="DA7" i="31"/>
  <c r="CZ7" i="31"/>
  <c r="H7" i="31" s="1"/>
  <c r="CY7" i="31"/>
  <c r="CW7" i="31"/>
  <c r="CV7" i="31"/>
  <c r="CQ7" i="31"/>
  <c r="CP7" i="31"/>
  <c r="CO7" i="31"/>
  <c r="CN7" i="31"/>
  <c r="CJ7" i="31"/>
  <c r="CH7" i="31"/>
  <c r="CG7" i="31"/>
  <c r="CF7" i="31"/>
  <c r="CE7" i="31"/>
  <c r="CB7" i="31"/>
  <c r="CA7" i="31"/>
  <c r="BY7" i="31"/>
  <c r="BX7" i="31"/>
  <c r="BW7" i="31"/>
  <c r="BV7" i="31"/>
  <c r="BS7" i="31"/>
  <c r="BR7" i="31"/>
  <c r="BP7" i="31"/>
  <c r="BO7" i="31"/>
  <c r="BN7" i="31"/>
  <c r="BM7" i="31"/>
  <c r="BJ7" i="31"/>
  <c r="BI7" i="31"/>
  <c r="BG7" i="31"/>
  <c r="BF7" i="31"/>
  <c r="BE7" i="31"/>
  <c r="BD7" i="31"/>
  <c r="AZ7" i="31"/>
  <c r="AX7" i="31"/>
  <c r="AW7" i="31"/>
  <c r="AV7" i="31"/>
  <c r="AU7" i="31"/>
  <c r="AQ7" i="31"/>
  <c r="AO7" i="31"/>
  <c r="AN7" i="31"/>
  <c r="AM7" i="31"/>
  <c r="AL7" i="31"/>
  <c r="AH7" i="31"/>
  <c r="AF7" i="31"/>
  <c r="AE7" i="31"/>
  <c r="AD7" i="31"/>
  <c r="AC7" i="31"/>
  <c r="Y7" i="31"/>
  <c r="W7" i="31"/>
  <c r="V7" i="31"/>
  <c r="U7" i="31"/>
  <c r="T7" i="31"/>
  <c r="P7" i="31"/>
  <c r="N7" i="31"/>
  <c r="M7" i="31"/>
  <c r="L7" i="31"/>
  <c r="K7" i="31"/>
  <c r="E7" i="31"/>
  <c r="CT25" i="31" s="1"/>
  <c r="DO6" i="31"/>
  <c r="DL6" i="31"/>
  <c r="DE6" i="31"/>
  <c r="S5" i="31" s="1"/>
  <c r="DD6" i="31"/>
  <c r="DB6" i="31"/>
  <c r="CY6" i="31"/>
  <c r="DA6" i="31" s="1"/>
  <c r="CW6" i="31"/>
  <c r="CV6" i="31"/>
  <c r="CQ6" i="31"/>
  <c r="CP6" i="31"/>
  <c r="CO6" i="31"/>
  <c r="CN6" i="31"/>
  <c r="CK6" i="31"/>
  <c r="CJ6" i="31"/>
  <c r="CH6" i="31"/>
  <c r="CG6" i="31"/>
  <c r="CF6" i="31"/>
  <c r="CE6" i="31"/>
  <c r="CA6" i="31"/>
  <c r="BY6" i="31"/>
  <c r="BX6" i="31"/>
  <c r="BW6" i="31"/>
  <c r="BV6" i="31"/>
  <c r="BR6" i="31"/>
  <c r="BP6" i="31"/>
  <c r="BO6" i="31"/>
  <c r="BN6" i="31"/>
  <c r="BM6" i="31"/>
  <c r="BJ6" i="31"/>
  <c r="BG6" i="31"/>
  <c r="BF6" i="31"/>
  <c r="BE6" i="31"/>
  <c r="BD6" i="31"/>
  <c r="AZ6" i="31"/>
  <c r="AX6" i="31"/>
  <c r="AW6" i="31"/>
  <c r="AV6" i="31"/>
  <c r="AU6" i="31"/>
  <c r="AR6" i="31"/>
  <c r="AQ6" i="31"/>
  <c r="AO6" i="31"/>
  <c r="AN6" i="31"/>
  <c r="AM6" i="31"/>
  <c r="AL6" i="31"/>
  <c r="AH6" i="31"/>
  <c r="AF6" i="31"/>
  <c r="AE6" i="31"/>
  <c r="AD6" i="31"/>
  <c r="AC6" i="31"/>
  <c r="Z6" i="31"/>
  <c r="Y6" i="31"/>
  <c r="W6" i="31"/>
  <c r="V6" i="31"/>
  <c r="U6" i="31"/>
  <c r="T6" i="31"/>
  <c r="Q6" i="31"/>
  <c r="P6" i="31"/>
  <c r="N6" i="31"/>
  <c r="M6" i="31"/>
  <c r="L6" i="31"/>
  <c r="K6" i="31"/>
  <c r="E6" i="31"/>
  <c r="CT15" i="31" s="1"/>
  <c r="DK5" i="31"/>
  <c r="DB5" i="31"/>
  <c r="CY5" i="31"/>
  <c r="DA5" i="31" s="1"/>
  <c r="CW5" i="31"/>
  <c r="CV5" i="31"/>
  <c r="G5" i="31" s="1"/>
  <c r="CQ5" i="31"/>
  <c r="CP5" i="31"/>
  <c r="CO5" i="31"/>
  <c r="CN5" i="31"/>
  <c r="CJ5" i="31"/>
  <c r="CH5" i="31"/>
  <c r="CG5" i="31"/>
  <c r="CF5" i="31"/>
  <c r="CE5" i="31"/>
  <c r="CA5" i="31"/>
  <c r="BY5" i="31"/>
  <c r="BX5" i="31"/>
  <c r="BW5" i="31"/>
  <c r="BV5" i="31"/>
  <c r="BS5" i="31"/>
  <c r="BR5" i="31"/>
  <c r="BP5" i="31"/>
  <c r="BO5" i="31"/>
  <c r="BN5" i="31"/>
  <c r="BM5" i="31"/>
  <c r="BI5" i="31"/>
  <c r="BG5" i="31"/>
  <c r="BF5" i="31"/>
  <c r="BE5" i="31"/>
  <c r="BD5" i="31"/>
  <c r="AZ5" i="31"/>
  <c r="AX5" i="31"/>
  <c r="AW5" i="31"/>
  <c r="AV5" i="31"/>
  <c r="AU5" i="31"/>
  <c r="AR5" i="31"/>
  <c r="AO5" i="31"/>
  <c r="AN5" i="31"/>
  <c r="AM5" i="31"/>
  <c r="AL5" i="31"/>
  <c r="AH5" i="31"/>
  <c r="AF5" i="31"/>
  <c r="AE5" i="31"/>
  <c r="AD5" i="31"/>
  <c r="AC5" i="31"/>
  <c r="Z5" i="31"/>
  <c r="Y5" i="31"/>
  <c r="W5" i="31"/>
  <c r="V5" i="31"/>
  <c r="U5" i="31"/>
  <c r="T5" i="31"/>
  <c r="P5" i="31"/>
  <c r="N5" i="31"/>
  <c r="M5" i="31"/>
  <c r="L5" i="31"/>
  <c r="K5" i="31"/>
  <c r="E5" i="31"/>
  <c r="CT5" i="31" s="1"/>
  <c r="B8" i="45"/>
  <c r="H7" i="45"/>
  <c r="F7" i="45"/>
  <c r="B7" i="45"/>
  <c r="D6" i="45"/>
  <c r="C7" i="45" s="1"/>
  <c r="B6" i="45"/>
  <c r="G5" i="45"/>
  <c r="C5" i="45"/>
  <c r="F5" i="45" s="1"/>
  <c r="B5" i="45"/>
  <c r="D5" i="45" s="1"/>
  <c r="C6" i="45" s="1"/>
  <c r="DL62" i="1"/>
  <c r="DO62" i="1" s="1"/>
  <c r="DR62" i="1" s="1"/>
  <c r="DU62" i="1" s="1"/>
  <c r="DX62" i="1" s="1"/>
  <c r="EA62" i="1" s="1"/>
  <c r="ED62" i="1" s="1"/>
  <c r="EG62" i="1" s="1"/>
  <c r="DK62" i="1"/>
  <c r="DI62" i="1"/>
  <c r="DH62" i="1"/>
  <c r="DJ62" i="1" s="1"/>
  <c r="DG62" i="1"/>
  <c r="CT62" i="1"/>
  <c r="CS62" i="1"/>
  <c r="CG62" i="1"/>
  <c r="CE62" i="1"/>
  <c r="CC62" i="1"/>
  <c r="CB62" i="1"/>
  <c r="BT62" i="1"/>
  <c r="BI62" i="1"/>
  <c r="BF62" i="1"/>
  <c r="BD62" i="1"/>
  <c r="AE62" i="1"/>
  <c r="Z62" i="1"/>
  <c r="O62" i="1"/>
  <c r="N62" i="1"/>
  <c r="J62" i="1"/>
  <c r="I62" i="1"/>
  <c r="V62" i="1" s="1"/>
  <c r="ES61" i="1"/>
  <c r="DO61" i="1"/>
  <c r="DR61" i="1" s="1"/>
  <c r="DU61" i="1" s="1"/>
  <c r="DX61" i="1" s="1"/>
  <c r="EA61" i="1" s="1"/>
  <c r="ED61" i="1" s="1"/>
  <c r="EG61" i="1" s="1"/>
  <c r="DI61" i="1"/>
  <c r="DL61" i="1" s="1"/>
  <c r="DH61" i="1"/>
  <c r="DG61" i="1"/>
  <c r="CT61" i="1"/>
  <c r="CS61" i="1"/>
  <c r="CG61" i="1"/>
  <c r="CE61" i="1"/>
  <c r="CC61" i="1"/>
  <c r="CB61" i="1"/>
  <c r="BT61" i="1"/>
  <c r="BI61" i="1"/>
  <c r="BD61" i="1"/>
  <c r="AE61" i="1"/>
  <c r="Z61" i="1"/>
  <c r="O61" i="1"/>
  <c r="N61" i="1"/>
  <c r="J61" i="1"/>
  <c r="I61" i="1"/>
  <c r="DO60" i="1"/>
  <c r="DR60" i="1" s="1"/>
  <c r="DU60" i="1" s="1"/>
  <c r="DX60" i="1" s="1"/>
  <c r="EA60" i="1" s="1"/>
  <c r="ED60" i="1" s="1"/>
  <c r="EG60" i="1" s="1"/>
  <c r="DI60" i="1"/>
  <c r="DL60" i="1" s="1"/>
  <c r="DH60" i="1"/>
  <c r="DG60" i="1"/>
  <c r="CT60" i="1"/>
  <c r="CS60" i="1"/>
  <c r="CG60" i="1"/>
  <c r="CE60" i="1"/>
  <c r="CC60" i="1"/>
  <c r="CB60" i="1"/>
  <c r="BT60" i="1"/>
  <c r="BI60" i="1"/>
  <c r="BD60" i="1"/>
  <c r="AE60" i="1"/>
  <c r="Z60" i="1"/>
  <c r="O60" i="1"/>
  <c r="N60" i="1"/>
  <c r="J60" i="1"/>
  <c r="I60" i="1"/>
  <c r="BF60" i="1" s="1"/>
  <c r="BG60" i="1" s="1"/>
  <c r="DI59" i="1"/>
  <c r="DL59" i="1" s="1"/>
  <c r="DO59" i="1" s="1"/>
  <c r="DR59" i="1" s="1"/>
  <c r="DU59" i="1" s="1"/>
  <c r="DX59" i="1" s="1"/>
  <c r="EA59" i="1" s="1"/>
  <c r="ED59" i="1" s="1"/>
  <c r="EG59" i="1" s="1"/>
  <c r="DH59" i="1"/>
  <c r="DG59" i="1"/>
  <c r="CT59" i="1"/>
  <c r="CS59" i="1"/>
  <c r="CG59" i="1"/>
  <c r="CE59" i="1"/>
  <c r="CC59" i="1"/>
  <c r="CB59" i="1"/>
  <c r="BT59" i="1"/>
  <c r="BI59" i="1"/>
  <c r="BF59" i="1"/>
  <c r="BA59" i="1" s="1"/>
  <c r="BB59" i="1" s="1"/>
  <c r="BD59" i="1"/>
  <c r="AE59" i="1"/>
  <c r="Z59" i="1"/>
  <c r="V59" i="1"/>
  <c r="O59" i="1"/>
  <c r="N59" i="1"/>
  <c r="J59" i="1"/>
  <c r="I59" i="1"/>
  <c r="EY58" i="1"/>
  <c r="DL58" i="1"/>
  <c r="DO58" i="1" s="1"/>
  <c r="DR58" i="1" s="1"/>
  <c r="DU58" i="1" s="1"/>
  <c r="DX58" i="1" s="1"/>
  <c r="EA58" i="1" s="1"/>
  <c r="ED58" i="1" s="1"/>
  <c r="EG58" i="1" s="1"/>
  <c r="DI58" i="1"/>
  <c r="DH58" i="1"/>
  <c r="DK58" i="1" s="1"/>
  <c r="DG58" i="1"/>
  <c r="CT58" i="1"/>
  <c r="CS58" i="1"/>
  <c r="CG58" i="1"/>
  <c r="CE58" i="1"/>
  <c r="CC58" i="1"/>
  <c r="CB58" i="1"/>
  <c r="BT58" i="1"/>
  <c r="BI58" i="1"/>
  <c r="BD58" i="1"/>
  <c r="AE58" i="1"/>
  <c r="Z58" i="1"/>
  <c r="O58" i="1"/>
  <c r="N58" i="1"/>
  <c r="J58" i="1"/>
  <c r="I58" i="1"/>
  <c r="ES57" i="1"/>
  <c r="ED57" i="1"/>
  <c r="EG57" i="1" s="1"/>
  <c r="DU57" i="1"/>
  <c r="DX57" i="1" s="1"/>
  <c r="EA57" i="1" s="1"/>
  <c r="DL57" i="1"/>
  <c r="DO57" i="1" s="1"/>
  <c r="DR57" i="1" s="1"/>
  <c r="DI57" i="1"/>
  <c r="DH57" i="1"/>
  <c r="DJ57" i="1" s="1"/>
  <c r="DG57" i="1"/>
  <c r="CT57" i="1"/>
  <c r="CS57" i="1"/>
  <c r="CG57" i="1"/>
  <c r="CE57" i="1"/>
  <c r="CC57" i="1"/>
  <c r="CB57" i="1"/>
  <c r="BU57" i="1"/>
  <c r="BT57" i="1"/>
  <c r="BI57" i="1"/>
  <c r="BD57" i="1"/>
  <c r="AE57" i="1"/>
  <c r="Z57" i="1"/>
  <c r="O57" i="1"/>
  <c r="N57" i="1"/>
  <c r="J57" i="1"/>
  <c r="BF57" i="1" s="1"/>
  <c r="I57" i="1"/>
  <c r="FK56" i="1"/>
  <c r="DO56" i="1"/>
  <c r="DR56" i="1" s="1"/>
  <c r="DU56" i="1" s="1"/>
  <c r="DX56" i="1" s="1"/>
  <c r="EA56" i="1" s="1"/>
  <c r="ED56" i="1" s="1"/>
  <c r="EG56" i="1" s="1"/>
  <c r="EV56" i="1" s="1"/>
  <c r="DI56" i="1"/>
  <c r="DL56" i="1" s="1"/>
  <c r="DH56" i="1"/>
  <c r="DJ56" i="1" s="1"/>
  <c r="DG56" i="1"/>
  <c r="CT56" i="1"/>
  <c r="CS56" i="1"/>
  <c r="CG56" i="1"/>
  <c r="CE56" i="1"/>
  <c r="CF56" i="1" s="1"/>
  <c r="CD56" i="1"/>
  <c r="CC56" i="1"/>
  <c r="CB56" i="1"/>
  <c r="BT56" i="1"/>
  <c r="BI56" i="1"/>
  <c r="BD56" i="1"/>
  <c r="AE56" i="1"/>
  <c r="Z56" i="1"/>
  <c r="X56" i="1"/>
  <c r="O56" i="1"/>
  <c r="N56" i="1"/>
  <c r="J56" i="1"/>
  <c r="BF56" i="1" s="1"/>
  <c r="BG56" i="1" s="1"/>
  <c r="I56" i="1"/>
  <c r="DR55" i="1"/>
  <c r="DU55" i="1" s="1"/>
  <c r="DX55" i="1" s="1"/>
  <c r="EA55" i="1" s="1"/>
  <c r="ED55" i="1" s="1"/>
  <c r="EG55" i="1" s="1"/>
  <c r="DI55" i="1"/>
  <c r="DL55" i="1" s="1"/>
  <c r="DO55" i="1" s="1"/>
  <c r="DH55" i="1"/>
  <c r="DK55" i="1" s="1"/>
  <c r="DG55" i="1"/>
  <c r="CT55" i="1"/>
  <c r="CS55" i="1"/>
  <c r="CG55" i="1"/>
  <c r="CE55" i="1"/>
  <c r="CC55" i="1"/>
  <c r="CB55" i="1"/>
  <c r="BT55" i="1"/>
  <c r="BI55" i="1"/>
  <c r="BD55" i="1"/>
  <c r="AE55" i="1"/>
  <c r="Z55" i="1"/>
  <c r="O55" i="1"/>
  <c r="N55" i="1"/>
  <c r="J55" i="1"/>
  <c r="I55" i="1"/>
  <c r="G55" i="1"/>
  <c r="F55" i="1"/>
  <c r="DI54" i="1"/>
  <c r="DH54" i="1"/>
  <c r="DJ54" i="1" s="1"/>
  <c r="DG54" i="1"/>
  <c r="CT54" i="1"/>
  <c r="CS54" i="1"/>
  <c r="CG54" i="1"/>
  <c r="CE54" i="1"/>
  <c r="CC54" i="1"/>
  <c r="CB54" i="1"/>
  <c r="BT54" i="1"/>
  <c r="BI54" i="1"/>
  <c r="BF54" i="1"/>
  <c r="BD54" i="1"/>
  <c r="BA54" i="1"/>
  <c r="AE54" i="1"/>
  <c r="Z54" i="1"/>
  <c r="V54" i="1"/>
  <c r="O54" i="1"/>
  <c r="BG54" i="1" s="1"/>
  <c r="N54" i="1"/>
  <c r="J54" i="1"/>
  <c r="I54" i="1"/>
  <c r="G54" i="1"/>
  <c r="F54" i="1"/>
  <c r="DL53" i="1"/>
  <c r="DO53" i="1" s="1"/>
  <c r="DR53" i="1" s="1"/>
  <c r="DU53" i="1" s="1"/>
  <c r="DX53" i="1" s="1"/>
  <c r="EA53" i="1" s="1"/>
  <c r="ED53" i="1" s="1"/>
  <c r="EG53" i="1" s="1"/>
  <c r="DI53" i="1"/>
  <c r="DH53" i="1"/>
  <c r="DK53" i="1" s="1"/>
  <c r="CT53" i="1"/>
  <c r="CS53" i="1"/>
  <c r="CG53" i="1"/>
  <c r="CE53" i="1"/>
  <c r="CC53" i="1"/>
  <c r="CB53" i="1"/>
  <c r="BT53" i="1"/>
  <c r="BI53" i="1"/>
  <c r="BD53" i="1"/>
  <c r="Z53" i="1"/>
  <c r="O53" i="1"/>
  <c r="N53" i="1"/>
  <c r="J53" i="1"/>
  <c r="I53" i="1"/>
  <c r="BF53" i="1" s="1"/>
  <c r="G53" i="1"/>
  <c r="DL52" i="1"/>
  <c r="DO52" i="1" s="1"/>
  <c r="DR52" i="1" s="1"/>
  <c r="DU52" i="1" s="1"/>
  <c r="DX52" i="1" s="1"/>
  <c r="EA52" i="1" s="1"/>
  <c r="ED52" i="1" s="1"/>
  <c r="EG52" i="1" s="1"/>
  <c r="DI52" i="1"/>
  <c r="DH52" i="1"/>
  <c r="DJ52" i="1" s="1"/>
  <c r="DG52" i="1"/>
  <c r="CT52" i="1"/>
  <c r="CS52" i="1"/>
  <c r="CH52" i="1"/>
  <c r="CG52" i="1"/>
  <c r="CE52" i="1"/>
  <c r="CC52" i="1"/>
  <c r="CB52" i="1"/>
  <c r="BU52" i="1"/>
  <c r="BT52" i="1"/>
  <c r="BI52" i="1"/>
  <c r="BD52" i="1"/>
  <c r="BA52" i="1"/>
  <c r="AE52" i="1"/>
  <c r="Z52" i="1"/>
  <c r="O52" i="1"/>
  <c r="N52" i="1"/>
  <c r="J52" i="1"/>
  <c r="BF52" i="1" s="1"/>
  <c r="I52" i="1"/>
  <c r="G52" i="1"/>
  <c r="F52" i="1"/>
  <c r="DK51" i="1"/>
  <c r="DJ51" i="1"/>
  <c r="DI51" i="1"/>
  <c r="DL51" i="1" s="1"/>
  <c r="DO51" i="1" s="1"/>
  <c r="DR51" i="1" s="1"/>
  <c r="DU51" i="1" s="1"/>
  <c r="DX51" i="1" s="1"/>
  <c r="EA51" i="1" s="1"/>
  <c r="ED51" i="1" s="1"/>
  <c r="EG51" i="1" s="1"/>
  <c r="DH51" i="1"/>
  <c r="DG51" i="1"/>
  <c r="CT51" i="1"/>
  <c r="CS51" i="1"/>
  <c r="CG51" i="1"/>
  <c r="CH51" i="1" s="1"/>
  <c r="CF51" i="1"/>
  <c r="CE51" i="1"/>
  <c r="CD51" i="1"/>
  <c r="CC51" i="1"/>
  <c r="CB51" i="1"/>
  <c r="BT51" i="1"/>
  <c r="BI51" i="1"/>
  <c r="BG51" i="1"/>
  <c r="BD51" i="1"/>
  <c r="AE51" i="1"/>
  <c r="Z51" i="1"/>
  <c r="X51" i="1"/>
  <c r="V51" i="1"/>
  <c r="O51" i="1"/>
  <c r="N51" i="1"/>
  <c r="J51" i="1"/>
  <c r="I51" i="1"/>
  <c r="BF51" i="1" s="1"/>
  <c r="BA51" i="1" s="1"/>
  <c r="G51" i="1"/>
  <c r="ED50" i="1"/>
  <c r="EG50" i="1" s="1"/>
  <c r="DL50" i="1"/>
  <c r="DO50" i="1" s="1"/>
  <c r="DR50" i="1" s="1"/>
  <c r="DU50" i="1" s="1"/>
  <c r="DX50" i="1" s="1"/>
  <c r="EA50" i="1" s="1"/>
  <c r="DI50" i="1"/>
  <c r="DH50" i="1"/>
  <c r="DJ50" i="1" s="1"/>
  <c r="DG50" i="1"/>
  <c r="CT50" i="1"/>
  <c r="CS50" i="1"/>
  <c r="CL50" i="1"/>
  <c r="CK50" i="1"/>
  <c r="CG50" i="1"/>
  <c r="CE50" i="1"/>
  <c r="CC50" i="1"/>
  <c r="CB50" i="1"/>
  <c r="BU50" i="1"/>
  <c r="CH50" i="1" s="1"/>
  <c r="BT50" i="1"/>
  <c r="BI50" i="1"/>
  <c r="BD50" i="1"/>
  <c r="Z50" i="1"/>
  <c r="O50" i="1"/>
  <c r="N50" i="1"/>
  <c r="J50" i="1"/>
  <c r="I50" i="1"/>
  <c r="G50" i="1"/>
  <c r="DI49" i="1"/>
  <c r="DL49" i="1" s="1"/>
  <c r="DO49" i="1" s="1"/>
  <c r="DR49" i="1" s="1"/>
  <c r="DU49" i="1" s="1"/>
  <c r="DX49" i="1" s="1"/>
  <c r="EA49" i="1" s="1"/>
  <c r="ED49" i="1" s="1"/>
  <c r="EG49" i="1" s="1"/>
  <c r="DH49" i="1"/>
  <c r="DG49" i="1"/>
  <c r="CT49" i="1"/>
  <c r="CS49" i="1"/>
  <c r="CL49" i="1"/>
  <c r="CK49" i="1"/>
  <c r="CG49" i="1"/>
  <c r="CE49" i="1"/>
  <c r="CC49" i="1"/>
  <c r="CB49" i="1"/>
  <c r="CF49" i="1" s="1"/>
  <c r="BU49" i="1"/>
  <c r="CH49" i="1" s="1"/>
  <c r="BT49" i="1"/>
  <c r="BI49" i="1"/>
  <c r="BD49" i="1"/>
  <c r="AE49" i="1"/>
  <c r="Z49" i="1"/>
  <c r="V49" i="1"/>
  <c r="P49" i="1"/>
  <c r="O49" i="1"/>
  <c r="BG49" i="1" s="1"/>
  <c r="N49" i="1"/>
  <c r="J49" i="1"/>
  <c r="I49" i="1"/>
  <c r="BF49" i="1" s="1"/>
  <c r="BA49" i="1" s="1"/>
  <c r="G49" i="1"/>
  <c r="DK48" i="1"/>
  <c r="DJ48" i="1"/>
  <c r="DI48" i="1"/>
  <c r="DL48" i="1" s="1"/>
  <c r="DO48" i="1" s="1"/>
  <c r="DR48" i="1" s="1"/>
  <c r="DU48" i="1" s="1"/>
  <c r="DX48" i="1" s="1"/>
  <c r="EA48" i="1" s="1"/>
  <c r="ED48" i="1" s="1"/>
  <c r="EG48" i="1" s="1"/>
  <c r="DH48" i="1"/>
  <c r="DG48" i="1"/>
  <c r="CT48" i="1"/>
  <c r="CS48" i="1"/>
  <c r="CL48" i="1"/>
  <c r="CH48" i="1"/>
  <c r="CG48" i="1"/>
  <c r="CE48" i="1"/>
  <c r="CF48" i="1" s="1"/>
  <c r="CD48" i="1"/>
  <c r="CC48" i="1"/>
  <c r="CB48" i="1"/>
  <c r="BT48" i="1"/>
  <c r="BI48" i="1"/>
  <c r="BF48" i="1"/>
  <c r="BA48" i="1" s="1"/>
  <c r="BD48" i="1"/>
  <c r="Z48" i="1"/>
  <c r="V48" i="1"/>
  <c r="P48" i="1"/>
  <c r="O48" i="1"/>
  <c r="BG48" i="1" s="1"/>
  <c r="N48" i="1"/>
  <c r="J48" i="1"/>
  <c r="I48" i="1"/>
  <c r="G48" i="1"/>
  <c r="EG47" i="1"/>
  <c r="DR47" i="1"/>
  <c r="DU47" i="1" s="1"/>
  <c r="DX47" i="1" s="1"/>
  <c r="EA47" i="1" s="1"/>
  <c r="ED47" i="1" s="1"/>
  <c r="DI47" i="1"/>
  <c r="DL47" i="1" s="1"/>
  <c r="DO47" i="1" s="1"/>
  <c r="DH47" i="1"/>
  <c r="DK47" i="1" s="1"/>
  <c r="DG47" i="1"/>
  <c r="CT47" i="1"/>
  <c r="CS47" i="1"/>
  <c r="CL47" i="1"/>
  <c r="CH47" i="1"/>
  <c r="CG47" i="1"/>
  <c r="CE47" i="1"/>
  <c r="CF47" i="1" s="1"/>
  <c r="CD47" i="1"/>
  <c r="CC47" i="1"/>
  <c r="CB47" i="1"/>
  <c r="BT47" i="1"/>
  <c r="BD47" i="1"/>
  <c r="Z47" i="1"/>
  <c r="P47" i="1"/>
  <c r="O47" i="1"/>
  <c r="J47" i="1"/>
  <c r="I47" i="1"/>
  <c r="BF47" i="1" s="1"/>
  <c r="BA47" i="1" s="1"/>
  <c r="G47" i="1"/>
  <c r="DI46" i="1"/>
  <c r="DL46" i="1" s="1"/>
  <c r="DO46" i="1" s="1"/>
  <c r="DR46" i="1" s="1"/>
  <c r="DU46" i="1" s="1"/>
  <c r="DX46" i="1" s="1"/>
  <c r="EA46" i="1" s="1"/>
  <c r="ED46" i="1" s="1"/>
  <c r="EG46" i="1" s="1"/>
  <c r="DH46" i="1"/>
  <c r="DK46" i="1" s="1"/>
  <c r="DN46" i="1" s="1"/>
  <c r="DG46" i="1"/>
  <c r="CT46" i="1"/>
  <c r="CS46" i="1"/>
  <c r="CL46" i="1"/>
  <c r="CK46" i="1"/>
  <c r="CG46" i="1"/>
  <c r="CE46" i="1"/>
  <c r="CC46" i="1"/>
  <c r="CB46" i="1"/>
  <c r="BT46" i="1"/>
  <c r="BD46" i="1"/>
  <c r="Z46" i="1"/>
  <c r="X46" i="1"/>
  <c r="P46" i="1"/>
  <c r="O46" i="1"/>
  <c r="J46" i="1"/>
  <c r="I46" i="1"/>
  <c r="G46" i="1"/>
  <c r="DX45" i="1"/>
  <c r="EA45" i="1" s="1"/>
  <c r="ED45" i="1" s="1"/>
  <c r="EG45" i="1" s="1"/>
  <c r="DU45" i="1"/>
  <c r="DL45" i="1"/>
  <c r="DO45" i="1" s="1"/>
  <c r="DR45" i="1" s="1"/>
  <c r="DI45" i="1"/>
  <c r="DH45" i="1"/>
  <c r="DJ45" i="1" s="1"/>
  <c r="DG45" i="1"/>
  <c r="CT45" i="1"/>
  <c r="CS45" i="1"/>
  <c r="CL45" i="1"/>
  <c r="CG45" i="1"/>
  <c r="CE45" i="1"/>
  <c r="CC45" i="1"/>
  <c r="CB45" i="1"/>
  <c r="BT45" i="1"/>
  <c r="BF45" i="1"/>
  <c r="BA45" i="1" s="1"/>
  <c r="BD45" i="1"/>
  <c r="Z45" i="1"/>
  <c r="P45" i="1"/>
  <c r="O45" i="1"/>
  <c r="BG45" i="1" s="1"/>
  <c r="J45" i="1"/>
  <c r="I45" i="1"/>
  <c r="V45" i="1" s="1"/>
  <c r="G45" i="1"/>
  <c r="DL44" i="1"/>
  <c r="DO44" i="1" s="1"/>
  <c r="DR44" i="1" s="1"/>
  <c r="DU44" i="1" s="1"/>
  <c r="DX44" i="1" s="1"/>
  <c r="EA44" i="1" s="1"/>
  <c r="ED44" i="1" s="1"/>
  <c r="EG44" i="1" s="1"/>
  <c r="DI44" i="1"/>
  <c r="DH44" i="1"/>
  <c r="DK44" i="1" s="1"/>
  <c r="CT44" i="1"/>
  <c r="CS44" i="1"/>
  <c r="CG44" i="1"/>
  <c r="CE44" i="1"/>
  <c r="CC44" i="1"/>
  <c r="CB44" i="1"/>
  <c r="BT44" i="1"/>
  <c r="BD44" i="1"/>
  <c r="Z44" i="1"/>
  <c r="O44" i="1"/>
  <c r="J44" i="1"/>
  <c r="I44" i="1"/>
  <c r="BF44" i="1" s="1"/>
  <c r="BA44" i="1" s="1"/>
  <c r="G44" i="1"/>
  <c r="DI43" i="1"/>
  <c r="DL43" i="1" s="1"/>
  <c r="DO43" i="1" s="1"/>
  <c r="DR43" i="1" s="1"/>
  <c r="DU43" i="1" s="1"/>
  <c r="DX43" i="1" s="1"/>
  <c r="EA43" i="1" s="1"/>
  <c r="ED43" i="1" s="1"/>
  <c r="EG43" i="1" s="1"/>
  <c r="DH43" i="1"/>
  <c r="DG43" i="1"/>
  <c r="CT43" i="1"/>
  <c r="CS43" i="1"/>
  <c r="CG43" i="1"/>
  <c r="CE43" i="1"/>
  <c r="CC43" i="1"/>
  <c r="CB43" i="1"/>
  <c r="BT43" i="1"/>
  <c r="BF43" i="1"/>
  <c r="BA43" i="1" s="1"/>
  <c r="BD43" i="1"/>
  <c r="Z43" i="1"/>
  <c r="V43" i="1"/>
  <c r="O43" i="1"/>
  <c r="J43" i="1"/>
  <c r="I43" i="1"/>
  <c r="BG43" i="1" s="1"/>
  <c r="G43" i="1"/>
  <c r="EJ42" i="1"/>
  <c r="DL42" i="1"/>
  <c r="DO42" i="1" s="1"/>
  <c r="DR42" i="1" s="1"/>
  <c r="DU42" i="1" s="1"/>
  <c r="DX42" i="1" s="1"/>
  <c r="EA42" i="1" s="1"/>
  <c r="ED42" i="1" s="1"/>
  <c r="EG42" i="1" s="1"/>
  <c r="DI42" i="1"/>
  <c r="DH42" i="1"/>
  <c r="DK42" i="1" s="1"/>
  <c r="CT42" i="1"/>
  <c r="CS42" i="1"/>
  <c r="CG42" i="1"/>
  <c r="CE42" i="1"/>
  <c r="CC42" i="1"/>
  <c r="CB42" i="1"/>
  <c r="BT42" i="1"/>
  <c r="BD42" i="1"/>
  <c r="Z42" i="1"/>
  <c r="O42" i="1"/>
  <c r="J42" i="1"/>
  <c r="I42" i="1"/>
  <c r="G42" i="1"/>
  <c r="DI41" i="1"/>
  <c r="DH41" i="1"/>
  <c r="DK41" i="1" s="1"/>
  <c r="CT41" i="1"/>
  <c r="CS41" i="1"/>
  <c r="CG41" i="1"/>
  <c r="CE41" i="1"/>
  <c r="CC41" i="1"/>
  <c r="CB41" i="1"/>
  <c r="BT41" i="1"/>
  <c r="BF41" i="1"/>
  <c r="BA41" i="1" s="1"/>
  <c r="BD41" i="1"/>
  <c r="Z41" i="1"/>
  <c r="O41" i="1"/>
  <c r="J41" i="1"/>
  <c r="V41" i="1" s="1"/>
  <c r="I41" i="1"/>
  <c r="G41" i="1"/>
  <c r="DL40" i="1"/>
  <c r="DK40" i="1"/>
  <c r="DN40" i="1" s="1"/>
  <c r="DI40" i="1"/>
  <c r="DH40" i="1"/>
  <c r="CT40" i="1"/>
  <c r="CS40" i="1"/>
  <c r="CG40" i="1"/>
  <c r="CE40" i="1"/>
  <c r="CC40" i="1"/>
  <c r="CB40" i="1"/>
  <c r="BT40" i="1"/>
  <c r="BD40" i="1"/>
  <c r="AE40" i="1"/>
  <c r="Z40" i="1"/>
  <c r="V40" i="1"/>
  <c r="O40" i="1"/>
  <c r="J40" i="1"/>
  <c r="BG40" i="1" s="1"/>
  <c r="I40" i="1"/>
  <c r="BF40" i="1" s="1"/>
  <c r="BA40" i="1" s="1"/>
  <c r="G40" i="1"/>
  <c r="F40" i="1"/>
  <c r="DI39" i="1"/>
  <c r="DH39" i="1"/>
  <c r="DK39" i="1" s="1"/>
  <c r="DN39" i="1" s="1"/>
  <c r="CT39" i="1"/>
  <c r="CS39" i="1"/>
  <c r="CG39" i="1"/>
  <c r="CE39" i="1"/>
  <c r="CC39" i="1"/>
  <c r="CB39" i="1"/>
  <c r="BD39" i="1"/>
  <c r="Z39" i="1"/>
  <c r="O39" i="1"/>
  <c r="I39" i="1"/>
  <c r="G39" i="1"/>
  <c r="E39" i="1"/>
  <c r="R73" i="25" s="1"/>
  <c r="FB38" i="1"/>
  <c r="EP38" i="1"/>
  <c r="DU38" i="1"/>
  <c r="DX38" i="1" s="1"/>
  <c r="EA38" i="1" s="1"/>
  <c r="ED38" i="1" s="1"/>
  <c r="EG38" i="1" s="1"/>
  <c r="DI38" i="1"/>
  <c r="DL38" i="1" s="1"/>
  <c r="DO38" i="1" s="1"/>
  <c r="DR38" i="1" s="1"/>
  <c r="DH38" i="1"/>
  <c r="DK38" i="1" s="1"/>
  <c r="CT38" i="1"/>
  <c r="CS38" i="1"/>
  <c r="CG38" i="1"/>
  <c r="CE38" i="1"/>
  <c r="CC38" i="1"/>
  <c r="CB38" i="1"/>
  <c r="BS38" i="1"/>
  <c r="BR38" i="1"/>
  <c r="BQ38" i="1"/>
  <c r="BD38" i="1"/>
  <c r="AE38" i="1"/>
  <c r="Z38" i="1"/>
  <c r="H38" i="1"/>
  <c r="F38" i="1"/>
  <c r="E38" i="1"/>
  <c r="DU37" i="1"/>
  <c r="DX37" i="1" s="1"/>
  <c r="EA37" i="1" s="1"/>
  <c r="ED37" i="1" s="1"/>
  <c r="EG37" i="1" s="1"/>
  <c r="DK37" i="1"/>
  <c r="DN37" i="1" s="1"/>
  <c r="DI37" i="1"/>
  <c r="DL37" i="1" s="1"/>
  <c r="DO37" i="1" s="1"/>
  <c r="DR37" i="1" s="1"/>
  <c r="DH37" i="1"/>
  <c r="CT37" i="1"/>
  <c r="CS37" i="1"/>
  <c r="CG37" i="1"/>
  <c r="CE37" i="1"/>
  <c r="CC37" i="1"/>
  <c r="CB37" i="1"/>
  <c r="BS37" i="1"/>
  <c r="BR37" i="1"/>
  <c r="BQ37" i="1"/>
  <c r="E37" i="1" s="1"/>
  <c r="BD37" i="1"/>
  <c r="AE37" i="1"/>
  <c r="Z37" i="1"/>
  <c r="H37" i="1"/>
  <c r="F37" i="1"/>
  <c r="DX36" i="1"/>
  <c r="EA36" i="1" s="1"/>
  <c r="ED36" i="1" s="1"/>
  <c r="EG36" i="1" s="1"/>
  <c r="EV36" i="1" s="1"/>
  <c r="DO36" i="1"/>
  <c r="DR36" i="1" s="1"/>
  <c r="DU36" i="1" s="1"/>
  <c r="DL36" i="1"/>
  <c r="DI36" i="1"/>
  <c r="DH36" i="1"/>
  <c r="CT36" i="1"/>
  <c r="CS36" i="1"/>
  <c r="CG36" i="1"/>
  <c r="CE36" i="1"/>
  <c r="CC36" i="1"/>
  <c r="CB36" i="1"/>
  <c r="BS36" i="1"/>
  <c r="BR36" i="1"/>
  <c r="BQ36" i="1"/>
  <c r="E36" i="1" s="1"/>
  <c r="BD36" i="1"/>
  <c r="AE36" i="1"/>
  <c r="Z36" i="1"/>
  <c r="H36" i="1"/>
  <c r="F36" i="1"/>
  <c r="DR35" i="1"/>
  <c r="DU35" i="1" s="1"/>
  <c r="DX35" i="1" s="1"/>
  <c r="EA35" i="1" s="1"/>
  <c r="ED35" i="1" s="1"/>
  <c r="EG35" i="1" s="1"/>
  <c r="DL35" i="1"/>
  <c r="DO35" i="1" s="1"/>
  <c r="DI35" i="1"/>
  <c r="DH35" i="1"/>
  <c r="DK35" i="1" s="1"/>
  <c r="CT35" i="1"/>
  <c r="CS35" i="1"/>
  <c r="CG35" i="1"/>
  <c r="CE35" i="1"/>
  <c r="CC35" i="1"/>
  <c r="CB35" i="1"/>
  <c r="BS35" i="1"/>
  <c r="BR35" i="1"/>
  <c r="BQ35" i="1"/>
  <c r="BD35" i="1"/>
  <c r="AE35" i="1"/>
  <c r="Z35" i="1"/>
  <c r="O35" i="1"/>
  <c r="H35" i="1"/>
  <c r="F35" i="1"/>
  <c r="E35" i="1"/>
  <c r="DI34" i="1"/>
  <c r="DH34" i="1"/>
  <c r="DK34" i="1" s="1"/>
  <c r="CT34" i="1"/>
  <c r="CS34" i="1"/>
  <c r="CG34" i="1"/>
  <c r="CE34" i="1"/>
  <c r="CC34" i="1"/>
  <c r="CB34" i="1"/>
  <c r="BT34" i="1"/>
  <c r="BR34" i="1"/>
  <c r="BS34" i="1" s="1"/>
  <c r="BQ34" i="1"/>
  <c r="BD34" i="1"/>
  <c r="AE34" i="1"/>
  <c r="AB34" i="1"/>
  <c r="Z34" i="1"/>
  <c r="O34" i="1"/>
  <c r="H34" i="1"/>
  <c r="F34" i="1"/>
  <c r="E34" i="1"/>
  <c r="DR33" i="1"/>
  <c r="DU33" i="1" s="1"/>
  <c r="DX33" i="1" s="1"/>
  <c r="EA33" i="1" s="1"/>
  <c r="ED33" i="1" s="1"/>
  <c r="EG33" i="1" s="1"/>
  <c r="DI33" i="1"/>
  <c r="DL33" i="1" s="1"/>
  <c r="DO33" i="1" s="1"/>
  <c r="DH33" i="1"/>
  <c r="DK33" i="1" s="1"/>
  <c r="CT33" i="1"/>
  <c r="CS33" i="1"/>
  <c r="CG33" i="1"/>
  <c r="CE33" i="1"/>
  <c r="CC33" i="1"/>
  <c r="CB33" i="1"/>
  <c r="BR33" i="1"/>
  <c r="BS33" i="1" s="1"/>
  <c r="BQ33" i="1"/>
  <c r="E33" i="1" s="1"/>
  <c r="BD33" i="1"/>
  <c r="AE33" i="1"/>
  <c r="Z33" i="1"/>
  <c r="H33" i="1"/>
  <c r="F33" i="1"/>
  <c r="DI32" i="1"/>
  <c r="DL32" i="1" s="1"/>
  <c r="DO32" i="1" s="1"/>
  <c r="DR32" i="1" s="1"/>
  <c r="DU32" i="1" s="1"/>
  <c r="DX32" i="1" s="1"/>
  <c r="EA32" i="1" s="1"/>
  <c r="ED32" i="1" s="1"/>
  <c r="EG32" i="1" s="1"/>
  <c r="DH32" i="1"/>
  <c r="CT32" i="1"/>
  <c r="CS32" i="1"/>
  <c r="CG32" i="1"/>
  <c r="CE32" i="1"/>
  <c r="CC32" i="1"/>
  <c r="CB32" i="1"/>
  <c r="BR32" i="1"/>
  <c r="BS32" i="1" s="1"/>
  <c r="BQ32" i="1"/>
  <c r="BD32" i="1"/>
  <c r="AE32" i="1"/>
  <c r="Z32" i="1"/>
  <c r="H32" i="1"/>
  <c r="F32" i="1"/>
  <c r="E32" i="1"/>
  <c r="DU31" i="1"/>
  <c r="DX31" i="1" s="1"/>
  <c r="EA31" i="1" s="1"/>
  <c r="ED31" i="1" s="1"/>
  <c r="EG31" i="1" s="1"/>
  <c r="DL31" i="1"/>
  <c r="DO31" i="1" s="1"/>
  <c r="DR31" i="1" s="1"/>
  <c r="DI31" i="1"/>
  <c r="DH31" i="1"/>
  <c r="CT31" i="1"/>
  <c r="CS31" i="1"/>
  <c r="CG31" i="1"/>
  <c r="CE31" i="1"/>
  <c r="CC31" i="1"/>
  <c r="CB31" i="1"/>
  <c r="BT31" i="1"/>
  <c r="BS31" i="1"/>
  <c r="BR31" i="1"/>
  <c r="BQ31" i="1"/>
  <c r="BD31" i="1"/>
  <c r="AE31" i="1"/>
  <c r="Z31" i="1"/>
  <c r="V31" i="1"/>
  <c r="J31" i="1"/>
  <c r="J32" i="1" s="1"/>
  <c r="J33" i="1" s="1"/>
  <c r="J34" i="1" s="1"/>
  <c r="J35" i="1" s="1"/>
  <c r="J36" i="1" s="1"/>
  <c r="J37" i="1" s="1"/>
  <c r="J38" i="1" s="1"/>
  <c r="I31" i="1"/>
  <c r="H31" i="1"/>
  <c r="G31" i="1"/>
  <c r="F31" i="1"/>
  <c r="E31" i="1"/>
  <c r="R65" i="25" s="1"/>
  <c r="FE30" i="1"/>
  <c r="EV30" i="1"/>
  <c r="EG30" i="1"/>
  <c r="DX30" i="1"/>
  <c r="EA30" i="1" s="1"/>
  <c r="ED30" i="1" s="1"/>
  <c r="DI30" i="1"/>
  <c r="DL30" i="1" s="1"/>
  <c r="DO30" i="1" s="1"/>
  <c r="DR30" i="1" s="1"/>
  <c r="DU30" i="1" s="1"/>
  <c r="DH30" i="1"/>
  <c r="CT30" i="1"/>
  <c r="CS30" i="1"/>
  <c r="CG30" i="1"/>
  <c r="CE30" i="1"/>
  <c r="CC30" i="1"/>
  <c r="CB30" i="1"/>
  <c r="BR30" i="1"/>
  <c r="BS30" i="1" s="1"/>
  <c r="BQ30" i="1"/>
  <c r="E30" i="1" s="1"/>
  <c r="BD30" i="1"/>
  <c r="AE30" i="1"/>
  <c r="Z30" i="1"/>
  <c r="V30" i="1"/>
  <c r="O30" i="1"/>
  <c r="H30" i="1"/>
  <c r="F30" i="1"/>
  <c r="DL29" i="1"/>
  <c r="DO29" i="1" s="1"/>
  <c r="DR29" i="1" s="1"/>
  <c r="DU29" i="1" s="1"/>
  <c r="DX29" i="1" s="1"/>
  <c r="EA29" i="1" s="1"/>
  <c r="ED29" i="1" s="1"/>
  <c r="EG29" i="1" s="1"/>
  <c r="DI29" i="1"/>
  <c r="DH29" i="1"/>
  <c r="DK29" i="1" s="1"/>
  <c r="CT29" i="1"/>
  <c r="CS29" i="1"/>
  <c r="CG29" i="1"/>
  <c r="CE29" i="1"/>
  <c r="CC29" i="1"/>
  <c r="CB29" i="1"/>
  <c r="BT29" i="1"/>
  <c r="BG29" i="1"/>
  <c r="BD29" i="1"/>
  <c r="AB29" i="1"/>
  <c r="Z29" i="1"/>
  <c r="O29" i="1"/>
  <c r="J29" i="1"/>
  <c r="I29" i="1"/>
  <c r="V29" i="1" s="1"/>
  <c r="G29" i="1"/>
  <c r="F29" i="1"/>
  <c r="DI28" i="1"/>
  <c r="DL28" i="1" s="1"/>
  <c r="DO28" i="1" s="1"/>
  <c r="DR28" i="1" s="1"/>
  <c r="DU28" i="1" s="1"/>
  <c r="DX28" i="1" s="1"/>
  <c r="EA28" i="1" s="1"/>
  <c r="ED28" i="1" s="1"/>
  <c r="EG28" i="1" s="1"/>
  <c r="DH28" i="1"/>
  <c r="CT28" i="1"/>
  <c r="CS28" i="1"/>
  <c r="CG28" i="1"/>
  <c r="CE28" i="1"/>
  <c r="CC28" i="1"/>
  <c r="CB28" i="1"/>
  <c r="BT28" i="1"/>
  <c r="BD28" i="1"/>
  <c r="AB28" i="1"/>
  <c r="Z28" i="1"/>
  <c r="O28" i="1"/>
  <c r="J28" i="1"/>
  <c r="I28" i="1"/>
  <c r="BG28" i="1" s="1"/>
  <c r="G28" i="1"/>
  <c r="F28" i="1"/>
  <c r="DO27" i="1"/>
  <c r="DR27" i="1" s="1"/>
  <c r="DU27" i="1" s="1"/>
  <c r="DX27" i="1" s="1"/>
  <c r="EA27" i="1" s="1"/>
  <c r="ED27" i="1" s="1"/>
  <c r="EG27" i="1" s="1"/>
  <c r="DI27" i="1"/>
  <c r="DL27" i="1" s="1"/>
  <c r="DH27" i="1"/>
  <c r="DK27" i="1" s="1"/>
  <c r="DN27" i="1" s="1"/>
  <c r="CT27" i="1"/>
  <c r="CS27" i="1"/>
  <c r="CG27" i="1"/>
  <c r="CE27" i="1"/>
  <c r="CC27" i="1"/>
  <c r="CB27" i="1"/>
  <c r="BT27" i="1"/>
  <c r="BD27" i="1"/>
  <c r="AB27" i="1"/>
  <c r="Z27" i="1"/>
  <c r="V27" i="1"/>
  <c r="O27" i="1"/>
  <c r="J27" i="1"/>
  <c r="BG27" i="1" s="1"/>
  <c r="I27" i="1"/>
  <c r="BF27" i="1" s="1"/>
  <c r="G27" i="1"/>
  <c r="F27" i="1"/>
  <c r="DL26" i="1"/>
  <c r="DO26" i="1" s="1"/>
  <c r="DR26" i="1" s="1"/>
  <c r="DU26" i="1" s="1"/>
  <c r="DX26" i="1" s="1"/>
  <c r="EA26" i="1" s="1"/>
  <c r="ED26" i="1" s="1"/>
  <c r="EG26" i="1" s="1"/>
  <c r="DI26" i="1"/>
  <c r="DH26" i="1"/>
  <c r="CT26" i="1"/>
  <c r="CS26" i="1"/>
  <c r="CG26" i="1"/>
  <c r="CE26" i="1"/>
  <c r="CC26" i="1"/>
  <c r="CB26" i="1"/>
  <c r="BC26" i="1"/>
  <c r="AZ26" i="1"/>
  <c r="AX26" i="1"/>
  <c r="AW26" i="1"/>
  <c r="AV26" i="1"/>
  <c r="AU26" i="1"/>
  <c r="AT26" i="1"/>
  <c r="AS26" i="1"/>
  <c r="AR26" i="1"/>
  <c r="AQ26" i="1"/>
  <c r="AN26" i="1"/>
  <c r="AM26" i="1"/>
  <c r="AL26" i="1"/>
  <c r="AK26" i="1"/>
  <c r="AJ26" i="1"/>
  <c r="AI26" i="1"/>
  <c r="AH26" i="1"/>
  <c r="AG26" i="1"/>
  <c r="AF26" i="1"/>
  <c r="AD26" i="1"/>
  <c r="AC26" i="1"/>
  <c r="W26" i="1"/>
  <c r="U26" i="1"/>
  <c r="R26" i="1"/>
  <c r="Q26" i="1"/>
  <c r="M26" i="1"/>
  <c r="K26" i="1"/>
  <c r="G26" i="1"/>
  <c r="E26" i="1"/>
  <c r="R60" i="25" s="1"/>
  <c r="D26" i="1"/>
  <c r="C26" i="1"/>
  <c r="EP25" i="1"/>
  <c r="DL25" i="1"/>
  <c r="DO25" i="1" s="1"/>
  <c r="DR25" i="1" s="1"/>
  <c r="DU25" i="1" s="1"/>
  <c r="DX25" i="1" s="1"/>
  <c r="EA25" i="1" s="1"/>
  <c r="ED25" i="1" s="1"/>
  <c r="EG25" i="1" s="1"/>
  <c r="FH25" i="1" s="1"/>
  <c r="DI25" i="1"/>
  <c r="DH25" i="1"/>
  <c r="DK25" i="1" s="1"/>
  <c r="CT25" i="1"/>
  <c r="CS25" i="1"/>
  <c r="CG25" i="1"/>
  <c r="CE25" i="1"/>
  <c r="CC25" i="1"/>
  <c r="CB25" i="1"/>
  <c r="BT25" i="1"/>
  <c r="BD25" i="1"/>
  <c r="AB25" i="1"/>
  <c r="Z25" i="1"/>
  <c r="O25" i="1"/>
  <c r="J25" i="1"/>
  <c r="BG25" i="1" s="1"/>
  <c r="I25" i="1"/>
  <c r="G25" i="1"/>
  <c r="F25" i="1"/>
  <c r="EV24" i="1"/>
  <c r="DI24" i="1"/>
  <c r="DL24" i="1" s="1"/>
  <c r="DO24" i="1" s="1"/>
  <c r="DR24" i="1" s="1"/>
  <c r="DU24" i="1" s="1"/>
  <c r="DX24" i="1" s="1"/>
  <c r="EA24" i="1" s="1"/>
  <c r="ED24" i="1" s="1"/>
  <c r="EG24" i="1" s="1"/>
  <c r="DH24" i="1"/>
  <c r="CT24" i="1"/>
  <c r="CS24" i="1"/>
  <c r="CG24" i="1"/>
  <c r="CE24" i="1"/>
  <c r="CC24" i="1"/>
  <c r="CB24" i="1"/>
  <c r="BT24" i="1"/>
  <c r="BD24" i="1"/>
  <c r="AB24" i="1"/>
  <c r="Z24" i="1"/>
  <c r="O24" i="1"/>
  <c r="J24" i="1"/>
  <c r="BG24" i="1" s="1"/>
  <c r="I24" i="1"/>
  <c r="V24" i="1" s="1"/>
  <c r="G24" i="1"/>
  <c r="F24" i="1"/>
  <c r="EG23" i="1"/>
  <c r="FH23" i="1" s="1"/>
  <c r="DX23" i="1"/>
  <c r="EA23" i="1" s="1"/>
  <c r="ED23" i="1" s="1"/>
  <c r="DI23" i="1"/>
  <c r="DL23" i="1" s="1"/>
  <c r="DO23" i="1" s="1"/>
  <c r="DR23" i="1" s="1"/>
  <c r="DU23" i="1" s="1"/>
  <c r="DH23" i="1"/>
  <c r="CT23" i="1"/>
  <c r="CS23" i="1"/>
  <c r="CG23" i="1"/>
  <c r="CE23" i="1"/>
  <c r="CC23" i="1"/>
  <c r="CB23" i="1"/>
  <c r="BT23" i="1"/>
  <c r="BD23" i="1"/>
  <c r="AE23" i="1"/>
  <c r="AB23" i="1"/>
  <c r="Z23" i="1"/>
  <c r="O23" i="1"/>
  <c r="J23" i="1"/>
  <c r="I23" i="1"/>
  <c r="BF23" i="1" s="1"/>
  <c r="G23" i="1"/>
  <c r="F23" i="1"/>
  <c r="DI22" i="1"/>
  <c r="DL22" i="1" s="1"/>
  <c r="DO22" i="1" s="1"/>
  <c r="DR22" i="1" s="1"/>
  <c r="DU22" i="1" s="1"/>
  <c r="DX22" i="1" s="1"/>
  <c r="EA22" i="1" s="1"/>
  <c r="ED22" i="1" s="1"/>
  <c r="EG22" i="1" s="1"/>
  <c r="DH22" i="1"/>
  <c r="CT22" i="1"/>
  <c r="CS22" i="1"/>
  <c r="CG22" i="1"/>
  <c r="CE22" i="1"/>
  <c r="CC22" i="1"/>
  <c r="CB22" i="1"/>
  <c r="BT22" i="1"/>
  <c r="BD22" i="1"/>
  <c r="AE22" i="1"/>
  <c r="AB22" i="1"/>
  <c r="Z22" i="1"/>
  <c r="V22" i="1"/>
  <c r="O22" i="1"/>
  <c r="J22" i="1"/>
  <c r="I22" i="1"/>
  <c r="G22" i="1"/>
  <c r="F22" i="1"/>
  <c r="DO21" i="1"/>
  <c r="DK21" i="1"/>
  <c r="DN21" i="1" s="1"/>
  <c r="DI21" i="1"/>
  <c r="DL21" i="1" s="1"/>
  <c r="DH21" i="1"/>
  <c r="CT21" i="1"/>
  <c r="CS21" i="1"/>
  <c r="CG21" i="1"/>
  <c r="CE21" i="1"/>
  <c r="CC21" i="1"/>
  <c r="CB21" i="1"/>
  <c r="BT21" i="1"/>
  <c r="BD21" i="1"/>
  <c r="AE21" i="1"/>
  <c r="AB21" i="1"/>
  <c r="Z21" i="1"/>
  <c r="V21" i="1"/>
  <c r="O21" i="1"/>
  <c r="J21" i="1"/>
  <c r="BF21" i="1" s="1"/>
  <c r="I21" i="1"/>
  <c r="BG21" i="1" s="1"/>
  <c r="G21" i="1"/>
  <c r="F21" i="1"/>
  <c r="DI20" i="1"/>
  <c r="DL20" i="1" s="1"/>
  <c r="DO20" i="1" s="1"/>
  <c r="DR20" i="1" s="1"/>
  <c r="DU20" i="1" s="1"/>
  <c r="DX20" i="1" s="1"/>
  <c r="EA20" i="1" s="1"/>
  <c r="ED20" i="1" s="1"/>
  <c r="EG20" i="1" s="1"/>
  <c r="DH20" i="1"/>
  <c r="DK20" i="1" s="1"/>
  <c r="DN20" i="1" s="1"/>
  <c r="CT20" i="1"/>
  <c r="CS20" i="1"/>
  <c r="CG20" i="1"/>
  <c r="CE20" i="1"/>
  <c r="CC20" i="1"/>
  <c r="CB20" i="1"/>
  <c r="BT20" i="1"/>
  <c r="BD20" i="1"/>
  <c r="AE20" i="1"/>
  <c r="AB20" i="1"/>
  <c r="Z20" i="1"/>
  <c r="O20" i="1"/>
  <c r="J20" i="1"/>
  <c r="I20" i="1"/>
  <c r="BG20" i="1" s="1"/>
  <c r="G20" i="1"/>
  <c r="F20" i="1"/>
  <c r="ES19" i="1"/>
  <c r="DU19" i="1"/>
  <c r="DX19" i="1" s="1"/>
  <c r="EA19" i="1" s="1"/>
  <c r="ED19" i="1" s="1"/>
  <c r="EG19" i="1" s="1"/>
  <c r="DO19" i="1"/>
  <c r="DR19" i="1" s="1"/>
  <c r="DL19" i="1"/>
  <c r="DI19" i="1"/>
  <c r="DH19" i="1"/>
  <c r="DK19" i="1" s="1"/>
  <c r="DG19" i="1"/>
  <c r="CT19" i="1"/>
  <c r="CS19" i="1"/>
  <c r="CG19" i="1"/>
  <c r="CE19" i="1"/>
  <c r="CC19" i="1"/>
  <c r="CB19" i="1"/>
  <c r="BT19" i="1"/>
  <c r="BG19" i="1"/>
  <c r="BD19" i="1"/>
  <c r="AE19" i="1"/>
  <c r="AB19" i="1"/>
  <c r="Z19" i="1"/>
  <c r="V19" i="1"/>
  <c r="O19" i="1"/>
  <c r="J19" i="1"/>
  <c r="BF19" i="1" s="1"/>
  <c r="I19" i="1"/>
  <c r="G19" i="1"/>
  <c r="F19" i="1"/>
  <c r="EA18" i="1"/>
  <c r="ED18" i="1" s="1"/>
  <c r="EG18" i="1" s="1"/>
  <c r="DL18" i="1"/>
  <c r="DO18" i="1" s="1"/>
  <c r="DR18" i="1" s="1"/>
  <c r="DU18" i="1" s="1"/>
  <c r="DX18" i="1" s="1"/>
  <c r="DI18" i="1"/>
  <c r="DH18" i="1"/>
  <c r="DJ18" i="1" s="1"/>
  <c r="CT18" i="1"/>
  <c r="CS18" i="1"/>
  <c r="CG18" i="1"/>
  <c r="CE18" i="1"/>
  <c r="CC18" i="1"/>
  <c r="CB18" i="1"/>
  <c r="BT18" i="1"/>
  <c r="BD18" i="1"/>
  <c r="AE18" i="1"/>
  <c r="AB18" i="1"/>
  <c r="Z18" i="1"/>
  <c r="O18" i="1"/>
  <c r="J18" i="1"/>
  <c r="BF18" i="1" s="1"/>
  <c r="I18" i="1"/>
  <c r="BG18" i="1" s="1"/>
  <c r="G18" i="1"/>
  <c r="F18" i="1"/>
  <c r="EY17" i="1"/>
  <c r="ES17" i="1"/>
  <c r="EA17" i="1"/>
  <c r="ED17" i="1" s="1"/>
  <c r="EG17" i="1" s="1"/>
  <c r="DU17" i="1"/>
  <c r="DX17" i="1" s="1"/>
  <c r="DR17" i="1"/>
  <c r="DL17" i="1"/>
  <c r="DO17" i="1" s="1"/>
  <c r="DI17" i="1"/>
  <c r="DH17" i="1"/>
  <c r="DK17" i="1" s="1"/>
  <c r="DN17" i="1" s="1"/>
  <c r="CT17" i="1"/>
  <c r="CS17" i="1"/>
  <c r="CG17" i="1"/>
  <c r="CE17" i="1"/>
  <c r="CC17" i="1"/>
  <c r="CB17" i="1"/>
  <c r="BT17" i="1"/>
  <c r="BG17" i="1"/>
  <c r="BD17" i="1"/>
  <c r="AE17" i="1"/>
  <c r="AB17" i="1"/>
  <c r="Z17" i="1"/>
  <c r="O17" i="1"/>
  <c r="J17" i="1"/>
  <c r="I17" i="1"/>
  <c r="BF17" i="1" s="1"/>
  <c r="G17" i="1"/>
  <c r="F17" i="1"/>
  <c r="DL16" i="1"/>
  <c r="DO16" i="1" s="1"/>
  <c r="DR16" i="1" s="1"/>
  <c r="DU16" i="1" s="1"/>
  <c r="DX16" i="1" s="1"/>
  <c r="EA16" i="1" s="1"/>
  <c r="ED16" i="1" s="1"/>
  <c r="EG16" i="1" s="1"/>
  <c r="FE16" i="1" s="1"/>
  <c r="DK16" i="1"/>
  <c r="DN16" i="1" s="1"/>
  <c r="DQ16" i="1" s="1"/>
  <c r="DI16" i="1"/>
  <c r="DH16" i="1"/>
  <c r="CT16" i="1"/>
  <c r="CS16" i="1"/>
  <c r="CG16" i="1"/>
  <c r="CE16" i="1"/>
  <c r="CC16" i="1"/>
  <c r="CB16" i="1"/>
  <c r="BT16" i="1"/>
  <c r="BG16" i="1"/>
  <c r="BD16" i="1"/>
  <c r="AE16" i="1"/>
  <c r="AB16" i="1"/>
  <c r="Z16" i="1"/>
  <c r="O16" i="1"/>
  <c r="J16" i="1"/>
  <c r="V16" i="1" s="1"/>
  <c r="I16" i="1"/>
  <c r="G16" i="1"/>
  <c r="F16" i="1"/>
  <c r="EV15" i="1"/>
  <c r="DX15" i="1"/>
  <c r="EA15" i="1" s="1"/>
  <c r="ED15" i="1" s="1"/>
  <c r="EG15" i="1" s="1"/>
  <c r="DI15" i="1"/>
  <c r="DL15" i="1" s="1"/>
  <c r="DO15" i="1" s="1"/>
  <c r="DR15" i="1" s="1"/>
  <c r="DU15" i="1" s="1"/>
  <c r="DH15" i="1"/>
  <c r="CT15" i="1"/>
  <c r="CS15" i="1"/>
  <c r="CG15" i="1"/>
  <c r="CE15" i="1"/>
  <c r="CC15" i="1"/>
  <c r="CB15" i="1"/>
  <c r="BT15" i="1"/>
  <c r="BD15" i="1"/>
  <c r="AE15" i="1"/>
  <c r="AB15" i="1"/>
  <c r="Z15" i="1"/>
  <c r="O15" i="1"/>
  <c r="J15" i="1"/>
  <c r="G15" i="1"/>
  <c r="F15" i="1"/>
  <c r="DI14" i="1"/>
  <c r="DL14" i="1" s="1"/>
  <c r="DH14" i="1"/>
  <c r="DK14" i="1" s="1"/>
  <c r="DG14" i="1"/>
  <c r="CT14" i="1"/>
  <c r="CS14" i="1"/>
  <c r="CG14" i="1"/>
  <c r="CE14" i="1"/>
  <c r="CC14" i="1"/>
  <c r="CB14" i="1"/>
  <c r="BT14" i="1"/>
  <c r="BD14" i="1"/>
  <c r="AE14" i="1"/>
  <c r="AB14" i="1"/>
  <c r="Z14" i="1"/>
  <c r="O14" i="1"/>
  <c r="J14" i="1"/>
  <c r="BF14" i="1" s="1"/>
  <c r="I14" i="1"/>
  <c r="G14" i="1"/>
  <c r="F14" i="1"/>
  <c r="DI13" i="1"/>
  <c r="DH13" i="1"/>
  <c r="DK13" i="1" s="1"/>
  <c r="DN13" i="1" s="1"/>
  <c r="CT13" i="1"/>
  <c r="CS13" i="1"/>
  <c r="CG13" i="1"/>
  <c r="CE13" i="1"/>
  <c r="CC13" i="1"/>
  <c r="CB13" i="1"/>
  <c r="BT13" i="1"/>
  <c r="BD13" i="1"/>
  <c r="BD26" i="1" s="1"/>
  <c r="AE13" i="1"/>
  <c r="AE26" i="1" s="1"/>
  <c r="AB13" i="1"/>
  <c r="AB26" i="1" s="1"/>
  <c r="Z13" i="1"/>
  <c r="Z26" i="1" s="1"/>
  <c r="O13" i="1"/>
  <c r="O26" i="1" s="1"/>
  <c r="J13" i="1"/>
  <c r="BF13" i="1" s="1"/>
  <c r="I13" i="1"/>
  <c r="I26" i="1" s="1"/>
  <c r="G13" i="1"/>
  <c r="F13" i="1"/>
  <c r="F26" i="1" s="1"/>
  <c r="DI12" i="1"/>
  <c r="DL12" i="1" s="1"/>
  <c r="DO12" i="1" s="1"/>
  <c r="DR12" i="1" s="1"/>
  <c r="DU12" i="1" s="1"/>
  <c r="DX12" i="1" s="1"/>
  <c r="EA12" i="1" s="1"/>
  <c r="ED12" i="1" s="1"/>
  <c r="EG12" i="1" s="1"/>
  <c r="DH12" i="1"/>
  <c r="CT12" i="1"/>
  <c r="CS12" i="1"/>
  <c r="CG12" i="1"/>
  <c r="CE12" i="1"/>
  <c r="CC12" i="1"/>
  <c r="CB12" i="1"/>
  <c r="BT12" i="1"/>
  <c r="BD12" i="1"/>
  <c r="AE12" i="1"/>
  <c r="AB12" i="1"/>
  <c r="Z12" i="1"/>
  <c r="O12" i="1"/>
  <c r="J12" i="1"/>
  <c r="I12" i="1"/>
  <c r="G12" i="1"/>
  <c r="F12" i="1"/>
  <c r="DI11" i="1"/>
  <c r="DL11" i="1" s="1"/>
  <c r="DO11" i="1" s="1"/>
  <c r="DR11" i="1" s="1"/>
  <c r="DU11" i="1" s="1"/>
  <c r="DX11" i="1" s="1"/>
  <c r="EA11" i="1" s="1"/>
  <c r="ED11" i="1" s="1"/>
  <c r="EG11" i="1" s="1"/>
  <c r="DH11" i="1"/>
  <c r="DK11" i="1" s="1"/>
  <c r="DG11" i="1"/>
  <c r="CT11" i="1"/>
  <c r="CS11" i="1"/>
  <c r="CG11" i="1"/>
  <c r="CE11" i="1"/>
  <c r="CC11" i="1"/>
  <c r="CB11" i="1"/>
  <c r="BT11" i="1"/>
  <c r="BD11" i="1"/>
  <c r="AE11" i="1"/>
  <c r="AB11" i="1"/>
  <c r="Z11" i="1"/>
  <c r="V11" i="1"/>
  <c r="O11" i="1"/>
  <c r="J11" i="1"/>
  <c r="BF11" i="1" s="1"/>
  <c r="I11" i="1"/>
  <c r="BG11" i="1" s="1"/>
  <c r="G11" i="1"/>
  <c r="F11" i="1"/>
  <c r="ED10" i="1"/>
  <c r="EG10" i="1" s="1"/>
  <c r="FB10" i="1" s="1"/>
  <c r="DI10" i="1"/>
  <c r="DL10" i="1" s="1"/>
  <c r="DO10" i="1" s="1"/>
  <c r="DR10" i="1" s="1"/>
  <c r="DU10" i="1" s="1"/>
  <c r="DX10" i="1" s="1"/>
  <c r="EA10" i="1" s="1"/>
  <c r="DH10" i="1"/>
  <c r="DK10" i="1" s="1"/>
  <c r="DM10" i="1" s="1"/>
  <c r="CT10" i="1"/>
  <c r="CS10" i="1"/>
  <c r="CG10" i="1"/>
  <c r="CE10" i="1"/>
  <c r="CC10" i="1"/>
  <c r="CB10" i="1"/>
  <c r="BT10" i="1"/>
  <c r="BD10" i="1"/>
  <c r="AE10" i="1"/>
  <c r="AB10" i="1"/>
  <c r="Z10" i="1"/>
  <c r="O10" i="1"/>
  <c r="J10" i="1"/>
  <c r="I10" i="1"/>
  <c r="BG10" i="1" s="1"/>
  <c r="G10" i="1"/>
  <c r="F10" i="1"/>
  <c r="DM9" i="1"/>
  <c r="DI9" i="1"/>
  <c r="DL9" i="1" s="1"/>
  <c r="DO9" i="1" s="1"/>
  <c r="DR9" i="1" s="1"/>
  <c r="DU9" i="1" s="1"/>
  <c r="DX9" i="1" s="1"/>
  <c r="EA9" i="1" s="1"/>
  <c r="ED9" i="1" s="1"/>
  <c r="EG9" i="1" s="1"/>
  <c r="DH9" i="1"/>
  <c r="DK9" i="1" s="1"/>
  <c r="CT9" i="1"/>
  <c r="CS9" i="1"/>
  <c r="CG9" i="1"/>
  <c r="CE9" i="1"/>
  <c r="CC9" i="1"/>
  <c r="CB9" i="1"/>
  <c r="BT9" i="1"/>
  <c r="BD9" i="1"/>
  <c r="AE9" i="1"/>
  <c r="AB9" i="1"/>
  <c r="Z9" i="1"/>
  <c r="V9" i="1"/>
  <c r="O9" i="1"/>
  <c r="J9" i="1"/>
  <c r="BG9" i="1" s="1"/>
  <c r="I9" i="1"/>
  <c r="G9" i="1"/>
  <c r="F9" i="1"/>
  <c r="DL8" i="1"/>
  <c r="DO8" i="1" s="1"/>
  <c r="DR8" i="1" s="1"/>
  <c r="DU8" i="1" s="1"/>
  <c r="DX8" i="1" s="1"/>
  <c r="EA8" i="1" s="1"/>
  <c r="ED8" i="1" s="1"/>
  <c r="EG8" i="1" s="1"/>
  <c r="FH8" i="1" s="1"/>
  <c r="DI8" i="1"/>
  <c r="DH8" i="1"/>
  <c r="DJ8" i="1" s="1"/>
  <c r="CT8" i="1"/>
  <c r="CS8" i="1"/>
  <c r="CG8" i="1"/>
  <c r="CE8" i="1"/>
  <c r="CC8" i="1"/>
  <c r="CB8" i="1"/>
  <c r="BT8" i="1"/>
  <c r="BD8" i="1"/>
  <c r="AE8" i="1"/>
  <c r="AB8" i="1"/>
  <c r="Z8" i="1"/>
  <c r="O8" i="1"/>
  <c r="J8" i="1"/>
  <c r="I8" i="1"/>
  <c r="BG8" i="1" s="1"/>
  <c r="G8" i="1"/>
  <c r="F8" i="1"/>
  <c r="DL7" i="1"/>
  <c r="DO7" i="1" s="1"/>
  <c r="DR7" i="1" s="1"/>
  <c r="DU7" i="1" s="1"/>
  <c r="DX7" i="1" s="1"/>
  <c r="EA7" i="1" s="1"/>
  <c r="ED7" i="1" s="1"/>
  <c r="EG7" i="1" s="1"/>
  <c r="DK7" i="1"/>
  <c r="DI7" i="1"/>
  <c r="DH7" i="1"/>
  <c r="DJ7" i="1" s="1"/>
  <c r="CT7" i="1"/>
  <c r="CS7" i="1"/>
  <c r="CG7" i="1"/>
  <c r="CE7" i="1"/>
  <c r="CC7" i="1"/>
  <c r="CB7" i="1"/>
  <c r="BT7" i="1"/>
  <c r="BD7" i="1"/>
  <c r="AE7" i="1"/>
  <c r="AB7" i="1"/>
  <c r="Z7" i="1"/>
  <c r="O7" i="1"/>
  <c r="J7" i="1"/>
  <c r="I7" i="1"/>
  <c r="BG7" i="1" s="1"/>
  <c r="G7" i="1"/>
  <c r="F7" i="1"/>
  <c r="DL6" i="1"/>
  <c r="DO6" i="1" s="1"/>
  <c r="DI6" i="1"/>
  <c r="DH6" i="1"/>
  <c r="DJ6" i="1" s="1"/>
  <c r="CT6" i="1"/>
  <c r="CS6" i="1"/>
  <c r="CK6" i="1"/>
  <c r="CG6" i="1"/>
  <c r="CE6" i="1"/>
  <c r="CC6" i="1"/>
  <c r="CB6" i="1"/>
  <c r="BU6" i="1"/>
  <c r="BT6" i="1"/>
  <c r="BK6" i="1"/>
  <c r="BK7" i="1" s="1"/>
  <c r="BD6" i="1"/>
  <c r="AE6" i="1"/>
  <c r="AB6" i="1"/>
  <c r="Z6" i="1"/>
  <c r="Y6" i="1"/>
  <c r="O6" i="1"/>
  <c r="J6" i="1"/>
  <c r="I6" i="1"/>
  <c r="BG6" i="1" s="1"/>
  <c r="G6" i="1"/>
  <c r="F6" i="1"/>
  <c r="DU5" i="1"/>
  <c r="DX5" i="1" s="1"/>
  <c r="EA5" i="1" s="1"/>
  <c r="ED5" i="1" s="1"/>
  <c r="EG5" i="1" s="1"/>
  <c r="DL5" i="1"/>
  <c r="DO5" i="1" s="1"/>
  <c r="DR5" i="1" s="1"/>
  <c r="DI5" i="1"/>
  <c r="DH5" i="1"/>
  <c r="DJ5" i="1" s="1"/>
  <c r="CT5" i="1"/>
  <c r="CS5" i="1"/>
  <c r="CL5" i="1"/>
  <c r="CG5" i="1"/>
  <c r="CE5" i="1"/>
  <c r="CC5" i="1"/>
  <c r="CB5" i="1"/>
  <c r="BU5" i="1"/>
  <c r="X5" i="1" s="1"/>
  <c r="BT5" i="1"/>
  <c r="BD5" i="1"/>
  <c r="AE5" i="1"/>
  <c r="AB5" i="1"/>
  <c r="Z5" i="1"/>
  <c r="P5" i="1"/>
  <c r="O5" i="1"/>
  <c r="J5" i="1"/>
  <c r="V5" i="1" s="1"/>
  <c r="I5" i="1"/>
  <c r="BF5" i="1" s="1"/>
  <c r="G5" i="1"/>
  <c r="F5" i="1"/>
  <c r="GA3" i="1"/>
  <c r="FZ3" i="1"/>
  <c r="FY3" i="1"/>
  <c r="FX3" i="1"/>
  <c r="FW3" i="1"/>
  <c r="FV3" i="1"/>
  <c r="FU3" i="1"/>
  <c r="CS3" i="1"/>
  <c r="BK3" i="1"/>
  <c r="BK4" i="1" s="1"/>
  <c r="DB2" i="1"/>
  <c r="DG21" i="1" s="1"/>
  <c r="CR2" i="1"/>
  <c r="CL2" i="1"/>
  <c r="BE1" i="1"/>
  <c r="BA14" i="1" s="1"/>
  <c r="BB14" i="1" s="1"/>
  <c r="Q103" i="2"/>
  <c r="B103" i="2" s="1"/>
  <c r="P103" i="2"/>
  <c r="M103" i="2"/>
  <c r="N103" i="2" s="1"/>
  <c r="G103" i="2"/>
  <c r="F103" i="2"/>
  <c r="Q102" i="2"/>
  <c r="B102" i="2" s="1"/>
  <c r="P102" i="2"/>
  <c r="M102" i="2"/>
  <c r="N102" i="2" s="1"/>
  <c r="G102" i="2"/>
  <c r="F102" i="2"/>
  <c r="Q101" i="2"/>
  <c r="B101" i="2" s="1"/>
  <c r="P101" i="2"/>
  <c r="M101" i="2"/>
  <c r="N101" i="2" s="1"/>
  <c r="G101" i="2"/>
  <c r="F101" i="2"/>
  <c r="Q100" i="2"/>
  <c r="B100" i="2" s="1"/>
  <c r="P100" i="2"/>
  <c r="M100" i="2"/>
  <c r="N100" i="2" s="1"/>
  <c r="G100" i="2"/>
  <c r="F100" i="2"/>
  <c r="Q99" i="2"/>
  <c r="B99" i="2" s="1"/>
  <c r="P99" i="2"/>
  <c r="N99" i="2"/>
  <c r="M99" i="2"/>
  <c r="G99" i="2"/>
  <c r="F99" i="2"/>
  <c r="Q98" i="2"/>
  <c r="B98" i="2" s="1"/>
  <c r="P98" i="2"/>
  <c r="N98" i="2"/>
  <c r="M98" i="2"/>
  <c r="G98" i="2"/>
  <c r="F98" i="2"/>
  <c r="Q97" i="2"/>
  <c r="B97" i="2" s="1"/>
  <c r="P97" i="2"/>
  <c r="N97" i="2"/>
  <c r="M97" i="2"/>
  <c r="G97" i="2"/>
  <c r="F97" i="2"/>
  <c r="Q96" i="2"/>
  <c r="B96" i="2" s="1"/>
  <c r="P96" i="2"/>
  <c r="M96" i="2"/>
  <c r="N96" i="2" s="1"/>
  <c r="G96" i="2"/>
  <c r="F96" i="2"/>
  <c r="Q95" i="2"/>
  <c r="B95" i="2" s="1"/>
  <c r="P95" i="2"/>
  <c r="N95" i="2"/>
  <c r="M95" i="2"/>
  <c r="G95" i="2"/>
  <c r="F95" i="2"/>
  <c r="Q94" i="2"/>
  <c r="B94" i="2" s="1"/>
  <c r="P94" i="2"/>
  <c r="M94" i="2"/>
  <c r="N94" i="2" s="1"/>
  <c r="G94" i="2"/>
  <c r="F94" i="2"/>
  <c r="Q93" i="2"/>
  <c r="B93" i="2" s="1"/>
  <c r="P93" i="2"/>
  <c r="N93" i="2"/>
  <c r="M93" i="2"/>
  <c r="G93" i="2"/>
  <c r="F93" i="2"/>
  <c r="Q92" i="2"/>
  <c r="B92" i="2" s="1"/>
  <c r="P92" i="2"/>
  <c r="M92" i="2"/>
  <c r="N92" i="2" s="1"/>
  <c r="G92" i="2"/>
  <c r="F92" i="2"/>
  <c r="Q91" i="2"/>
  <c r="B91" i="2" s="1"/>
  <c r="P91" i="2"/>
  <c r="N91" i="2"/>
  <c r="M91" i="2"/>
  <c r="G91" i="2"/>
  <c r="F91" i="2"/>
  <c r="Q90" i="2"/>
  <c r="B90" i="2" s="1"/>
  <c r="P90" i="2"/>
  <c r="M90" i="2"/>
  <c r="N90" i="2" s="1"/>
  <c r="G90" i="2"/>
  <c r="F90" i="2"/>
  <c r="Q89" i="2"/>
  <c r="B89" i="2" s="1"/>
  <c r="P89" i="2"/>
  <c r="M89" i="2"/>
  <c r="N89" i="2" s="1"/>
  <c r="G89" i="2"/>
  <c r="F89" i="2"/>
  <c r="Q88" i="2"/>
  <c r="B88" i="2" s="1"/>
  <c r="P88" i="2"/>
  <c r="N88" i="2"/>
  <c r="M88" i="2"/>
  <c r="G88" i="2"/>
  <c r="F88" i="2"/>
  <c r="Q87" i="2"/>
  <c r="B87" i="2" s="1"/>
  <c r="P87" i="2"/>
  <c r="N87" i="2"/>
  <c r="M87" i="2"/>
  <c r="G87" i="2"/>
  <c r="F87" i="2"/>
  <c r="Q86" i="2"/>
  <c r="B86" i="2" s="1"/>
  <c r="P86" i="2"/>
  <c r="N86" i="2"/>
  <c r="M86" i="2"/>
  <c r="G86" i="2"/>
  <c r="F86" i="2"/>
  <c r="Q85" i="2"/>
  <c r="B85" i="2" s="1"/>
  <c r="P85" i="2"/>
  <c r="N85" i="2"/>
  <c r="M85" i="2"/>
  <c r="G85" i="2"/>
  <c r="F85" i="2"/>
  <c r="Q84" i="2"/>
  <c r="B84" i="2" s="1"/>
  <c r="P84" i="2"/>
  <c r="N84" i="2"/>
  <c r="M84" i="2"/>
  <c r="G84" i="2"/>
  <c r="F84" i="2"/>
  <c r="Q83" i="2"/>
  <c r="B83" i="2" s="1"/>
  <c r="P83" i="2"/>
  <c r="N83" i="2"/>
  <c r="M83" i="2"/>
  <c r="G83" i="2"/>
  <c r="F83" i="2"/>
  <c r="Q82" i="2"/>
  <c r="B82" i="2" s="1"/>
  <c r="P82" i="2"/>
  <c r="N82" i="2"/>
  <c r="M82" i="2"/>
  <c r="G82" i="2"/>
  <c r="F82" i="2"/>
  <c r="Q81" i="2"/>
  <c r="B81" i="2" s="1"/>
  <c r="P81" i="2"/>
  <c r="N81" i="2"/>
  <c r="M81" i="2"/>
  <c r="G81" i="2"/>
  <c r="F81" i="2"/>
  <c r="Q80" i="2"/>
  <c r="B80" i="2" s="1"/>
  <c r="P80" i="2"/>
  <c r="N80" i="2"/>
  <c r="M80" i="2"/>
  <c r="G80" i="2"/>
  <c r="F80" i="2"/>
  <c r="Q79" i="2"/>
  <c r="B79" i="2" s="1"/>
  <c r="P79" i="2"/>
  <c r="M79" i="2"/>
  <c r="N79" i="2" s="1"/>
  <c r="G79" i="2"/>
  <c r="F79" i="2"/>
  <c r="Q78" i="2"/>
  <c r="B78" i="2" s="1"/>
  <c r="P78" i="2"/>
  <c r="M78" i="2"/>
  <c r="N78" i="2" s="1"/>
  <c r="G78" i="2"/>
  <c r="F78" i="2"/>
  <c r="Q77" i="2"/>
  <c r="B77" i="2" s="1"/>
  <c r="P77" i="2"/>
  <c r="M77" i="2"/>
  <c r="N77" i="2" s="1"/>
  <c r="G77" i="2"/>
  <c r="F77" i="2"/>
  <c r="Q76" i="2"/>
  <c r="B76" i="2" s="1"/>
  <c r="P76" i="2"/>
  <c r="M76" i="2"/>
  <c r="N76" i="2" s="1"/>
  <c r="G76" i="2"/>
  <c r="F76" i="2"/>
  <c r="Q75" i="2"/>
  <c r="B75" i="2" s="1"/>
  <c r="P75" i="2"/>
  <c r="M75" i="2"/>
  <c r="N75" i="2" s="1"/>
  <c r="G75" i="2"/>
  <c r="F75" i="2"/>
  <c r="Q74" i="2"/>
  <c r="B74" i="2" s="1"/>
  <c r="P74" i="2"/>
  <c r="M74" i="2"/>
  <c r="N74" i="2" s="1"/>
  <c r="G74" i="2"/>
  <c r="F74" i="2"/>
  <c r="Q73" i="2"/>
  <c r="B73" i="2" s="1"/>
  <c r="P73" i="2"/>
  <c r="M73" i="2"/>
  <c r="N73" i="2" s="1"/>
  <c r="G73" i="2"/>
  <c r="F73" i="2"/>
  <c r="Q72" i="2"/>
  <c r="B72" i="2" s="1"/>
  <c r="P72" i="2"/>
  <c r="M72" i="2"/>
  <c r="N72" i="2" s="1"/>
  <c r="G72" i="2"/>
  <c r="F72" i="2"/>
  <c r="Q71" i="2"/>
  <c r="B71" i="2" s="1"/>
  <c r="P71" i="2"/>
  <c r="M71" i="2"/>
  <c r="N71" i="2" s="1"/>
  <c r="G71" i="2"/>
  <c r="F71" i="2"/>
  <c r="Q70" i="2"/>
  <c r="B70" i="2" s="1"/>
  <c r="P70" i="2"/>
  <c r="N70" i="2"/>
  <c r="M70" i="2"/>
  <c r="G70" i="2"/>
  <c r="F70" i="2"/>
  <c r="Q69" i="2"/>
  <c r="B69" i="2" s="1"/>
  <c r="P69" i="2"/>
  <c r="N69" i="2"/>
  <c r="M69" i="2"/>
  <c r="G69" i="2"/>
  <c r="F69" i="2"/>
  <c r="Q68" i="2"/>
  <c r="B68" i="2" s="1"/>
  <c r="P68" i="2"/>
  <c r="N68" i="2"/>
  <c r="M68" i="2"/>
  <c r="G68" i="2"/>
  <c r="F68" i="2"/>
  <c r="Q67" i="2"/>
  <c r="B67" i="2" s="1"/>
  <c r="P67" i="2"/>
  <c r="M67" i="2"/>
  <c r="N67" i="2" s="1"/>
  <c r="G67" i="2"/>
  <c r="F67" i="2"/>
  <c r="Q66" i="2"/>
  <c r="B66" i="2" s="1"/>
  <c r="P66" i="2"/>
  <c r="N66" i="2"/>
  <c r="M66" i="2"/>
  <c r="G66" i="2"/>
  <c r="F66" i="2"/>
  <c r="Q65" i="2"/>
  <c r="B65" i="2" s="1"/>
  <c r="P65" i="2"/>
  <c r="M65" i="2"/>
  <c r="N65" i="2" s="1"/>
  <c r="G65" i="2"/>
  <c r="F65" i="2"/>
  <c r="Q64" i="2"/>
  <c r="B64" i="2" s="1"/>
  <c r="P64" i="2"/>
  <c r="N64" i="2"/>
  <c r="M64" i="2"/>
  <c r="G64" i="2"/>
  <c r="F64" i="2"/>
  <c r="Q63" i="2"/>
  <c r="B63" i="2" s="1"/>
  <c r="P63" i="2"/>
  <c r="M63" i="2"/>
  <c r="N63" i="2" s="1"/>
  <c r="G63" i="2"/>
  <c r="F63" i="2"/>
  <c r="Q62" i="2"/>
  <c r="B62" i="2" s="1"/>
  <c r="P62" i="2"/>
  <c r="N62" i="2"/>
  <c r="M62" i="2"/>
  <c r="G62" i="2"/>
  <c r="F62" i="2"/>
  <c r="Q61" i="2"/>
  <c r="B61" i="2" s="1"/>
  <c r="P61" i="2"/>
  <c r="M61" i="2"/>
  <c r="N61" i="2" s="1"/>
  <c r="G61" i="2"/>
  <c r="F61" i="2"/>
  <c r="Q60" i="2"/>
  <c r="B60" i="2" s="1"/>
  <c r="P60" i="2"/>
  <c r="M60" i="2"/>
  <c r="N60" i="2" s="1"/>
  <c r="G60" i="2"/>
  <c r="F60" i="2"/>
  <c r="Q59" i="2"/>
  <c r="B59" i="2" s="1"/>
  <c r="P59" i="2"/>
  <c r="N59" i="2"/>
  <c r="M59" i="2"/>
  <c r="G59" i="2"/>
  <c r="F59" i="2"/>
  <c r="Q58" i="2"/>
  <c r="B58" i="2" s="1"/>
  <c r="P58" i="2"/>
  <c r="N58" i="2"/>
  <c r="M58" i="2"/>
  <c r="G58" i="2"/>
  <c r="F58" i="2"/>
  <c r="Q57" i="2"/>
  <c r="B57" i="2" s="1"/>
  <c r="P57" i="2"/>
  <c r="M57" i="2"/>
  <c r="N57" i="2" s="1"/>
  <c r="G57" i="2"/>
  <c r="F57" i="2"/>
  <c r="Q56" i="2"/>
  <c r="B56" i="2" s="1"/>
  <c r="P56" i="2"/>
  <c r="N56" i="2"/>
  <c r="M56" i="2"/>
  <c r="G56" i="2"/>
  <c r="F56" i="2"/>
  <c r="Q55" i="2"/>
  <c r="B55" i="2" s="1"/>
  <c r="P55" i="2"/>
  <c r="M55" i="2"/>
  <c r="N55" i="2" s="1"/>
  <c r="G55" i="2"/>
  <c r="F55" i="2"/>
  <c r="P54" i="2"/>
  <c r="Q54" i="2" s="1"/>
  <c r="B54" i="2" s="1"/>
  <c r="N54" i="2"/>
  <c r="M54" i="2"/>
  <c r="AQ53" i="2"/>
  <c r="AM53" i="2"/>
  <c r="AL53" i="2"/>
  <c r="Q53" i="2"/>
  <c r="P53" i="2"/>
  <c r="N53" i="2"/>
  <c r="M53" i="2"/>
  <c r="F53" i="2"/>
  <c r="B53" i="2"/>
  <c r="AM52" i="2"/>
  <c r="AL52" i="2"/>
  <c r="Q52" i="2"/>
  <c r="B52" i="2" s="1"/>
  <c r="P52" i="2"/>
  <c r="M52" i="2"/>
  <c r="N52" i="2" s="1"/>
  <c r="AQ51" i="2"/>
  <c r="AM51" i="2"/>
  <c r="AL51" i="2"/>
  <c r="P51" i="2"/>
  <c r="Q51" i="2" s="1"/>
  <c r="B51" i="2" s="1"/>
  <c r="M51" i="2"/>
  <c r="N51" i="2" s="1"/>
  <c r="G51" i="2"/>
  <c r="F51" i="2"/>
  <c r="AQ50" i="2"/>
  <c r="AM50" i="2"/>
  <c r="AO50" i="2" s="1"/>
  <c r="AL50" i="2"/>
  <c r="P50" i="2"/>
  <c r="Q50" i="2" s="1"/>
  <c r="B50" i="2" s="1"/>
  <c r="N50" i="2"/>
  <c r="M50" i="2"/>
  <c r="G50" i="2"/>
  <c r="F50" i="2"/>
  <c r="AM49" i="2"/>
  <c r="Q49" i="2"/>
  <c r="B49" i="2" s="1"/>
  <c r="P49" i="2"/>
  <c r="M49" i="2"/>
  <c r="N49" i="2" s="1"/>
  <c r="AQ48" i="2"/>
  <c r="AM48" i="2"/>
  <c r="AL48" i="2"/>
  <c r="P48" i="2"/>
  <c r="Q48" i="2" s="1"/>
  <c r="B48" i="2" s="1"/>
  <c r="N48" i="2"/>
  <c r="M48" i="2"/>
  <c r="G48" i="2"/>
  <c r="F48" i="2"/>
  <c r="AM47" i="2"/>
  <c r="Q47" i="2"/>
  <c r="B47" i="2" s="1"/>
  <c r="P47" i="2"/>
  <c r="N47" i="2"/>
  <c r="M47" i="2"/>
  <c r="AQ46" i="2"/>
  <c r="AM46" i="2"/>
  <c r="AL46" i="2"/>
  <c r="P46" i="2"/>
  <c r="Q46" i="2" s="1"/>
  <c r="B46" i="2" s="1"/>
  <c r="M46" i="2"/>
  <c r="N46" i="2" s="1"/>
  <c r="G46" i="2"/>
  <c r="F46" i="2"/>
  <c r="AQ45" i="2"/>
  <c r="AO45" i="2"/>
  <c r="AM45" i="2"/>
  <c r="AL45" i="2"/>
  <c r="Q45" i="2"/>
  <c r="B45" i="2" s="1"/>
  <c r="P45" i="2"/>
  <c r="N45" i="2"/>
  <c r="M45" i="2"/>
  <c r="G45" i="2"/>
  <c r="F45" i="2"/>
  <c r="P44" i="2"/>
  <c r="Q44" i="2" s="1"/>
  <c r="B44" i="2" s="1"/>
  <c r="N44" i="2"/>
  <c r="M44" i="2"/>
  <c r="AQ43" i="2"/>
  <c r="AM43" i="2"/>
  <c r="AO43" i="2" s="1"/>
  <c r="AL43" i="2"/>
  <c r="Q43" i="2"/>
  <c r="B43" i="2" s="1"/>
  <c r="P43" i="2"/>
  <c r="M43" i="2"/>
  <c r="N43" i="2" s="1"/>
  <c r="F43" i="2"/>
  <c r="AM42" i="2"/>
  <c r="Q42" i="2"/>
  <c r="B42" i="2" s="1"/>
  <c r="P42" i="2"/>
  <c r="M42" i="2"/>
  <c r="N42" i="2" s="1"/>
  <c r="AQ41" i="2"/>
  <c r="AL41" i="2"/>
  <c r="Q41" i="2"/>
  <c r="B41" i="2" s="1"/>
  <c r="P41" i="2"/>
  <c r="N41" i="2"/>
  <c r="M41" i="2"/>
  <c r="G41" i="2"/>
  <c r="F41" i="2"/>
  <c r="AQ40" i="2"/>
  <c r="AM40" i="2"/>
  <c r="AL40" i="2"/>
  <c r="P40" i="2"/>
  <c r="Q40" i="2" s="1"/>
  <c r="B40" i="2" s="1"/>
  <c r="M40" i="2"/>
  <c r="N40" i="2" s="1"/>
  <c r="G40" i="2"/>
  <c r="F40" i="2"/>
  <c r="P39" i="2"/>
  <c r="Q39" i="2" s="1"/>
  <c r="B39" i="2" s="1"/>
  <c r="M39" i="2"/>
  <c r="N39" i="2" s="1"/>
  <c r="AQ38" i="2"/>
  <c r="AL38" i="2"/>
  <c r="Q38" i="2"/>
  <c r="B38" i="2" s="1"/>
  <c r="P38" i="2"/>
  <c r="M38" i="2"/>
  <c r="N38" i="2" s="1"/>
  <c r="G38" i="2"/>
  <c r="F38" i="2"/>
  <c r="AM37" i="2"/>
  <c r="Q37" i="2"/>
  <c r="B37" i="2" s="1"/>
  <c r="P37" i="2"/>
  <c r="M37" i="2"/>
  <c r="N37" i="2" s="1"/>
  <c r="AQ36" i="2"/>
  <c r="AM36" i="2"/>
  <c r="AL36" i="2"/>
  <c r="P36" i="2"/>
  <c r="Q36" i="2" s="1"/>
  <c r="B36" i="2" s="1"/>
  <c r="N36" i="2"/>
  <c r="M36" i="2"/>
  <c r="G36" i="2"/>
  <c r="F36" i="2"/>
  <c r="AQ35" i="2"/>
  <c r="AM35" i="2"/>
  <c r="AO35" i="2" s="1"/>
  <c r="AL35" i="2"/>
  <c r="Q35" i="2"/>
  <c r="B35" i="2" s="1"/>
  <c r="P35" i="2"/>
  <c r="N35" i="2"/>
  <c r="M35" i="2"/>
  <c r="F35" i="2"/>
  <c r="Q34" i="2"/>
  <c r="B34" i="2" s="1"/>
  <c r="P34" i="2"/>
  <c r="N34" i="2"/>
  <c r="M34" i="2"/>
  <c r="AQ33" i="2"/>
  <c r="AM33" i="2"/>
  <c r="AO33" i="2" s="1"/>
  <c r="AL33" i="2"/>
  <c r="Q33" i="2"/>
  <c r="B33" i="2" s="1"/>
  <c r="P33" i="2"/>
  <c r="M33" i="2"/>
  <c r="N33" i="2" s="1"/>
  <c r="F33" i="2"/>
  <c r="AM32" i="2"/>
  <c r="P32" i="2"/>
  <c r="Q32" i="2" s="1"/>
  <c r="B32" i="2" s="1"/>
  <c r="N32" i="2"/>
  <c r="M32" i="2"/>
  <c r="AQ31" i="2"/>
  <c r="AM31" i="2"/>
  <c r="AO31" i="2" s="1"/>
  <c r="AL31" i="2"/>
  <c r="Q31" i="2"/>
  <c r="B31" i="2" s="1"/>
  <c r="P31" i="2"/>
  <c r="N31" i="2"/>
  <c r="M31" i="2"/>
  <c r="F31" i="2"/>
  <c r="AZ30" i="2"/>
  <c r="AY30" i="2"/>
  <c r="AX30" i="2"/>
  <c r="AW30" i="2"/>
  <c r="AV30" i="2"/>
  <c r="BA30" i="2" s="1"/>
  <c r="AU30" i="2"/>
  <c r="AM30" i="2"/>
  <c r="AQ30" i="2" s="1"/>
  <c r="AL30" i="2"/>
  <c r="P30" i="2"/>
  <c r="Q30" i="2" s="1"/>
  <c r="B30" i="2" s="1"/>
  <c r="N30" i="2"/>
  <c r="M30" i="2"/>
  <c r="G30" i="2"/>
  <c r="F30" i="2"/>
  <c r="AZ29" i="2"/>
  <c r="AY29" i="2"/>
  <c r="AX29" i="2"/>
  <c r="AU29" i="2"/>
  <c r="AM29" i="2"/>
  <c r="P29" i="2"/>
  <c r="Q29" i="2" s="1"/>
  <c r="B29" i="2" s="1"/>
  <c r="M29" i="2"/>
  <c r="N29" i="2" s="1"/>
  <c r="AZ28" i="2"/>
  <c r="AY28" i="2"/>
  <c r="AX28" i="2"/>
  <c r="AU28" i="2"/>
  <c r="AQ28" i="2"/>
  <c r="AM28" i="2"/>
  <c r="AO28" i="2" s="1"/>
  <c r="AL28" i="2"/>
  <c r="Q28" i="2"/>
  <c r="B28" i="2" s="1"/>
  <c r="P28" i="2"/>
  <c r="M28" i="2"/>
  <c r="N28" i="2" s="1"/>
  <c r="F28" i="2"/>
  <c r="AZ27" i="2"/>
  <c r="AY27" i="2"/>
  <c r="AX27" i="2"/>
  <c r="AU27" i="2"/>
  <c r="AM27" i="2"/>
  <c r="Q27" i="2"/>
  <c r="B27" i="2" s="1"/>
  <c r="P27" i="2"/>
  <c r="M27" i="2"/>
  <c r="N27" i="2" s="1"/>
  <c r="AZ26" i="2"/>
  <c r="AY26" i="2"/>
  <c r="AX26" i="2"/>
  <c r="AW26" i="2"/>
  <c r="AV26" i="2"/>
  <c r="BA26" i="2" s="1"/>
  <c r="AU26" i="2"/>
  <c r="AM26" i="2"/>
  <c r="AQ26" i="2" s="1"/>
  <c r="AL26" i="2"/>
  <c r="P26" i="2"/>
  <c r="Q26" i="2" s="1"/>
  <c r="B26" i="2" s="1"/>
  <c r="N26" i="2"/>
  <c r="M26" i="2"/>
  <c r="G26" i="2"/>
  <c r="F26" i="2"/>
  <c r="AZ25" i="2"/>
  <c r="AY25" i="2"/>
  <c r="AX25" i="2"/>
  <c r="AW25" i="2"/>
  <c r="AV25" i="2"/>
  <c r="BA25" i="2" s="1"/>
  <c r="AU25" i="2"/>
  <c r="AQ25" i="2"/>
  <c r="AM25" i="2"/>
  <c r="AL25" i="2"/>
  <c r="P25" i="2"/>
  <c r="Q25" i="2" s="1"/>
  <c r="B25" i="2" s="1"/>
  <c r="M25" i="2"/>
  <c r="N25" i="2" s="1"/>
  <c r="G25" i="2"/>
  <c r="F25" i="2"/>
  <c r="AZ24" i="2"/>
  <c r="AY24" i="2"/>
  <c r="AX24" i="2"/>
  <c r="AW24" i="2"/>
  <c r="AV24" i="2"/>
  <c r="BA24" i="2" s="1"/>
  <c r="AU24" i="2"/>
  <c r="P24" i="2"/>
  <c r="Q24" i="2" s="1"/>
  <c r="B24" i="2" s="1"/>
  <c r="N24" i="2"/>
  <c r="M24" i="2"/>
  <c r="AZ23" i="2"/>
  <c r="AY23" i="2"/>
  <c r="AX23" i="2"/>
  <c r="AW23" i="2"/>
  <c r="AV23" i="2"/>
  <c r="BA23" i="2" s="1"/>
  <c r="AU23" i="2"/>
  <c r="AM23" i="2"/>
  <c r="AQ23" i="2" s="1"/>
  <c r="AL23" i="2"/>
  <c r="AJ23" i="2"/>
  <c r="Q23" i="2"/>
  <c r="B23" i="2" s="1"/>
  <c r="P23" i="2"/>
  <c r="M23" i="2"/>
  <c r="N23" i="2" s="1"/>
  <c r="F23" i="2"/>
  <c r="AZ22" i="2"/>
  <c r="AY22" i="2"/>
  <c r="AX22" i="2"/>
  <c r="AW22" i="2"/>
  <c r="AV22" i="2"/>
  <c r="BA22" i="2" s="1"/>
  <c r="AU22" i="2"/>
  <c r="AM22" i="2"/>
  <c r="Q22" i="2"/>
  <c r="B22" i="2" s="1"/>
  <c r="P22" i="2"/>
  <c r="N22" i="2"/>
  <c r="M22" i="2"/>
  <c r="BA21" i="2"/>
  <c r="AZ21" i="2"/>
  <c r="AY21" i="2"/>
  <c r="AX21" i="2"/>
  <c r="AW21" i="2"/>
  <c r="AV21" i="2"/>
  <c r="AU21" i="2"/>
  <c r="AQ21" i="2"/>
  <c r="AO21" i="2"/>
  <c r="AM21" i="2"/>
  <c r="AL21" i="2"/>
  <c r="Q21" i="2"/>
  <c r="B21" i="2" s="1"/>
  <c r="P21" i="2"/>
  <c r="N21" i="2"/>
  <c r="M21" i="2"/>
  <c r="G21" i="2"/>
  <c r="F21" i="2"/>
  <c r="BA20" i="2"/>
  <c r="AZ20" i="2"/>
  <c r="AY20" i="2"/>
  <c r="AX20" i="2"/>
  <c r="AW20" i="2"/>
  <c r="AV20" i="2"/>
  <c r="AU20" i="2"/>
  <c r="AM20" i="2"/>
  <c r="AL20" i="2"/>
  <c r="P20" i="2"/>
  <c r="Q20" i="2" s="1"/>
  <c r="B20" i="2" s="1"/>
  <c r="N20" i="2"/>
  <c r="M20" i="2"/>
  <c r="F20" i="2"/>
  <c r="AZ19" i="2"/>
  <c r="AY19" i="2"/>
  <c r="AX19" i="2"/>
  <c r="AW19" i="2"/>
  <c r="AV19" i="2"/>
  <c r="BA19" i="2" s="1"/>
  <c r="AU19" i="2"/>
  <c r="AM19" i="2"/>
  <c r="Q19" i="2"/>
  <c r="B19" i="2" s="1"/>
  <c r="P19" i="2"/>
  <c r="M19" i="2"/>
  <c r="N19" i="2" s="1"/>
  <c r="AZ18" i="2"/>
  <c r="AY18" i="2"/>
  <c r="AX18" i="2"/>
  <c r="AW18" i="2"/>
  <c r="AV18" i="2"/>
  <c r="BA18" i="2" s="1"/>
  <c r="AU18" i="2"/>
  <c r="AQ18" i="2"/>
  <c r="AM18" i="2"/>
  <c r="AO18" i="2" s="1"/>
  <c r="AL18" i="2"/>
  <c r="AJ18" i="2"/>
  <c r="Q18" i="2"/>
  <c r="B18" i="2" s="1"/>
  <c r="P18" i="2"/>
  <c r="N18" i="2"/>
  <c r="M18" i="2"/>
  <c r="F18" i="2"/>
  <c r="BA17" i="2"/>
  <c r="AZ17" i="2"/>
  <c r="AY17" i="2"/>
  <c r="AX17" i="2"/>
  <c r="AW17" i="2"/>
  <c r="AV17" i="2"/>
  <c r="AU17" i="2"/>
  <c r="AM17" i="2"/>
  <c r="Q17" i="2"/>
  <c r="B17" i="2" s="1"/>
  <c r="P17" i="2"/>
  <c r="N17" i="2"/>
  <c r="M17" i="2"/>
  <c r="AZ16" i="2"/>
  <c r="AY16" i="2"/>
  <c r="AX16" i="2"/>
  <c r="AU16" i="2"/>
  <c r="AM16" i="2"/>
  <c r="AL16" i="2"/>
  <c r="P16" i="2"/>
  <c r="Q16" i="2" s="1"/>
  <c r="B16" i="2" s="1"/>
  <c r="N16" i="2"/>
  <c r="M16" i="2"/>
  <c r="F16" i="2"/>
  <c r="AZ15" i="2"/>
  <c r="AY15" i="2"/>
  <c r="AX15" i="2"/>
  <c r="AU15" i="2"/>
  <c r="AM15" i="2"/>
  <c r="AQ15" i="2" s="1"/>
  <c r="AL15" i="2"/>
  <c r="AJ15" i="2"/>
  <c r="Q15" i="2"/>
  <c r="B15" i="2" s="1"/>
  <c r="P15" i="2"/>
  <c r="M15" i="2"/>
  <c r="N15" i="2" s="1"/>
  <c r="F15" i="2"/>
  <c r="AZ14" i="2"/>
  <c r="AY14" i="2"/>
  <c r="AX14" i="2"/>
  <c r="AU14" i="2"/>
  <c r="AM14" i="2"/>
  <c r="Q14" i="2"/>
  <c r="B14" i="2" s="1"/>
  <c r="P14" i="2"/>
  <c r="N14" i="2"/>
  <c r="M14" i="2"/>
  <c r="AZ13" i="2"/>
  <c r="AY13" i="2"/>
  <c r="AX13" i="2"/>
  <c r="AU13" i="2"/>
  <c r="AQ13" i="2"/>
  <c r="AO13" i="2"/>
  <c r="AM13" i="2"/>
  <c r="AL13" i="2"/>
  <c r="Q13" i="2"/>
  <c r="B13" i="2" s="1"/>
  <c r="P13" i="2"/>
  <c r="N13" i="2"/>
  <c r="M13" i="2"/>
  <c r="G13" i="2"/>
  <c r="F13" i="2"/>
  <c r="BA12" i="2"/>
  <c r="AZ12" i="2"/>
  <c r="AY12" i="2"/>
  <c r="AX12" i="2"/>
  <c r="AV12" i="2"/>
  <c r="AU12" i="2"/>
  <c r="AM12" i="2"/>
  <c r="P12" i="2"/>
  <c r="Q12" i="2" s="1"/>
  <c r="B12" i="2" s="1"/>
  <c r="N12" i="2"/>
  <c r="M12" i="2"/>
  <c r="AZ11" i="2"/>
  <c r="AY11" i="2"/>
  <c r="AX11" i="2"/>
  <c r="AW11" i="2"/>
  <c r="AV11" i="2"/>
  <c r="BA11" i="2" s="1"/>
  <c r="AU11" i="2"/>
  <c r="AM11" i="2"/>
  <c r="AQ11" i="2" s="1"/>
  <c r="AL11" i="2"/>
  <c r="AJ11" i="2"/>
  <c r="Q11" i="2"/>
  <c r="B11" i="2" s="1"/>
  <c r="P11" i="2"/>
  <c r="M11" i="2"/>
  <c r="N11" i="2" s="1"/>
  <c r="F11" i="2"/>
  <c r="AZ10" i="2"/>
  <c r="AY10" i="2"/>
  <c r="AX10" i="2"/>
  <c r="AW10" i="2"/>
  <c r="AV10" i="2"/>
  <c r="BA10" i="2" s="1"/>
  <c r="AU10" i="2"/>
  <c r="AQ10" i="2"/>
  <c r="AM10" i="2"/>
  <c r="AO10" i="2" s="1"/>
  <c r="AL10" i="2"/>
  <c r="AJ10" i="2"/>
  <c r="Q10" i="2"/>
  <c r="B10" i="2" s="1"/>
  <c r="P10" i="2"/>
  <c r="N10" i="2"/>
  <c r="M10" i="2"/>
  <c r="F10" i="2"/>
  <c r="BA9" i="2"/>
  <c r="AZ9" i="2"/>
  <c r="AY9" i="2"/>
  <c r="AX9" i="2"/>
  <c r="AW9" i="2"/>
  <c r="AV9" i="2"/>
  <c r="AU9" i="2"/>
  <c r="AM9" i="2"/>
  <c r="Q9" i="2"/>
  <c r="B9" i="2" s="1"/>
  <c r="P9" i="2"/>
  <c r="N9" i="2"/>
  <c r="M9" i="2"/>
  <c r="BA8" i="2"/>
  <c r="AZ8" i="2"/>
  <c r="AY8" i="2"/>
  <c r="AX8" i="2"/>
  <c r="AW8" i="2"/>
  <c r="AV8" i="2"/>
  <c r="AU8" i="2"/>
  <c r="AM8" i="2"/>
  <c r="AL8" i="2"/>
  <c r="P8" i="2"/>
  <c r="Q8" i="2" s="1"/>
  <c r="B8" i="2" s="1"/>
  <c r="N8" i="2"/>
  <c r="M8" i="2"/>
  <c r="F8" i="2"/>
  <c r="AZ7" i="2"/>
  <c r="AY7" i="2"/>
  <c r="AX7" i="2"/>
  <c r="AW7" i="2"/>
  <c r="AV7" i="2"/>
  <c r="BA7" i="2" s="1"/>
  <c r="AU7" i="2"/>
  <c r="AM7" i="2"/>
  <c r="Q7" i="2"/>
  <c r="B7" i="2" s="1"/>
  <c r="P7" i="2"/>
  <c r="M7" i="2"/>
  <c r="N7" i="2" s="1"/>
  <c r="AZ6" i="2"/>
  <c r="AY6" i="2"/>
  <c r="AX6" i="2"/>
  <c r="AV6" i="2"/>
  <c r="BA6" i="2" s="1"/>
  <c r="AU6" i="2"/>
  <c r="AD5" i="2" s="1"/>
  <c r="AQ6" i="2"/>
  <c r="AM6" i="2"/>
  <c r="AO6" i="2" s="1"/>
  <c r="AL6" i="2"/>
  <c r="AJ6" i="2"/>
  <c r="Q6" i="2"/>
  <c r="B6" i="2" s="1"/>
  <c r="P6" i="2"/>
  <c r="N6" i="2"/>
  <c r="M6" i="2"/>
  <c r="F6" i="2"/>
  <c r="BA5" i="2"/>
  <c r="AZ5" i="2"/>
  <c r="AY5" i="2"/>
  <c r="AX5" i="2"/>
  <c r="AW5" i="2"/>
  <c r="AV5" i="2"/>
  <c r="AU5" i="2"/>
  <c r="AQ5" i="2"/>
  <c r="AO5" i="2"/>
  <c r="AM5" i="2"/>
  <c r="AL5" i="2"/>
  <c r="AJ5" i="2"/>
  <c r="Q5" i="2"/>
  <c r="B5" i="2" s="1"/>
  <c r="P5" i="2"/>
  <c r="N5" i="2"/>
  <c r="M5" i="2"/>
  <c r="G5" i="2"/>
  <c r="F5" i="2"/>
  <c r="AZ4" i="2"/>
  <c r="AY4" i="2"/>
  <c r="AX4" i="2"/>
  <c r="AN50" i="2" s="1"/>
  <c r="AW4" i="2"/>
  <c r="AV4" i="2"/>
  <c r="AU4" i="2"/>
  <c r="AK3" i="2"/>
  <c r="AI3" i="2"/>
  <c r="AK2" i="2"/>
  <c r="AI2" i="2"/>
  <c r="M2" i="2"/>
  <c r="AK1" i="2"/>
  <c r="AI1" i="2"/>
  <c r="AR32" i="22"/>
  <c r="AR31" i="22"/>
  <c r="AR30" i="22"/>
  <c r="AR27" i="22"/>
  <c r="AR26" i="22"/>
  <c r="AR25" i="22"/>
  <c r="AR21" i="22"/>
  <c r="AR20" i="22"/>
  <c r="AR16" i="22"/>
  <c r="AR15" i="22"/>
  <c r="AR14" i="22"/>
  <c r="AR11" i="22"/>
  <c r="AR10" i="22"/>
  <c r="H10" i="22"/>
  <c r="AU9" i="22"/>
  <c r="AR9" i="22"/>
  <c r="H9" i="22"/>
  <c r="AR8" i="22"/>
  <c r="M8" i="22"/>
  <c r="I8" i="22"/>
  <c r="H8" i="22"/>
  <c r="AR7" i="22"/>
  <c r="Q7" i="22"/>
  <c r="M7" i="22"/>
  <c r="I7" i="22"/>
  <c r="H7" i="22"/>
  <c r="AR6" i="22"/>
  <c r="Q6" i="22"/>
  <c r="M6" i="22"/>
  <c r="I6" i="22"/>
  <c r="H6" i="22"/>
  <c r="AU5" i="22"/>
  <c r="AR5" i="22"/>
  <c r="Q5" i="22"/>
  <c r="M5" i="22"/>
  <c r="H5" i="22"/>
  <c r="BA15" i="27"/>
  <c r="AY15" i="27"/>
  <c r="AV15" i="27"/>
  <c r="AT15" i="27"/>
  <c r="U15" i="27"/>
  <c r="O15" i="27"/>
  <c r="BA14" i="27"/>
  <c r="AY14" i="27"/>
  <c r="AV14" i="27"/>
  <c r="AT14" i="27"/>
  <c r="U14" i="27"/>
  <c r="O14" i="27"/>
  <c r="BA13" i="27"/>
  <c r="AY13" i="27"/>
  <c r="AV13" i="27"/>
  <c r="AT13" i="27"/>
  <c r="U13" i="27"/>
  <c r="O13" i="27"/>
  <c r="BA12" i="27"/>
  <c r="AY12" i="27"/>
  <c r="AV12" i="27"/>
  <c r="AT12" i="27"/>
  <c r="U12" i="27"/>
  <c r="O12" i="27"/>
  <c r="BA11" i="27"/>
  <c r="AY11" i="27"/>
  <c r="AV11" i="27"/>
  <c r="AT11" i="27"/>
  <c r="U11" i="27"/>
  <c r="O11" i="27"/>
  <c r="BA10" i="27"/>
  <c r="AY10" i="27"/>
  <c r="AV10" i="27"/>
  <c r="AT10" i="27"/>
  <c r="U10" i="27"/>
  <c r="O10" i="27"/>
  <c r="BA9" i="27"/>
  <c r="AY9" i="27"/>
  <c r="AV9" i="27"/>
  <c r="AT9" i="27"/>
  <c r="U9" i="27"/>
  <c r="O9" i="27"/>
  <c r="BA8" i="27"/>
  <c r="AY8" i="27"/>
  <c r="AV8" i="27"/>
  <c r="AT8" i="27"/>
  <c r="U8" i="27"/>
  <c r="O8" i="27"/>
  <c r="BA7" i="27"/>
  <c r="AY7" i="27"/>
  <c r="AV7" i="27"/>
  <c r="AT7" i="27"/>
  <c r="U7" i="27"/>
  <c r="O7" i="27"/>
  <c r="BA6" i="27"/>
  <c r="AY6" i="27"/>
  <c r="AV6" i="27"/>
  <c r="AT6" i="27"/>
  <c r="AJ6" i="27"/>
  <c r="AI6" i="27" s="1"/>
  <c r="U6" i="27"/>
  <c r="O6" i="27"/>
  <c r="BA5" i="27"/>
  <c r="AY5" i="27"/>
  <c r="AV5" i="27"/>
  <c r="AT5" i="27"/>
  <c r="AI5" i="27"/>
  <c r="U5" i="27"/>
  <c r="O5" i="27"/>
  <c r="P263" i="8"/>
  <c r="O263" i="8"/>
  <c r="N263" i="8"/>
  <c r="T262" i="8" s="1"/>
  <c r="B262" i="8"/>
  <c r="T260" i="8"/>
  <c r="B260" i="8"/>
  <c r="T259" i="8"/>
  <c r="FX1" i="1" s="1"/>
  <c r="FZ6" i="1" s="1"/>
  <c r="B259" i="8"/>
  <c r="B258" i="8"/>
  <c r="B257" i="8"/>
  <c r="B252" i="8"/>
  <c r="B250" i="8"/>
  <c r="B210" i="8"/>
  <c r="N209" i="8"/>
  <c r="M209" i="8"/>
  <c r="N208" i="8"/>
  <c r="M208" i="8"/>
  <c r="N207" i="8"/>
  <c r="M207" i="8"/>
  <c r="B207" i="8"/>
  <c r="N206" i="8"/>
  <c r="M206" i="8"/>
  <c r="N205" i="8"/>
  <c r="M205" i="8"/>
  <c r="N204" i="8"/>
  <c r="M204" i="8"/>
  <c r="N203" i="8"/>
  <c r="M203" i="8"/>
  <c r="E203" i="8"/>
  <c r="N202" i="8"/>
  <c r="M202" i="8"/>
  <c r="N201" i="8"/>
  <c r="M201" i="8"/>
  <c r="N200" i="8"/>
  <c r="M200" i="8"/>
  <c r="N199" i="8"/>
  <c r="M199" i="8"/>
  <c r="N198" i="8"/>
  <c r="M198" i="8"/>
  <c r="N197" i="8"/>
  <c r="M197" i="8"/>
  <c r="B195" i="8"/>
  <c r="B85" i="8"/>
  <c r="R67" i="8"/>
  <c r="Q66" i="8"/>
  <c r="K66" i="8"/>
  <c r="R65" i="8"/>
  <c r="S65" i="8" s="1"/>
  <c r="S66" i="8" s="1"/>
  <c r="T66" i="8" s="1"/>
  <c r="Q65" i="8"/>
  <c r="K65" i="8"/>
  <c r="I65" i="8"/>
  <c r="I66" i="8" s="1"/>
  <c r="B49" i="8"/>
  <c r="B48" i="8"/>
  <c r="B41" i="8"/>
  <c r="L40" i="8"/>
  <c r="B40" i="8"/>
  <c r="O39" i="8"/>
  <c r="N39" i="8"/>
  <c r="M39" i="8"/>
  <c r="O38" i="8"/>
  <c r="O40" i="8" s="1"/>
  <c r="N38" i="8"/>
  <c r="N40" i="8" s="1"/>
  <c r="M38" i="8"/>
  <c r="B37" i="8"/>
  <c r="B33" i="8"/>
  <c r="B29" i="8"/>
  <c r="O25" i="8"/>
  <c r="P25" i="8" s="1"/>
  <c r="O24" i="8"/>
  <c r="P24" i="8" s="1"/>
  <c r="P23" i="8"/>
  <c r="O23" i="8"/>
  <c r="O22" i="8"/>
  <c r="P22" i="8" s="1"/>
  <c r="O21" i="8"/>
  <c r="P21" i="8" s="1"/>
  <c r="O20" i="8"/>
  <c r="P20" i="8" s="1"/>
  <c r="O19" i="8"/>
  <c r="P19" i="8" s="1"/>
  <c r="P18" i="8"/>
  <c r="O18" i="8"/>
  <c r="B18" i="8"/>
  <c r="T39" i="25" s="1"/>
  <c r="P17" i="8"/>
  <c r="O17" i="8"/>
  <c r="O16" i="8"/>
  <c r="P16" i="8" s="1"/>
  <c r="O15" i="8"/>
  <c r="P15" i="8" s="1"/>
  <c r="B13" i="8"/>
  <c r="B6" i="8"/>
  <c r="CV24" i="10"/>
  <c r="CR24" i="10"/>
  <c r="CN24" i="10"/>
  <c r="CL24" i="10"/>
  <c r="CI24" i="10"/>
  <c r="AW24" i="10"/>
  <c r="AU24" i="10" s="1"/>
  <c r="AV24" i="10" s="1"/>
  <c r="AS24" i="10"/>
  <c r="AR24" i="10"/>
  <c r="AQ24" i="10"/>
  <c r="AO24" i="10" s="1"/>
  <c r="AM24" i="10"/>
  <c r="AL24" i="10"/>
  <c r="AK24" i="10"/>
  <c r="AJ24" i="10"/>
  <c r="AI24" i="10"/>
  <c r="AG24" i="10"/>
  <c r="AF24" i="10"/>
  <c r="AA24" i="10"/>
  <c r="AB24" i="10" s="1"/>
  <c r="Y24" i="10"/>
  <c r="W24" i="10"/>
  <c r="U24" i="10"/>
  <c r="N24" i="10"/>
  <c r="G24" i="10"/>
  <c r="CV23" i="10"/>
  <c r="CR23" i="10"/>
  <c r="CN23" i="10"/>
  <c r="CI23" i="10"/>
  <c r="CL23" i="10" s="1"/>
  <c r="W23" i="10" s="1"/>
  <c r="AW23" i="10"/>
  <c r="AU23" i="10"/>
  <c r="AV23" i="10" s="1"/>
  <c r="AS23" i="10"/>
  <c r="AR23" i="10"/>
  <c r="AQ23" i="10"/>
  <c r="AO23" i="10" s="1"/>
  <c r="AP23" i="10" s="1"/>
  <c r="AM23" i="10"/>
  <c r="AL23" i="10"/>
  <c r="AK23" i="10"/>
  <c r="AI23" i="10" s="1"/>
  <c r="AJ23" i="10" s="1"/>
  <c r="AG23" i="10"/>
  <c r="AF23" i="10"/>
  <c r="AB23" i="10"/>
  <c r="AA23" i="10"/>
  <c r="Y23" i="10"/>
  <c r="U23" i="10"/>
  <c r="N23" i="10"/>
  <c r="H23" i="10"/>
  <c r="G23" i="10"/>
  <c r="CV22" i="10"/>
  <c r="CR22" i="10"/>
  <c r="CN22" i="10"/>
  <c r="CI22" i="10"/>
  <c r="CL22" i="10" s="1"/>
  <c r="W22" i="10" s="1"/>
  <c r="AW22" i="10"/>
  <c r="AU22" i="10" s="1"/>
  <c r="AV22" i="10"/>
  <c r="AR22" i="10"/>
  <c r="AS22" i="10" s="1"/>
  <c r="AQ22" i="10"/>
  <c r="AO22" i="10"/>
  <c r="AP22" i="10" s="1"/>
  <c r="AL22" i="10"/>
  <c r="AK22" i="10"/>
  <c r="AI22" i="10"/>
  <c r="AJ22" i="10" s="1"/>
  <c r="AG22" i="10"/>
  <c r="AF22" i="10"/>
  <c r="AB22" i="10"/>
  <c r="AA22" i="10"/>
  <c r="U22" i="10" s="1"/>
  <c r="Y22" i="10"/>
  <c r="N22" i="10"/>
  <c r="G22" i="10"/>
  <c r="CV21" i="10"/>
  <c r="CR21" i="10"/>
  <c r="CN21" i="10"/>
  <c r="CI21" i="10"/>
  <c r="CL21" i="10" s="1"/>
  <c r="W21" i="10" s="1"/>
  <c r="AW21" i="10"/>
  <c r="AV21" i="10"/>
  <c r="AU21" i="10"/>
  <c r="AS21" i="10"/>
  <c r="AR21" i="10"/>
  <c r="AQ21" i="10"/>
  <c r="AO21" i="10"/>
  <c r="AP21" i="10" s="1"/>
  <c r="AL21" i="10"/>
  <c r="AM21" i="10" s="1"/>
  <c r="AK21" i="10"/>
  <c r="AI21" i="10" s="1"/>
  <c r="AJ21" i="10"/>
  <c r="AF21" i="10"/>
  <c r="AG21" i="10" s="1"/>
  <c r="AB21" i="10"/>
  <c r="AA21" i="10"/>
  <c r="Y21" i="10"/>
  <c r="U21" i="10"/>
  <c r="N21" i="10"/>
  <c r="G21" i="10"/>
  <c r="CV20" i="10"/>
  <c r="CR20" i="10"/>
  <c r="CN20" i="10"/>
  <c r="CL20" i="10"/>
  <c r="CI20" i="10"/>
  <c r="AW20" i="10"/>
  <c r="AU20" i="10" s="1"/>
  <c r="AV20" i="10" s="1"/>
  <c r="AS20" i="10"/>
  <c r="AR20" i="10"/>
  <c r="AQ20" i="10"/>
  <c r="AO20" i="10" s="1"/>
  <c r="AP20" i="10" s="1"/>
  <c r="AL20" i="10"/>
  <c r="AM20" i="10" s="1"/>
  <c r="AK20" i="10"/>
  <c r="AJ20" i="10"/>
  <c r="AI20" i="10"/>
  <c r="AG20" i="10"/>
  <c r="AF20" i="10"/>
  <c r="AE20" i="10"/>
  <c r="AA20" i="10"/>
  <c r="AB20" i="10" s="1"/>
  <c r="Y20" i="10"/>
  <c r="W20" i="10"/>
  <c r="U20" i="10"/>
  <c r="N20" i="10"/>
  <c r="G20" i="10"/>
  <c r="CV19" i="10"/>
  <c r="CR19" i="10"/>
  <c r="CN19" i="10"/>
  <c r="CL19" i="10"/>
  <c r="W19" i="10" s="1"/>
  <c r="CI19" i="10"/>
  <c r="AC19" i="10"/>
  <c r="AB19" i="10"/>
  <c r="AA19" i="10"/>
  <c r="U19" i="10" s="1"/>
  <c r="Y19" i="10"/>
  <c r="N19" i="10"/>
  <c r="H19" i="10"/>
  <c r="H24" i="10" s="1"/>
  <c r="G19" i="10"/>
  <c r="C19" i="10"/>
  <c r="C24" i="10" s="1"/>
  <c r="CV18" i="10"/>
  <c r="CR18" i="10"/>
  <c r="CN18" i="10"/>
  <c r="CI18" i="10"/>
  <c r="CL18" i="10" s="1"/>
  <c r="W18" i="10" s="1"/>
  <c r="AH18" i="10"/>
  <c r="AH19" i="10" s="1"/>
  <c r="AF19" i="10" s="1"/>
  <c r="AC18" i="10"/>
  <c r="AA18" i="10"/>
  <c r="AB18" i="10" s="1"/>
  <c r="Y18" i="10"/>
  <c r="U18" i="10"/>
  <c r="N18" i="10"/>
  <c r="H18" i="10"/>
  <c r="G18" i="10"/>
  <c r="C18" i="10"/>
  <c r="C23" i="10" s="1"/>
  <c r="CV17" i="10"/>
  <c r="CR17" i="10"/>
  <c r="CN17" i="10"/>
  <c r="CL17" i="10"/>
  <c r="W17" i="10" s="1"/>
  <c r="CI17" i="10"/>
  <c r="BH17" i="10"/>
  <c r="BH18" i="10" s="1"/>
  <c r="BH19" i="10" s="1"/>
  <c r="AC17" i="10"/>
  <c r="AB17" i="10"/>
  <c r="AA17" i="10"/>
  <c r="U17" i="10" s="1"/>
  <c r="Y17" i="10"/>
  <c r="N17" i="10"/>
  <c r="H17" i="10"/>
  <c r="H22" i="10" s="1"/>
  <c r="G17" i="10"/>
  <c r="C17" i="10"/>
  <c r="C22" i="10" s="1"/>
  <c r="CV16" i="10"/>
  <c r="CR16" i="10"/>
  <c r="CN16" i="10"/>
  <c r="CL16" i="10"/>
  <c r="W16" i="10" s="1"/>
  <c r="CI16" i="10"/>
  <c r="BN16" i="10"/>
  <c r="BN17" i="10" s="1"/>
  <c r="BN18" i="10" s="1"/>
  <c r="BN19" i="10" s="1"/>
  <c r="BE16" i="10"/>
  <c r="BE17" i="10" s="1"/>
  <c r="AH16" i="10"/>
  <c r="AH17" i="10" s="1"/>
  <c r="AF17" i="10" s="1"/>
  <c r="AF16" i="10"/>
  <c r="AG16" i="10" s="1"/>
  <c r="AC16" i="10"/>
  <c r="AA16" i="10"/>
  <c r="AB16" i="10" s="1"/>
  <c r="Y16" i="10"/>
  <c r="U16" i="10"/>
  <c r="N16" i="10"/>
  <c r="H16" i="10"/>
  <c r="H21" i="10" s="1"/>
  <c r="G16" i="10"/>
  <c r="C16" i="10"/>
  <c r="C21" i="10" s="1"/>
  <c r="CV15" i="10"/>
  <c r="CR15" i="10"/>
  <c r="CN15" i="10"/>
  <c r="CL15" i="10"/>
  <c r="CI15" i="10"/>
  <c r="BN15" i="10"/>
  <c r="BK15" i="10"/>
  <c r="BK16" i="10" s="1"/>
  <c r="BJ15" i="10"/>
  <c r="BI15" i="10"/>
  <c r="BH15" i="10"/>
  <c r="BH16" i="10" s="1"/>
  <c r="BE15" i="10"/>
  <c r="BD15" i="10"/>
  <c r="BC15" i="10"/>
  <c r="BB15" i="10"/>
  <c r="AF15" i="10"/>
  <c r="AG15" i="10" s="1"/>
  <c r="AE15" i="10"/>
  <c r="AA15" i="10"/>
  <c r="Y15" i="10"/>
  <c r="W15" i="10"/>
  <c r="T15" i="10"/>
  <c r="N15" i="10"/>
  <c r="H15" i="10"/>
  <c r="H20" i="10" s="1"/>
  <c r="G15" i="10"/>
  <c r="C15" i="10"/>
  <c r="C20" i="10" s="1"/>
  <c r="CV14" i="10"/>
  <c r="CR14" i="10"/>
  <c r="CN14" i="10"/>
  <c r="CI14" i="10"/>
  <c r="CL14" i="10" s="1"/>
  <c r="W14" i="10" s="1"/>
  <c r="CG14" i="10"/>
  <c r="AC14" i="10"/>
  <c r="AA14" i="10"/>
  <c r="AB14" i="10" s="1"/>
  <c r="Y14" i="10"/>
  <c r="U14" i="10"/>
  <c r="N14" i="10"/>
  <c r="G14" i="10"/>
  <c r="C14" i="10"/>
  <c r="CV13" i="10"/>
  <c r="CR13" i="10"/>
  <c r="CN13" i="10"/>
  <c r="CI13" i="10"/>
  <c r="CL13" i="10" s="1"/>
  <c r="W13" i="10" s="1"/>
  <c r="CG13" i="10"/>
  <c r="AC13" i="10"/>
  <c r="AA13" i="10"/>
  <c r="U13" i="10" s="1"/>
  <c r="Y13" i="10"/>
  <c r="N13" i="10"/>
  <c r="G13" i="10"/>
  <c r="CV12" i="10"/>
  <c r="CR12" i="10"/>
  <c r="CN12" i="10"/>
  <c r="CI12" i="10"/>
  <c r="CL12" i="10" s="1"/>
  <c r="W12" i="10" s="1"/>
  <c r="CG12" i="10"/>
  <c r="BK12" i="10"/>
  <c r="AC12" i="10"/>
  <c r="AA12" i="10" s="1"/>
  <c r="AB12" i="10" s="1"/>
  <c r="Y12" i="10"/>
  <c r="U12" i="10"/>
  <c r="N12" i="10"/>
  <c r="G12" i="10"/>
  <c r="CV11" i="10"/>
  <c r="CR11" i="10"/>
  <c r="CN11" i="10"/>
  <c r="CI11" i="10"/>
  <c r="CL11" i="10" s="1"/>
  <c r="W11" i="10" s="1"/>
  <c r="CG11" i="10"/>
  <c r="BN11" i="10"/>
  <c r="BN12" i="10" s="1"/>
  <c r="BN13" i="10" s="1"/>
  <c r="BN14" i="10" s="1"/>
  <c r="BL14" i="10" s="1"/>
  <c r="BM14" i="10" s="1"/>
  <c r="BK11" i="10"/>
  <c r="BI11" i="10" s="1"/>
  <c r="BJ11" i="10" s="1"/>
  <c r="AH11" i="10"/>
  <c r="AC11" i="10"/>
  <c r="AA11" i="10" s="1"/>
  <c r="U11" i="10" s="1"/>
  <c r="AB11" i="10"/>
  <c r="Y11" i="10"/>
  <c r="N11" i="10"/>
  <c r="G11" i="10"/>
  <c r="CV10" i="10"/>
  <c r="CR10" i="10"/>
  <c r="CN10" i="10"/>
  <c r="CL10" i="10"/>
  <c r="W10" i="10" s="1"/>
  <c r="CI10" i="10"/>
  <c r="BN10" i="10"/>
  <c r="BK10" i="10"/>
  <c r="BJ10" i="10"/>
  <c r="BI10" i="10"/>
  <c r="BH10" i="10"/>
  <c r="BH2" i="10" s="1"/>
  <c r="BE10" i="10"/>
  <c r="BC10" i="10" s="1"/>
  <c r="BD10" i="10" s="1"/>
  <c r="BB10" i="10"/>
  <c r="AF10" i="10"/>
  <c r="AG10" i="10" s="1"/>
  <c r="AE10" i="10"/>
  <c r="AA10" i="10"/>
  <c r="Y10" i="10"/>
  <c r="T10" i="10"/>
  <c r="N10" i="10"/>
  <c r="G10" i="10"/>
  <c r="CV9" i="10"/>
  <c r="CR9" i="10"/>
  <c r="CN9" i="10"/>
  <c r="CL9" i="10"/>
  <c r="W9" i="10" s="1"/>
  <c r="CI9" i="10"/>
  <c r="AC9" i="10"/>
  <c r="AA9" i="10"/>
  <c r="AB9" i="10" s="1"/>
  <c r="Y9" i="10"/>
  <c r="U9" i="10"/>
  <c r="N9" i="10"/>
  <c r="G9" i="10"/>
  <c r="CV8" i="10"/>
  <c r="CR8" i="10"/>
  <c r="CN8" i="10"/>
  <c r="CI8" i="10"/>
  <c r="CL8" i="10" s="1"/>
  <c r="W8" i="10" s="1"/>
  <c r="BL8" i="10"/>
  <c r="BM8" i="10" s="1"/>
  <c r="AC8" i="10"/>
  <c r="AA8" i="10" s="1"/>
  <c r="AB8" i="10" s="1"/>
  <c r="Y8" i="10"/>
  <c r="N8" i="10"/>
  <c r="G8" i="10"/>
  <c r="CV7" i="10"/>
  <c r="CR7" i="10"/>
  <c r="CN7" i="10"/>
  <c r="CI7" i="10"/>
  <c r="CL7" i="10" s="1"/>
  <c r="W7" i="10" s="1"/>
  <c r="BN7" i="10"/>
  <c r="BN8" i="10" s="1"/>
  <c r="BN9" i="10" s="1"/>
  <c r="BE7" i="10"/>
  <c r="BC7" i="10" s="1"/>
  <c r="BD7" i="10" s="1"/>
  <c r="AH7" i="10"/>
  <c r="AC7" i="10"/>
  <c r="AB7" i="10"/>
  <c r="AA7" i="10"/>
  <c r="Y7" i="10"/>
  <c r="U7" i="10"/>
  <c r="N7" i="10"/>
  <c r="G7" i="10"/>
  <c r="CV6" i="10"/>
  <c r="CR6" i="10"/>
  <c r="CN6" i="10"/>
  <c r="CI6" i="10"/>
  <c r="CL6" i="10" s="1"/>
  <c r="W6" i="10" s="1"/>
  <c r="BN6" i="10"/>
  <c r="BL6" i="10"/>
  <c r="BM6" i="10" s="1"/>
  <c r="BK6" i="10"/>
  <c r="BK7" i="10" s="1"/>
  <c r="BK8" i="10" s="1"/>
  <c r="BH6" i="10"/>
  <c r="BH7" i="10" s="1"/>
  <c r="BH8" i="10" s="1"/>
  <c r="BH9" i="10" s="1"/>
  <c r="BE6" i="10"/>
  <c r="BC6" i="10"/>
  <c r="BD6" i="10" s="1"/>
  <c r="BB6" i="10"/>
  <c r="BB7" i="10" s="1"/>
  <c r="AH6" i="10"/>
  <c r="AF6" i="10"/>
  <c r="AG6" i="10" s="1"/>
  <c r="AC6" i="10"/>
  <c r="AA6" i="10" s="1"/>
  <c r="Y6" i="10"/>
  <c r="N6" i="10"/>
  <c r="G6" i="10"/>
  <c r="CV5" i="10"/>
  <c r="CR5" i="10"/>
  <c r="CN5" i="10"/>
  <c r="CI5" i="10"/>
  <c r="CL5" i="10" s="1"/>
  <c r="W5" i="10" s="1"/>
  <c r="BI5" i="10"/>
  <c r="BJ5" i="10" s="1"/>
  <c r="BC5" i="10"/>
  <c r="BD5" i="10" s="1"/>
  <c r="AY5" i="10"/>
  <c r="AG5" i="10"/>
  <c r="AF5" i="10"/>
  <c r="AE5" i="10"/>
  <c r="AB5" i="10"/>
  <c r="AA5" i="10"/>
  <c r="U5" i="10" s="1"/>
  <c r="Y5" i="10"/>
  <c r="T5" i="10"/>
  <c r="N5" i="10"/>
  <c r="G5" i="10"/>
  <c r="BN3" i="10"/>
  <c r="BL18" i="10" s="1"/>
  <c r="BM18" i="10" s="1"/>
  <c r="BH3" i="10"/>
  <c r="BF18" i="10" s="1"/>
  <c r="BG18" i="10" s="1"/>
  <c r="BN2" i="10"/>
  <c r="BN1" i="10"/>
  <c r="BH1" i="10"/>
  <c r="BB1" i="10"/>
  <c r="AZ6" i="10" s="1"/>
  <c r="CZ5" i="31" l="1"/>
  <c r="H5" i="31" s="1"/>
  <c r="G9" i="31"/>
  <c r="CZ45" i="31"/>
  <c r="H9" i="31" s="1"/>
  <c r="DP13" i="1"/>
  <c r="DQ13" i="1"/>
  <c r="DN47" i="1"/>
  <c r="DM47" i="1"/>
  <c r="DK54" i="1"/>
  <c r="DJ58" i="1"/>
  <c r="DK18" i="1"/>
  <c r="DN18" i="1" s="1"/>
  <c r="DJ47" i="1"/>
  <c r="DK5" i="1"/>
  <c r="DK6" i="1"/>
  <c r="DK45" i="1"/>
  <c r="DN45" i="1" s="1"/>
  <c r="DQ45" i="1" s="1"/>
  <c r="DJ46" i="1"/>
  <c r="DJ55" i="1"/>
  <c r="AJ7" i="27"/>
  <c r="AI7" i="27" s="1"/>
  <c r="V262" i="8"/>
  <c r="X262" i="8" s="1"/>
  <c r="U262" i="8"/>
  <c r="BB40" i="1"/>
  <c r="J39" i="1"/>
  <c r="BF39" i="1" s="1"/>
  <c r="BB8" i="10"/>
  <c r="AY7" i="10"/>
  <c r="BA6" i="10"/>
  <c r="BI8" i="10"/>
  <c r="BJ8" i="10" s="1"/>
  <c r="BK9" i="10"/>
  <c r="BI9" i="10" s="1"/>
  <c r="BJ9" i="10" s="1"/>
  <c r="U6" i="10"/>
  <c r="AB6" i="10"/>
  <c r="AD18" i="2"/>
  <c r="AO47" i="2"/>
  <c r="BI7" i="10"/>
  <c r="BJ7" i="10" s="1"/>
  <c r="BI16" i="10"/>
  <c r="BJ16" i="10" s="1"/>
  <c r="BK17" i="10"/>
  <c r="AF18" i="10"/>
  <c r="T22" i="10"/>
  <c r="AM22" i="10"/>
  <c r="Z5" i="2"/>
  <c r="AJ7" i="2"/>
  <c r="V12" i="2"/>
  <c r="Z17" i="2"/>
  <c r="AO27" i="2"/>
  <c r="U31" i="2"/>
  <c r="V32" i="2"/>
  <c r="Z34" i="2"/>
  <c r="AO39" i="2"/>
  <c r="AN46" i="2"/>
  <c r="AF11" i="10"/>
  <c r="AH12" i="10"/>
  <c r="BI12" i="10"/>
  <c r="BJ12" i="10" s="1"/>
  <c r="BK13" i="10"/>
  <c r="AP2" i="2"/>
  <c r="AQ12" i="2"/>
  <c r="AO12" i="2"/>
  <c r="AN12" i="2"/>
  <c r="G12" i="2" s="1"/>
  <c r="AC25" i="2"/>
  <c r="AI26" i="2"/>
  <c r="Y28" i="2"/>
  <c r="AI30" i="2"/>
  <c r="AQ32" i="2"/>
  <c r="AO32" i="2"/>
  <c r="AN32" i="2"/>
  <c r="G32" i="2" s="1"/>
  <c r="AN33" i="2"/>
  <c r="AI36" i="2"/>
  <c r="AJ37" i="2"/>
  <c r="U38" i="2"/>
  <c r="AD58" i="2"/>
  <c r="Z64" i="2"/>
  <c r="Y70" i="2"/>
  <c r="AQ8" i="2"/>
  <c r="AO8" i="2"/>
  <c r="G8" i="2"/>
  <c r="AN3" i="2"/>
  <c r="AN8" i="2"/>
  <c r="AD51" i="2"/>
  <c r="BB16" i="10"/>
  <c r="AY15" i="10"/>
  <c r="AG19" i="10"/>
  <c r="T19" i="10"/>
  <c r="T23" i="10"/>
  <c r="AD6" i="2"/>
  <c r="AO17" i="2"/>
  <c r="AQ37" i="2"/>
  <c r="AC57" i="2"/>
  <c r="Y63" i="2"/>
  <c r="U10" i="10"/>
  <c r="AB10" i="10"/>
  <c r="AI25" i="2"/>
  <c r="AN5" i="2"/>
  <c r="Y39" i="2"/>
  <c r="AN40" i="2"/>
  <c r="AJ54" i="2"/>
  <c r="BF9" i="10"/>
  <c r="BG9" i="10" s="1"/>
  <c r="BF8" i="10"/>
  <c r="BG8" i="10" s="1"/>
  <c r="BF6" i="10"/>
  <c r="BG6" i="10" s="1"/>
  <c r="BF5" i="10"/>
  <c r="BG5" i="10" s="1"/>
  <c r="BL9" i="10"/>
  <c r="BM9" i="10" s="1"/>
  <c r="BL7" i="10"/>
  <c r="BM7" i="10" s="1"/>
  <c r="BL12" i="10"/>
  <c r="BM12" i="10" s="1"/>
  <c r="AG17" i="10"/>
  <c r="T17" i="10"/>
  <c r="BL11" i="10"/>
  <c r="BM11" i="10" s="1"/>
  <c r="BL13" i="10"/>
  <c r="BM13" i="10" s="1"/>
  <c r="AP5" i="10"/>
  <c r="BL5" i="10"/>
  <c r="BM5" i="10" s="1"/>
  <c r="T6" i="10"/>
  <c r="U8" i="10"/>
  <c r="BL10" i="10"/>
  <c r="BM10" i="10" s="1"/>
  <c r="T16" i="10"/>
  <c r="AD10" i="2"/>
  <c r="V20" i="2"/>
  <c r="Z21" i="2"/>
  <c r="AD22" i="2"/>
  <c r="AN25" i="2"/>
  <c r="AC68" i="2"/>
  <c r="AL27" i="2"/>
  <c r="AQ42" i="2"/>
  <c r="AH8" i="10"/>
  <c r="AF7" i="10"/>
  <c r="BB3" i="10"/>
  <c r="AY6" i="10"/>
  <c r="BE8" i="10"/>
  <c r="BB2" i="10"/>
  <c r="BB11" i="10"/>
  <c r="AY10" i="10"/>
  <c r="BC17" i="10"/>
  <c r="BD17" i="10" s="1"/>
  <c r="BE18" i="10"/>
  <c r="Z91" i="2"/>
  <c r="Z9" i="2"/>
  <c r="AD14" i="2"/>
  <c r="V16" i="2"/>
  <c r="AO22" i="2"/>
  <c r="AN28" i="2"/>
  <c r="AC29" i="2"/>
  <c r="Z56" i="2"/>
  <c r="U61" i="2"/>
  <c r="V62" i="2"/>
  <c r="V67" i="2"/>
  <c r="AD41" i="2"/>
  <c r="AC53" i="2"/>
  <c r="BF19" i="10"/>
  <c r="BG19" i="10" s="1"/>
  <c r="BF17" i="10"/>
  <c r="BG17" i="10" s="1"/>
  <c r="BF15" i="10"/>
  <c r="BG15" i="10" s="1"/>
  <c r="AZ5" i="10"/>
  <c r="BI6" i="10"/>
  <c r="BJ6" i="10" s="1"/>
  <c r="AB13" i="10"/>
  <c r="U15" i="10"/>
  <c r="AB15" i="10"/>
  <c r="BF16" i="10"/>
  <c r="BG16" i="10" s="1"/>
  <c r="T20" i="10"/>
  <c r="T24" i="10"/>
  <c r="AP24" i="10"/>
  <c r="M40" i="8"/>
  <c r="T65" i="8"/>
  <c r="B263" i="8"/>
  <c r="Q263" i="8"/>
  <c r="T263" i="8" s="1"/>
  <c r="V8" i="2"/>
  <c r="AO14" i="2"/>
  <c r="AQ20" i="2"/>
  <c r="AO20" i="2"/>
  <c r="G20" i="2"/>
  <c r="AN20" i="2"/>
  <c r="V24" i="2"/>
  <c r="AN29" i="2"/>
  <c r="AC40" i="2"/>
  <c r="U43" i="2"/>
  <c r="V44" i="2"/>
  <c r="Z45" i="2"/>
  <c r="Y55" i="2"/>
  <c r="D55" i="2" s="1"/>
  <c r="Y72" i="2"/>
  <c r="V82" i="2"/>
  <c r="BF10" i="10"/>
  <c r="BG10" i="10" s="1"/>
  <c r="AQ19" i="2"/>
  <c r="AD35" i="2"/>
  <c r="AQ49" i="2"/>
  <c r="AC65" i="2"/>
  <c r="AZ8" i="10"/>
  <c r="AZ7" i="10"/>
  <c r="P5" i="22"/>
  <c r="BL19" i="10"/>
  <c r="BM19" i="10" s="1"/>
  <c r="BL17" i="10"/>
  <c r="BM17" i="10" s="1"/>
  <c r="BL15" i="10"/>
  <c r="BM15" i="10" s="1"/>
  <c r="BF7" i="10"/>
  <c r="BG7" i="10" s="1"/>
  <c r="BH11" i="10"/>
  <c r="BH12" i="10" s="1"/>
  <c r="BH13" i="10" s="1"/>
  <c r="BH14" i="10" s="1"/>
  <c r="BF14" i="10" s="1"/>
  <c r="BG14" i="10" s="1"/>
  <c r="BL16" i="10"/>
  <c r="BM16" i="10" s="1"/>
  <c r="AJ8" i="27"/>
  <c r="AN27" i="2"/>
  <c r="AO9" i="2"/>
  <c r="Z13" i="2"/>
  <c r="AQ16" i="2"/>
  <c r="AO16" i="2"/>
  <c r="G16" i="2"/>
  <c r="AN16" i="2"/>
  <c r="AJ19" i="2"/>
  <c r="AN24" i="2"/>
  <c r="U27" i="2"/>
  <c r="AQ29" i="2"/>
  <c r="Y33" i="2"/>
  <c r="AJ42" i="2"/>
  <c r="AN44" i="2"/>
  <c r="AC46" i="2"/>
  <c r="AD47" i="2"/>
  <c r="AI48" i="2"/>
  <c r="AJ49" i="2"/>
  <c r="Y50" i="2"/>
  <c r="D50" i="2" s="1"/>
  <c r="FE7" i="1"/>
  <c r="EV7" i="1"/>
  <c r="FK7" i="1"/>
  <c r="EM7" i="1"/>
  <c r="FB7" i="1"/>
  <c r="ES7" i="1"/>
  <c r="FH7" i="1"/>
  <c r="EJ7" i="1"/>
  <c r="EP7" i="1"/>
  <c r="EY7" i="1"/>
  <c r="BE11" i="10"/>
  <c r="BC16" i="10"/>
  <c r="BD16" i="10" s="1"/>
  <c r="T21" i="10"/>
  <c r="AP1" i="2"/>
  <c r="Y5" i="2"/>
  <c r="D5" i="2" s="1"/>
  <c r="AC6" i="2"/>
  <c r="E6" i="2" s="1"/>
  <c r="AI7" i="2"/>
  <c r="F7" i="2" s="1"/>
  <c r="U8" i="2"/>
  <c r="C8" i="2" s="1"/>
  <c r="Y9" i="2"/>
  <c r="AN9" i="2"/>
  <c r="G9" i="2" s="1"/>
  <c r="AC10" i="2"/>
  <c r="E10" i="2" s="1"/>
  <c r="AI11" i="2"/>
  <c r="U12" i="2"/>
  <c r="C12" i="2" s="1"/>
  <c r="AL12" i="2"/>
  <c r="Y13" i="2"/>
  <c r="AN13" i="2"/>
  <c r="AC14" i="2"/>
  <c r="E14" i="2" s="1"/>
  <c r="AQ14" i="2"/>
  <c r="AI15" i="2"/>
  <c r="U16" i="2"/>
  <c r="C16" i="2" s="1"/>
  <c r="Y17" i="2"/>
  <c r="D17" i="2" s="1"/>
  <c r="AN17" i="2"/>
  <c r="G17" i="2" s="1"/>
  <c r="AC18" i="2"/>
  <c r="E18" i="2" s="1"/>
  <c r="AI19" i="2"/>
  <c r="F19" i="2" s="1"/>
  <c r="U20" i="2"/>
  <c r="C20" i="2" s="1"/>
  <c r="Y21" i="2"/>
  <c r="D21" i="2" s="1"/>
  <c r="AN21" i="2"/>
  <c r="AC22" i="2"/>
  <c r="AQ22" i="2"/>
  <c r="AI23" i="2"/>
  <c r="U24" i="2"/>
  <c r="C24" i="2" s="1"/>
  <c r="AL24" i="2"/>
  <c r="Z25" i="2"/>
  <c r="AO25" i="2"/>
  <c r="AD26" i="2"/>
  <c r="AJ27" i="2"/>
  <c r="V28" i="2"/>
  <c r="Z29" i="2"/>
  <c r="AO29" i="2"/>
  <c r="AD30" i="2"/>
  <c r="AJ31" i="2"/>
  <c r="U32" i="2"/>
  <c r="AL32" i="2"/>
  <c r="V33" i="2"/>
  <c r="Y34" i="2"/>
  <c r="D34" i="2" s="1"/>
  <c r="AO34" i="2"/>
  <c r="AC35" i="2"/>
  <c r="E35" i="2" s="1"/>
  <c r="AD36" i="2"/>
  <c r="AI37" i="2"/>
  <c r="AJ38" i="2"/>
  <c r="V39" i="2"/>
  <c r="AN39" i="2"/>
  <c r="G39" i="2" s="1"/>
  <c r="Z40" i="2"/>
  <c r="AO40" i="2"/>
  <c r="AC41" i="2"/>
  <c r="E41" i="2" s="1"/>
  <c r="AI42" i="2"/>
  <c r="F42" i="2" s="1"/>
  <c r="AJ43" i="2"/>
  <c r="U44" i="2"/>
  <c r="C44" i="2" s="1"/>
  <c r="AL44" i="2"/>
  <c r="Y45" i="2"/>
  <c r="D45" i="2" s="1"/>
  <c r="AN45" i="2"/>
  <c r="Z46" i="2"/>
  <c r="AO46" i="2"/>
  <c r="AC47" i="2"/>
  <c r="E47" i="2" s="1"/>
  <c r="AQ47" i="2"/>
  <c r="AD48" i="2"/>
  <c r="AI49" i="2"/>
  <c r="F49" i="2" s="1"/>
  <c r="V50" i="2"/>
  <c r="AC51" i="2"/>
  <c r="E51" i="2" s="1"/>
  <c r="AJ52" i="2"/>
  <c r="Y53" i="2"/>
  <c r="AI54" i="2"/>
  <c r="F54" i="2" s="1"/>
  <c r="V55" i="2"/>
  <c r="Y56" i="2"/>
  <c r="D56" i="2" s="1"/>
  <c r="Z57" i="2"/>
  <c r="AC58" i="2"/>
  <c r="E58" i="2" s="1"/>
  <c r="AD59" i="2"/>
  <c r="U62" i="2"/>
  <c r="C62" i="2" s="1"/>
  <c r="V63" i="2"/>
  <c r="Y64" i="2"/>
  <c r="D64" i="2" s="1"/>
  <c r="Z65" i="2"/>
  <c r="AD66" i="2"/>
  <c r="Z68" i="2"/>
  <c r="V70" i="2"/>
  <c r="AC71" i="2"/>
  <c r="V72" i="2"/>
  <c r="V81" i="2"/>
  <c r="FU5" i="1"/>
  <c r="FU2" i="1" s="1"/>
  <c r="FB12" i="1"/>
  <c r="ES12" i="1"/>
  <c r="FH12" i="1"/>
  <c r="EJ12" i="1"/>
  <c r="EY12" i="1"/>
  <c r="EP12" i="1"/>
  <c r="FE12" i="1"/>
  <c r="FK12" i="1"/>
  <c r="EM12" i="1"/>
  <c r="EV12" i="1"/>
  <c r="AC5" i="2"/>
  <c r="E5" i="2" s="1"/>
  <c r="AI6" i="2"/>
  <c r="U7" i="2"/>
  <c r="AL7" i="2"/>
  <c r="Y8" i="2"/>
  <c r="AC9" i="2"/>
  <c r="AQ9" i="2"/>
  <c r="AI10" i="2"/>
  <c r="U11" i="2"/>
  <c r="Y12" i="2"/>
  <c r="AC13" i="2"/>
  <c r="AI14" i="2"/>
  <c r="U15" i="2"/>
  <c r="Y16" i="2"/>
  <c r="AC17" i="2"/>
  <c r="AQ17" i="2"/>
  <c r="AI18" i="2"/>
  <c r="U19" i="2"/>
  <c r="C19" i="2" s="1"/>
  <c r="AL19" i="2"/>
  <c r="Y20" i="2"/>
  <c r="D20" i="2" s="1"/>
  <c r="AC21" i="2"/>
  <c r="AI22" i="2"/>
  <c r="U23" i="2"/>
  <c r="Y24" i="2"/>
  <c r="AO24" i="2"/>
  <c r="AD25" i="2"/>
  <c r="AJ26" i="2"/>
  <c r="V27" i="2"/>
  <c r="G28" i="2"/>
  <c r="Z28" i="2"/>
  <c r="AD29" i="2"/>
  <c r="AJ30" i="2"/>
  <c r="V31" i="2"/>
  <c r="Y32" i="2"/>
  <c r="D32" i="2" s="1"/>
  <c r="G33" i="2"/>
  <c r="Z33" i="2"/>
  <c r="AC34" i="2"/>
  <c r="AI35" i="2"/>
  <c r="AJ36" i="2"/>
  <c r="U37" i="2"/>
  <c r="AL37" i="2"/>
  <c r="V38" i="2"/>
  <c r="AN38" i="2"/>
  <c r="Z39" i="2"/>
  <c r="AQ39" i="2"/>
  <c r="AD40" i="2"/>
  <c r="AI41" i="2"/>
  <c r="U42" i="2"/>
  <c r="AL42" i="2"/>
  <c r="V43" i="2"/>
  <c r="Y44" i="2"/>
  <c r="AO44" i="2"/>
  <c r="AC45" i="2"/>
  <c r="AD46" i="2"/>
  <c r="AI47" i="2"/>
  <c r="AJ48" i="2"/>
  <c r="U49" i="2"/>
  <c r="AL49" i="2"/>
  <c r="Z50" i="2"/>
  <c r="AI51" i="2"/>
  <c r="U52" i="2"/>
  <c r="AN52" i="2"/>
  <c r="AD53" i="2"/>
  <c r="AL54" i="2"/>
  <c r="Z55" i="2"/>
  <c r="AC56" i="2"/>
  <c r="E56" i="2" s="1"/>
  <c r="AD57" i="2"/>
  <c r="U60" i="2"/>
  <c r="C60" i="2" s="1"/>
  <c r="V61" i="2"/>
  <c r="Y62" i="2"/>
  <c r="Z63" i="2"/>
  <c r="AC64" i="2"/>
  <c r="AD65" i="2"/>
  <c r="Y67" i="2"/>
  <c r="AD68" i="2"/>
  <c r="Z70" i="2"/>
  <c r="Z72" i="2"/>
  <c r="V83" i="2"/>
  <c r="AD98" i="2"/>
  <c r="DR6" i="1"/>
  <c r="DU6" i="1" s="1"/>
  <c r="DX6" i="1" s="1"/>
  <c r="EA6" i="1" s="1"/>
  <c r="ED6" i="1" s="1"/>
  <c r="EG6" i="1" s="1"/>
  <c r="EY9" i="1"/>
  <c r="EP9" i="1"/>
  <c r="FE9" i="1"/>
  <c r="EV9" i="1"/>
  <c r="FK9" i="1"/>
  <c r="EM9" i="1"/>
  <c r="FB9" i="1"/>
  <c r="FH9" i="1"/>
  <c r="EJ9" i="1"/>
  <c r="ES9" i="1"/>
  <c r="DR21" i="1"/>
  <c r="DU21" i="1" s="1"/>
  <c r="DX21" i="1" s="1"/>
  <c r="EA21" i="1" s="1"/>
  <c r="ED21" i="1" s="1"/>
  <c r="EG21" i="1" s="1"/>
  <c r="V7" i="2"/>
  <c r="Z8" i="2"/>
  <c r="AD9" i="2"/>
  <c r="V11" i="2"/>
  <c r="Z12" i="2"/>
  <c r="AD13" i="2"/>
  <c r="AJ14" i="2"/>
  <c r="V15" i="2"/>
  <c r="Z16" i="2"/>
  <c r="AD17" i="2"/>
  <c r="V19" i="2"/>
  <c r="Z20" i="2"/>
  <c r="AD21" i="2"/>
  <c r="AJ22" i="2"/>
  <c r="V23" i="2"/>
  <c r="Z24" i="2"/>
  <c r="U26" i="2"/>
  <c r="Y27" i="2"/>
  <c r="AC28" i="2"/>
  <c r="AI29" i="2"/>
  <c r="F29" i="2" s="1"/>
  <c r="U30" i="2"/>
  <c r="Y31" i="2"/>
  <c r="D31" i="2" s="1"/>
  <c r="AN31" i="2"/>
  <c r="Z32" i="2"/>
  <c r="AC33" i="2"/>
  <c r="AD34" i="2"/>
  <c r="AJ35" i="2"/>
  <c r="U36" i="2"/>
  <c r="C36" i="2" s="1"/>
  <c r="V37" i="2"/>
  <c r="Y38" i="2"/>
  <c r="D38" i="2" s="1"/>
  <c r="AO38" i="2"/>
  <c r="AC39" i="2"/>
  <c r="AI40" i="2"/>
  <c r="AJ41" i="2"/>
  <c r="V42" i="2"/>
  <c r="Y43" i="2"/>
  <c r="D43" i="2" s="1"/>
  <c r="AN43" i="2"/>
  <c r="Z44" i="2"/>
  <c r="AD45" i="2"/>
  <c r="AI46" i="2"/>
  <c r="AJ47" i="2"/>
  <c r="U48" i="2"/>
  <c r="V49" i="2"/>
  <c r="AC50" i="2"/>
  <c r="AJ51" i="2"/>
  <c r="V52" i="2"/>
  <c r="AO52" i="2"/>
  <c r="AI53" i="2"/>
  <c r="U54" i="2"/>
  <c r="AN54" i="2"/>
  <c r="AC55" i="2"/>
  <c r="E55" i="2" s="1"/>
  <c r="AD56" i="2"/>
  <c r="U59" i="2"/>
  <c r="C59" i="2" s="1"/>
  <c r="V60" i="2"/>
  <c r="Y61" i="2"/>
  <c r="Z62" i="2"/>
  <c r="AC63" i="2"/>
  <c r="AD64" i="2"/>
  <c r="Z67" i="2"/>
  <c r="V69" i="2"/>
  <c r="AC70" i="2"/>
  <c r="E70" i="2" s="1"/>
  <c r="AC72" i="2"/>
  <c r="V73" i="2"/>
  <c r="V84" i="2"/>
  <c r="U94" i="2"/>
  <c r="V96" i="2"/>
  <c r="Z97" i="2"/>
  <c r="Y102" i="2"/>
  <c r="FH20" i="1"/>
  <c r="EJ20" i="1"/>
  <c r="EY20" i="1"/>
  <c r="EP20" i="1"/>
  <c r="FE20" i="1"/>
  <c r="EV20" i="1"/>
  <c r="FK20" i="1"/>
  <c r="EM20" i="1"/>
  <c r="FB20" i="1"/>
  <c r="ES20" i="1"/>
  <c r="G86" i="25"/>
  <c r="G78" i="25"/>
  <c r="G62" i="25"/>
  <c r="G54" i="25"/>
  <c r="G46" i="25"/>
  <c r="E86" i="25"/>
  <c r="G80" i="25"/>
  <c r="K74" i="25"/>
  <c r="K62" i="25"/>
  <c r="E58" i="25"/>
  <c r="G52" i="25"/>
  <c r="K46" i="25"/>
  <c r="E42" i="25"/>
  <c r="K81" i="25"/>
  <c r="E80" i="25"/>
  <c r="I74" i="25"/>
  <c r="I62" i="25"/>
  <c r="K53" i="25"/>
  <c r="E52" i="25"/>
  <c r="I46" i="25"/>
  <c r="I81" i="25"/>
  <c r="K78" i="25"/>
  <c r="K75" i="25"/>
  <c r="E74" i="25"/>
  <c r="K63" i="25"/>
  <c r="E62" i="25"/>
  <c r="I53" i="25"/>
  <c r="K50" i="25"/>
  <c r="K47" i="25"/>
  <c r="E46" i="25"/>
  <c r="I88" i="25"/>
  <c r="K85" i="25"/>
  <c r="G81" i="25"/>
  <c r="I78" i="25"/>
  <c r="G75" i="25"/>
  <c r="G63" i="25"/>
  <c r="K57" i="25"/>
  <c r="G53" i="25"/>
  <c r="I50" i="25"/>
  <c r="G47" i="25"/>
  <c r="I44" i="25"/>
  <c r="K40" i="25"/>
  <c r="K39" i="25"/>
  <c r="I82" i="25"/>
  <c r="I54" i="25"/>
  <c r="E51" i="25"/>
  <c r="G48" i="25"/>
  <c r="E78" i="25"/>
  <c r="E75" i="25"/>
  <c r="E48" i="25"/>
  <c r="K41" i="25"/>
  <c r="I39" i="25"/>
  <c r="K86" i="25"/>
  <c r="E63" i="25"/>
  <c r="G44" i="25"/>
  <c r="G41" i="25"/>
  <c r="E39" i="25"/>
  <c r="I86" i="25"/>
  <c r="I80" i="25"/>
  <c r="K77" i="25"/>
  <c r="K55" i="25"/>
  <c r="E50" i="25"/>
  <c r="E47" i="25"/>
  <c r="E41" i="25"/>
  <c r="I85" i="25"/>
  <c r="E82" i="25"/>
  <c r="K79" i="25"/>
  <c r="I58" i="25"/>
  <c r="I52" i="25"/>
  <c r="I40" i="25"/>
  <c r="E76" i="25"/>
  <c r="G61" i="25"/>
  <c r="I57" i="25"/>
  <c r="E54" i="25"/>
  <c r="K51" i="25"/>
  <c r="I42" i="25"/>
  <c r="G88" i="25"/>
  <c r="K82" i="25"/>
  <c r="G76" i="25"/>
  <c r="K58" i="25"/>
  <c r="E40" i="25"/>
  <c r="E79" i="25"/>
  <c r="G55" i="25"/>
  <c r="K54" i="25"/>
  <c r="I61" i="25"/>
  <c r="K42" i="25"/>
  <c r="AP3" i="2"/>
  <c r="AI5" i="2"/>
  <c r="U6" i="2"/>
  <c r="Y7" i="2"/>
  <c r="AN7" i="2"/>
  <c r="AC8" i="2"/>
  <c r="AI9" i="2"/>
  <c r="U10" i="2"/>
  <c r="Y11" i="2"/>
  <c r="D11" i="2" s="1"/>
  <c r="AN11" i="2"/>
  <c r="AC12" i="2"/>
  <c r="AI13" i="2"/>
  <c r="U14" i="2"/>
  <c r="AL14" i="2"/>
  <c r="Y15" i="2"/>
  <c r="D15" i="2" s="1"/>
  <c r="AN15" i="2"/>
  <c r="AC16" i="2"/>
  <c r="E16" i="2" s="1"/>
  <c r="AI17" i="2"/>
  <c r="U18" i="2"/>
  <c r="Y19" i="2"/>
  <c r="AN19" i="2"/>
  <c r="AC20" i="2"/>
  <c r="AI21" i="2"/>
  <c r="U22" i="2"/>
  <c r="AL22" i="2"/>
  <c r="Y23" i="2"/>
  <c r="AN23" i="2"/>
  <c r="AC24" i="2"/>
  <c r="AJ25" i="2"/>
  <c r="V26" i="2"/>
  <c r="G27" i="2"/>
  <c r="Z27" i="2"/>
  <c r="AD28" i="2"/>
  <c r="AJ29" i="2"/>
  <c r="V30" i="2"/>
  <c r="G31" i="2"/>
  <c r="Z31" i="2"/>
  <c r="AC32" i="2"/>
  <c r="AD33" i="2"/>
  <c r="AI34" i="2"/>
  <c r="U35" i="2"/>
  <c r="C35" i="2" s="1"/>
  <c r="V36" i="2"/>
  <c r="Y37" i="2"/>
  <c r="AN37" i="2"/>
  <c r="Z38" i="2"/>
  <c r="AD39" i="2"/>
  <c r="AJ40" i="2"/>
  <c r="U41" i="2"/>
  <c r="Y42" i="2"/>
  <c r="D42" i="2" s="1"/>
  <c r="AN42" i="2"/>
  <c r="G43" i="2"/>
  <c r="Z43" i="2"/>
  <c r="AC44" i="2"/>
  <c r="AI45" i="2"/>
  <c r="AJ46" i="2"/>
  <c r="U47" i="2"/>
  <c r="AL47" i="2"/>
  <c r="V48" i="2"/>
  <c r="Y49" i="2"/>
  <c r="AN49" i="2"/>
  <c r="AD50" i="2"/>
  <c r="Z52" i="2"/>
  <c r="AQ52" i="2"/>
  <c r="AJ53" i="2"/>
  <c r="V54" i="2"/>
  <c r="AO54" i="2"/>
  <c r="AD55" i="2"/>
  <c r="U58" i="2"/>
  <c r="V59" i="2"/>
  <c r="Y60" i="2"/>
  <c r="Z61" i="2"/>
  <c r="AC62" i="2"/>
  <c r="AD63" i="2"/>
  <c r="V66" i="2"/>
  <c r="AC67" i="2"/>
  <c r="Y69" i="2"/>
  <c r="AD70" i="2"/>
  <c r="Z73" i="2"/>
  <c r="V85" i="2"/>
  <c r="AC92" i="2"/>
  <c r="AD93" i="2"/>
  <c r="V95" i="2"/>
  <c r="Z96" i="2"/>
  <c r="V6" i="2"/>
  <c r="Z7" i="2"/>
  <c r="AO7" i="2"/>
  <c r="G7" i="2" s="1"/>
  <c r="AD8" i="2"/>
  <c r="AJ9" i="2"/>
  <c r="V10" i="2"/>
  <c r="G11" i="2"/>
  <c r="Z11" i="2"/>
  <c r="AO11" i="2"/>
  <c r="AD12" i="2"/>
  <c r="AJ13" i="2"/>
  <c r="V14" i="2"/>
  <c r="G15" i="2"/>
  <c r="Z15" i="2"/>
  <c r="AO15" i="2"/>
  <c r="AD16" i="2"/>
  <c r="AJ17" i="2"/>
  <c r="V18" i="2"/>
  <c r="Z19" i="2"/>
  <c r="AO19" i="2"/>
  <c r="G19" i="2" s="1"/>
  <c r="AD20" i="2"/>
  <c r="AJ21" i="2"/>
  <c r="V22" i="2"/>
  <c r="G23" i="2"/>
  <c r="Z23" i="2"/>
  <c r="AO23" i="2"/>
  <c r="AD24" i="2"/>
  <c r="U25" i="2"/>
  <c r="C25" i="2" s="1"/>
  <c r="Y26" i="2"/>
  <c r="AN26" i="2"/>
  <c r="AC27" i="2"/>
  <c r="AQ27" i="2"/>
  <c r="AI28" i="2"/>
  <c r="U29" i="2"/>
  <c r="AL29" i="2"/>
  <c r="Y30" i="2"/>
  <c r="D30" i="2" s="1"/>
  <c r="AN30" i="2"/>
  <c r="AC31" i="2"/>
  <c r="AD32" i="2"/>
  <c r="AI33" i="2"/>
  <c r="AJ34" i="2"/>
  <c r="V35" i="2"/>
  <c r="Y36" i="2"/>
  <c r="AN36" i="2"/>
  <c r="Z37" i="2"/>
  <c r="AO37" i="2"/>
  <c r="G37" i="2" s="1"/>
  <c r="AC38" i="2"/>
  <c r="AI39" i="2"/>
  <c r="U40" i="2"/>
  <c r="V41" i="2"/>
  <c r="AN41" i="2"/>
  <c r="Z42" i="2"/>
  <c r="AO42" i="2"/>
  <c r="G42" i="2" s="1"/>
  <c r="AC43" i="2"/>
  <c r="AD44" i="2"/>
  <c r="AJ45" i="2"/>
  <c r="U46" i="2"/>
  <c r="V47" i="2"/>
  <c r="Y48" i="2"/>
  <c r="AN48" i="2"/>
  <c r="G49" i="2"/>
  <c r="Z49" i="2"/>
  <c r="AO49" i="2"/>
  <c r="AI50" i="2"/>
  <c r="U51" i="2"/>
  <c r="AC52" i="2"/>
  <c r="E52" i="2" s="1"/>
  <c r="Y54" i="2"/>
  <c r="U57" i="2"/>
  <c r="V58" i="2"/>
  <c r="Y59" i="2"/>
  <c r="Z60" i="2"/>
  <c r="AC61" i="2"/>
  <c r="AD62" i="2"/>
  <c r="U65" i="2"/>
  <c r="Y66" i="2"/>
  <c r="AD67" i="2"/>
  <c r="Z69" i="2"/>
  <c r="V71" i="2"/>
  <c r="AC73" i="2"/>
  <c r="E73" i="2" s="1"/>
  <c r="V74" i="2"/>
  <c r="V86" i="2"/>
  <c r="Y90" i="2"/>
  <c r="L53" i="1"/>
  <c r="L51" i="1"/>
  <c r="L54" i="1"/>
  <c r="L49" i="1"/>
  <c r="L48" i="1"/>
  <c r="L47" i="1"/>
  <c r="L43" i="1"/>
  <c r="L41" i="1"/>
  <c r="L46" i="1"/>
  <c r="L39" i="1"/>
  <c r="L52" i="1"/>
  <c r="L38" i="1"/>
  <c r="L35" i="1"/>
  <c r="L33" i="1"/>
  <c r="L40" i="1"/>
  <c r="L44" i="1"/>
  <c r="L45" i="1"/>
  <c r="L42" i="1"/>
  <c r="L27" i="1"/>
  <c r="L31" i="1"/>
  <c r="L28" i="1"/>
  <c r="L32" i="1"/>
  <c r="L30" i="1"/>
  <c r="L29" i="1"/>
  <c r="L18" i="1"/>
  <c r="L19" i="1"/>
  <c r="L37" i="1"/>
  <c r="L20" i="1"/>
  <c r="L25" i="1"/>
  <c r="L24" i="1"/>
  <c r="L21" i="1"/>
  <c r="L36" i="1"/>
  <c r="L22" i="1"/>
  <c r="L23" i="1"/>
  <c r="L15" i="1"/>
  <c r="L8" i="1"/>
  <c r="L7" i="1"/>
  <c r="L6" i="1"/>
  <c r="L9" i="1"/>
  <c r="L10" i="1"/>
  <c r="L11" i="1"/>
  <c r="L34" i="1"/>
  <c r="L12" i="1"/>
  <c r="L13" i="1"/>
  <c r="L26" i="1" s="1"/>
  <c r="L16" i="1"/>
  <c r="L17" i="1"/>
  <c r="L5" i="1"/>
  <c r="L14" i="1"/>
  <c r="ES11" i="1"/>
  <c r="FH11" i="1"/>
  <c r="EJ11" i="1"/>
  <c r="EY11" i="1"/>
  <c r="EP11" i="1"/>
  <c r="FE11" i="1"/>
  <c r="EV11" i="1"/>
  <c r="FB11" i="1"/>
  <c r="EM11" i="1"/>
  <c r="FK11" i="1"/>
  <c r="DT13" i="1"/>
  <c r="DS13" i="1"/>
  <c r="FQ62" i="1"/>
  <c r="FS61" i="1"/>
  <c r="FR61" i="1"/>
  <c r="FS60" i="1"/>
  <c r="FQ57" i="1"/>
  <c r="FS56" i="1"/>
  <c r="FQ61" i="1"/>
  <c r="FR60" i="1"/>
  <c r="FT59" i="1"/>
  <c r="FP61" i="1"/>
  <c r="FQ60" i="1"/>
  <c r="FS59" i="1"/>
  <c r="FQ56" i="1"/>
  <c r="FT62" i="1"/>
  <c r="FP60" i="1"/>
  <c r="FR59" i="1"/>
  <c r="FT58" i="1"/>
  <c r="FP56" i="1"/>
  <c r="FR62" i="1"/>
  <c r="FT61" i="1"/>
  <c r="FT60" i="1"/>
  <c r="FP58" i="1"/>
  <c r="FR57" i="1"/>
  <c r="FT56" i="1"/>
  <c r="FP62" i="1"/>
  <c r="FP59" i="1"/>
  <c r="FR58" i="1"/>
  <c r="FR54" i="1"/>
  <c r="FQ52" i="1"/>
  <c r="FQ50" i="1"/>
  <c r="FS49" i="1"/>
  <c r="FQ58" i="1"/>
  <c r="FT55" i="1"/>
  <c r="FQ54" i="1"/>
  <c r="FP52" i="1"/>
  <c r="FP50" i="1"/>
  <c r="FR49" i="1"/>
  <c r="FT57" i="1"/>
  <c r="FS55" i="1"/>
  <c r="FP54" i="1"/>
  <c r="FT51" i="1"/>
  <c r="FQ49" i="1"/>
  <c r="FT48" i="1"/>
  <c r="FS57" i="1"/>
  <c r="FR55" i="1"/>
  <c r="FT53" i="1"/>
  <c r="FS51" i="1"/>
  <c r="FP49" i="1"/>
  <c r="FS48" i="1"/>
  <c r="FS47" i="1"/>
  <c r="FS46" i="1"/>
  <c r="FP57" i="1"/>
  <c r="FR56" i="1"/>
  <c r="FS62" i="1"/>
  <c r="FQ59" i="1"/>
  <c r="FS58" i="1"/>
  <c r="FS54" i="1"/>
  <c r="FP53" i="1"/>
  <c r="FR52" i="1"/>
  <c r="FR50" i="1"/>
  <c r="FT49" i="1"/>
  <c r="FS53" i="1"/>
  <c r="FQ51" i="1"/>
  <c r="FT50" i="1"/>
  <c r="FQ48" i="1"/>
  <c r="FR46" i="1"/>
  <c r="FR53" i="1"/>
  <c r="FP51" i="1"/>
  <c r="FS50" i="1"/>
  <c r="FP48" i="1"/>
  <c r="FQ46" i="1"/>
  <c r="FQ53" i="1"/>
  <c r="FT47" i="1"/>
  <c r="FP46" i="1"/>
  <c r="FR47" i="1"/>
  <c r="FQ55" i="1"/>
  <c r="FQ47" i="1"/>
  <c r="FS52" i="1"/>
  <c r="FR51" i="1"/>
  <c r="FR48" i="1"/>
  <c r="FT46" i="1"/>
  <c r="FP55" i="1"/>
  <c r="FP47" i="1"/>
  <c r="FT52" i="1"/>
  <c r="FT54" i="1"/>
  <c r="FP5" i="1"/>
  <c r="FP2" i="1" s="1"/>
  <c r="FS6" i="1"/>
  <c r="FS5" i="1"/>
  <c r="FS2" i="1" s="1"/>
  <c r="FQ5" i="1"/>
  <c r="FQ2" i="1" s="1"/>
  <c r="FT6" i="1"/>
  <c r="FR6" i="1"/>
  <c r="FZ5" i="1"/>
  <c r="FZ2" i="1" s="1"/>
  <c r="FT5" i="1"/>
  <c r="FT2" i="1" s="1"/>
  <c r="FR5" i="1"/>
  <c r="FR2" i="1" s="1"/>
  <c r="AN2" i="2"/>
  <c r="AD103" i="2"/>
  <c r="AD102" i="2"/>
  <c r="AD101" i="2"/>
  <c r="AD100" i="2"/>
  <c r="AC103" i="2"/>
  <c r="E103" i="2" s="1"/>
  <c r="Z103" i="2"/>
  <c r="Z102" i="2"/>
  <c r="V103" i="2"/>
  <c r="V102" i="2"/>
  <c r="V100" i="2"/>
  <c r="AC98" i="2"/>
  <c r="E98" i="2" s="1"/>
  <c r="Y97" i="2"/>
  <c r="D97" i="2" s="1"/>
  <c r="U96" i="2"/>
  <c r="C96" i="2" s="1"/>
  <c r="AD94" i="2"/>
  <c r="AC93" i="2"/>
  <c r="Z92" i="2"/>
  <c r="Y91" i="2"/>
  <c r="D91" i="2" s="1"/>
  <c r="V90" i="2"/>
  <c r="U89" i="2"/>
  <c r="AC54" i="2"/>
  <c r="E54" i="2" s="1"/>
  <c r="Z53" i="2"/>
  <c r="Y52" i="2"/>
  <c r="D52" i="2" s="1"/>
  <c r="V51" i="2"/>
  <c r="U50" i="2"/>
  <c r="C50" i="2" s="1"/>
  <c r="U102" i="2"/>
  <c r="C102" i="2" s="1"/>
  <c r="AC101" i="2"/>
  <c r="E101" i="2" s="1"/>
  <c r="U100" i="2"/>
  <c r="AD99" i="2"/>
  <c r="Z98" i="2"/>
  <c r="V97" i="2"/>
  <c r="AD95" i="2"/>
  <c r="AC94" i="2"/>
  <c r="E94" i="2" s="1"/>
  <c r="Z93" i="2"/>
  <c r="Y92" i="2"/>
  <c r="D92" i="2" s="1"/>
  <c r="V91" i="2"/>
  <c r="U90" i="2"/>
  <c r="C90" i="2" s="1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Z101" i="2"/>
  <c r="AC99" i="2"/>
  <c r="Y98" i="2"/>
  <c r="D98" i="2" s="1"/>
  <c r="U97" i="2"/>
  <c r="AC95" i="2"/>
  <c r="E95" i="2" s="1"/>
  <c r="Z94" i="2"/>
  <c r="Y93" i="2"/>
  <c r="D93" i="2" s="1"/>
  <c r="V92" i="2"/>
  <c r="U91" i="2"/>
  <c r="C91" i="2" s="1"/>
  <c r="AD88" i="2"/>
  <c r="AC87" i="2"/>
  <c r="E87" i="2" s="1"/>
  <c r="AC86" i="2"/>
  <c r="AC85" i="2"/>
  <c r="E85" i="2" s="1"/>
  <c r="AC84" i="2"/>
  <c r="AC83" i="2"/>
  <c r="E83" i="2" s="1"/>
  <c r="AC82" i="2"/>
  <c r="AC81" i="2"/>
  <c r="E81" i="2" s="1"/>
  <c r="AC80" i="2"/>
  <c r="AC79" i="2"/>
  <c r="E79" i="2" s="1"/>
  <c r="AC78" i="2"/>
  <c r="AC77" i="2"/>
  <c r="E77" i="2" s="1"/>
  <c r="AC76" i="2"/>
  <c r="AC75" i="2"/>
  <c r="E75" i="2" s="1"/>
  <c r="AC74" i="2"/>
  <c r="Y101" i="2"/>
  <c r="D101" i="2" s="1"/>
  <c r="Z99" i="2"/>
  <c r="V98" i="2"/>
  <c r="AD96" i="2"/>
  <c r="Z95" i="2"/>
  <c r="Y94" i="2"/>
  <c r="D94" i="2" s="1"/>
  <c r="V93" i="2"/>
  <c r="U92" i="2"/>
  <c r="C92" i="2" s="1"/>
  <c r="AD89" i="2"/>
  <c r="AC88" i="2"/>
  <c r="E88" i="2" s="1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V101" i="2"/>
  <c r="Y99" i="2"/>
  <c r="D99" i="2" s="1"/>
  <c r="U98" i="2"/>
  <c r="AC96" i="2"/>
  <c r="E96" i="2" s="1"/>
  <c r="Y95" i="2"/>
  <c r="V94" i="2"/>
  <c r="U93" i="2"/>
  <c r="AD90" i="2"/>
  <c r="AC89" i="2"/>
  <c r="Z88" i="2"/>
  <c r="Y87" i="2"/>
  <c r="Y86" i="2"/>
  <c r="D86" i="2" s="1"/>
  <c r="Y85" i="2"/>
  <c r="Y84" i="2"/>
  <c r="D84" i="2" s="1"/>
  <c r="Y83" i="2"/>
  <c r="Y82" i="2"/>
  <c r="D82" i="2" s="1"/>
  <c r="Y81" i="2"/>
  <c r="Y80" i="2"/>
  <c r="D80" i="2" s="1"/>
  <c r="Y79" i="2"/>
  <c r="Y78" i="2"/>
  <c r="D78" i="2" s="1"/>
  <c r="Y77" i="2"/>
  <c r="Y76" i="2"/>
  <c r="D76" i="2" s="1"/>
  <c r="Y75" i="2"/>
  <c r="Y74" i="2"/>
  <c r="D74" i="2" s="1"/>
  <c r="Y73" i="2"/>
  <c r="D73" i="2" s="1"/>
  <c r="Y103" i="2"/>
  <c r="D103" i="2" s="1"/>
  <c r="U101" i="2"/>
  <c r="C101" i="2" s="1"/>
  <c r="AC100" i="2"/>
  <c r="V99" i="2"/>
  <c r="AD97" i="2"/>
  <c r="U103" i="2"/>
  <c r="C103" i="2" s="1"/>
  <c r="AC102" i="2"/>
  <c r="E102" i="2" s="1"/>
  <c r="Z100" i="2"/>
  <c r="U99" i="2"/>
  <c r="C99" i="2" s="1"/>
  <c r="AC97" i="2"/>
  <c r="Y96" i="2"/>
  <c r="D96" i="2" s="1"/>
  <c r="U95" i="2"/>
  <c r="C95" i="2" s="1"/>
  <c r="AD92" i="2"/>
  <c r="AC91" i="2"/>
  <c r="Z90" i="2"/>
  <c r="Y89" i="2"/>
  <c r="V88" i="2"/>
  <c r="U87" i="2"/>
  <c r="U86" i="2"/>
  <c r="U85" i="2"/>
  <c r="U84" i="2"/>
  <c r="C84" i="2" s="1"/>
  <c r="U83" i="2"/>
  <c r="C83" i="2" s="1"/>
  <c r="U82" i="2"/>
  <c r="C82" i="2" s="1"/>
  <c r="U81" i="2"/>
  <c r="C81" i="2" s="1"/>
  <c r="U80" i="2"/>
  <c r="U79" i="2"/>
  <c r="U78" i="2"/>
  <c r="U77" i="2"/>
  <c r="U76" i="2"/>
  <c r="C76" i="2" s="1"/>
  <c r="U75" i="2"/>
  <c r="U74" i="2"/>
  <c r="C74" i="2" s="1"/>
  <c r="U73" i="2"/>
  <c r="C73" i="2" s="1"/>
  <c r="U72" i="2"/>
  <c r="U71" i="2"/>
  <c r="C71" i="2" s="1"/>
  <c r="U70" i="2"/>
  <c r="C70" i="2" s="1"/>
  <c r="U69" i="2"/>
  <c r="C69" i="2" s="1"/>
  <c r="U68" i="2"/>
  <c r="C68" i="2" s="1"/>
  <c r="U67" i="2"/>
  <c r="C67" i="2" s="1"/>
  <c r="U66" i="2"/>
  <c r="C66" i="2" s="1"/>
  <c r="U5" i="2"/>
  <c r="Y6" i="2"/>
  <c r="AN6" i="2"/>
  <c r="AC7" i="2"/>
  <c r="E7" i="2" s="1"/>
  <c r="AQ7" i="2"/>
  <c r="AI8" i="2"/>
  <c r="U9" i="2"/>
  <c r="AL9" i="2"/>
  <c r="Y10" i="2"/>
  <c r="AN10" i="2"/>
  <c r="AC11" i="2"/>
  <c r="AI12" i="2"/>
  <c r="F12" i="2" s="1"/>
  <c r="U13" i="2"/>
  <c r="Y14" i="2"/>
  <c r="D14" i="2" s="1"/>
  <c r="AN14" i="2"/>
  <c r="AC15" i="2"/>
  <c r="E15" i="2" s="1"/>
  <c r="AI16" i="2"/>
  <c r="U17" i="2"/>
  <c r="AL17" i="2"/>
  <c r="Y18" i="2"/>
  <c r="D18" i="2" s="1"/>
  <c r="AN18" i="2"/>
  <c r="AC19" i="2"/>
  <c r="AI20" i="2"/>
  <c r="U21" i="2"/>
  <c r="C21" i="2" s="1"/>
  <c r="Y22" i="2"/>
  <c r="AN22" i="2"/>
  <c r="AC23" i="2"/>
  <c r="AI24" i="2"/>
  <c r="V25" i="2"/>
  <c r="Z26" i="2"/>
  <c r="AO26" i="2"/>
  <c r="AD27" i="2"/>
  <c r="AJ28" i="2"/>
  <c r="V29" i="2"/>
  <c r="Z30" i="2"/>
  <c r="AO30" i="2"/>
  <c r="AD31" i="2"/>
  <c r="AI32" i="2"/>
  <c r="AJ33" i="2"/>
  <c r="U34" i="2"/>
  <c r="AL34" i="2"/>
  <c r="Y35" i="2"/>
  <c r="AN35" i="2"/>
  <c r="Z36" i="2"/>
  <c r="AO36" i="2"/>
  <c r="AC37" i="2"/>
  <c r="E37" i="2" s="1"/>
  <c r="AD38" i="2"/>
  <c r="AJ39" i="2"/>
  <c r="V40" i="2"/>
  <c r="Y41" i="2"/>
  <c r="AO41" i="2"/>
  <c r="AC42" i="2"/>
  <c r="E42" i="2" s="1"/>
  <c r="AD43" i="2"/>
  <c r="AI44" i="2"/>
  <c r="F44" i="2" s="1"/>
  <c r="U45" i="2"/>
  <c r="V46" i="2"/>
  <c r="Y47" i="2"/>
  <c r="AN47" i="2"/>
  <c r="Z48" i="2"/>
  <c r="AO48" i="2"/>
  <c r="AC49" i="2"/>
  <c r="AJ50" i="2"/>
  <c r="Y51" i="2"/>
  <c r="AN51" i="2"/>
  <c r="AD52" i="2"/>
  <c r="U53" i="2"/>
  <c r="AO53" i="2"/>
  <c r="G53" i="2"/>
  <c r="Z54" i="2"/>
  <c r="U56" i="2"/>
  <c r="C56" i="2" s="1"/>
  <c r="V57" i="2"/>
  <c r="Y58" i="2"/>
  <c r="D58" i="2" s="1"/>
  <c r="Z59" i="2"/>
  <c r="AC60" i="2"/>
  <c r="AD61" i="2"/>
  <c r="U64" i="2"/>
  <c r="C64" i="2" s="1"/>
  <c r="V65" i="2"/>
  <c r="Z66" i="2"/>
  <c r="V68" i="2"/>
  <c r="AC69" i="2"/>
  <c r="E69" i="2" s="1"/>
  <c r="Y71" i="2"/>
  <c r="Z74" i="2"/>
  <c r="V75" i="2"/>
  <c r="V76" i="2"/>
  <c r="V77" i="2"/>
  <c r="V78" i="2"/>
  <c r="V79" i="2"/>
  <c r="V87" i="2"/>
  <c r="U88" i="2"/>
  <c r="C88" i="2" s="1"/>
  <c r="V89" i="2"/>
  <c r="AC90" i="2"/>
  <c r="AD91" i="2"/>
  <c r="AN1" i="2"/>
  <c r="V5" i="2"/>
  <c r="G6" i="2"/>
  <c r="Z6" i="2"/>
  <c r="AD7" i="2"/>
  <c r="AJ8" i="2"/>
  <c r="V9" i="2"/>
  <c r="G10" i="2"/>
  <c r="Z10" i="2"/>
  <c r="AD11" i="2"/>
  <c r="AJ12" i="2"/>
  <c r="V13" i="2"/>
  <c r="G14" i="2"/>
  <c r="Z14" i="2"/>
  <c r="AD15" i="2"/>
  <c r="AJ16" i="2"/>
  <c r="V17" i="2"/>
  <c r="G18" i="2"/>
  <c r="Z18" i="2"/>
  <c r="AD19" i="2"/>
  <c r="AJ20" i="2"/>
  <c r="V21" i="2"/>
  <c r="G22" i="2"/>
  <c r="Z22" i="2"/>
  <c r="AD23" i="2"/>
  <c r="AJ24" i="2"/>
  <c r="Y25" i="2"/>
  <c r="D25" i="2" s="1"/>
  <c r="AC26" i="2"/>
  <c r="E26" i="2" s="1"/>
  <c r="AI27" i="2"/>
  <c r="F27" i="2" s="1"/>
  <c r="U28" i="2"/>
  <c r="C28" i="2" s="1"/>
  <c r="Y29" i="2"/>
  <c r="AC30" i="2"/>
  <c r="E30" i="2" s="1"/>
  <c r="AI31" i="2"/>
  <c r="AJ32" i="2"/>
  <c r="U33" i="2"/>
  <c r="C33" i="2" s="1"/>
  <c r="V34" i="2"/>
  <c r="AN34" i="2"/>
  <c r="G35" i="2"/>
  <c r="Z35" i="2"/>
  <c r="AC36" i="2"/>
  <c r="E36" i="2" s="1"/>
  <c r="AD37" i="2"/>
  <c r="AI38" i="2"/>
  <c r="U39" i="2"/>
  <c r="C39" i="2" s="1"/>
  <c r="AL39" i="2"/>
  <c r="Y40" i="2"/>
  <c r="D40" i="2" s="1"/>
  <c r="Z41" i="2"/>
  <c r="AD42" i="2"/>
  <c r="AI43" i="2"/>
  <c r="AJ44" i="2"/>
  <c r="V45" i="2"/>
  <c r="Y46" i="2"/>
  <c r="G47" i="2"/>
  <c r="Z47" i="2"/>
  <c r="AC48" i="2"/>
  <c r="E48" i="2" s="1"/>
  <c r="AD49" i="2"/>
  <c r="Z51" i="2"/>
  <c r="AO51" i="2"/>
  <c r="AI52" i="2"/>
  <c r="V53" i="2"/>
  <c r="AN53" i="2"/>
  <c r="AD54" i="2"/>
  <c r="U55" i="2"/>
  <c r="C55" i="2" s="1"/>
  <c r="V56" i="2"/>
  <c r="Y57" i="2"/>
  <c r="D57" i="2" s="1"/>
  <c r="Z58" i="2"/>
  <c r="AC59" i="2"/>
  <c r="E59" i="2" s="1"/>
  <c r="AD60" i="2"/>
  <c r="U63" i="2"/>
  <c r="C63" i="2" s="1"/>
  <c r="V64" i="2"/>
  <c r="Y65" i="2"/>
  <c r="D65" i="2" s="1"/>
  <c r="AC66" i="2"/>
  <c r="E66" i="2" s="1"/>
  <c r="Y68" i="2"/>
  <c r="D68" i="2" s="1"/>
  <c r="AD69" i="2"/>
  <c r="Z71" i="2"/>
  <c r="V80" i="2"/>
  <c r="Y88" i="2"/>
  <c r="D88" i="2" s="1"/>
  <c r="Z89" i="2"/>
  <c r="Y100" i="2"/>
  <c r="D100" i="2" s="1"/>
  <c r="FE5" i="1"/>
  <c r="EV5" i="1"/>
  <c r="FK5" i="1"/>
  <c r="EM5" i="1"/>
  <c r="FB5" i="1"/>
  <c r="FH5" i="1"/>
  <c r="EJ5" i="1"/>
  <c r="EP5" i="1"/>
  <c r="EY5" i="1"/>
  <c r="ES5" i="1"/>
  <c r="FV5" i="1"/>
  <c r="FV2" i="1" s="1"/>
  <c r="CM6" i="1"/>
  <c r="CN6" i="1" s="1"/>
  <c r="CO6" i="1" s="1"/>
  <c r="CL6" i="1"/>
  <c r="CK7" i="1"/>
  <c r="P6" i="1"/>
  <c r="EJ8" i="1"/>
  <c r="DM11" i="1"/>
  <c r="DN11" i="1"/>
  <c r="FW5" i="1"/>
  <c r="FW2" i="1" s="1"/>
  <c r="DN5" i="1"/>
  <c r="CD5" i="1"/>
  <c r="CH5" i="1"/>
  <c r="CF5" i="1"/>
  <c r="FY62" i="1"/>
  <c r="FY57" i="1"/>
  <c r="FY61" i="1"/>
  <c r="FY60" i="1"/>
  <c r="FY56" i="1"/>
  <c r="FY52" i="1"/>
  <c r="FY50" i="1"/>
  <c r="FY54" i="1"/>
  <c r="FY49" i="1"/>
  <c r="FY59" i="1"/>
  <c r="FY47" i="1"/>
  <c r="FY55" i="1"/>
  <c r="FY58" i="1"/>
  <c r="FY46" i="1"/>
  <c r="FY53" i="1"/>
  <c r="FY51" i="1"/>
  <c r="FY48" i="1"/>
  <c r="GD3" i="1"/>
  <c r="FY5" i="1"/>
  <c r="FY2" i="1" s="1"/>
  <c r="DM5" i="1"/>
  <c r="X6" i="1"/>
  <c r="BU7" i="1"/>
  <c r="DN9" i="1"/>
  <c r="DN10" i="1"/>
  <c r="DO14" i="1"/>
  <c r="DR14" i="1" s="1"/>
  <c r="DU14" i="1" s="1"/>
  <c r="DX14" i="1" s="1"/>
  <c r="EA14" i="1" s="1"/>
  <c r="ED14" i="1" s="1"/>
  <c r="EG14" i="1" s="1"/>
  <c r="FK15" i="1"/>
  <c r="EM15" i="1"/>
  <c r="ES15" i="1"/>
  <c r="FH15" i="1"/>
  <c r="EJ15" i="1"/>
  <c r="EP15" i="1"/>
  <c r="FE15" i="1"/>
  <c r="FB15" i="1"/>
  <c r="EY15" i="1"/>
  <c r="N46" i="1"/>
  <c r="BI46" i="1"/>
  <c r="N45" i="1"/>
  <c r="N43" i="1"/>
  <c r="N41" i="1"/>
  <c r="BI47" i="1"/>
  <c r="N47" i="1"/>
  <c r="BI45" i="1"/>
  <c r="BI43" i="1"/>
  <c r="N38" i="1"/>
  <c r="BI40" i="1"/>
  <c r="N40" i="1"/>
  <c r="N44" i="1"/>
  <c r="N39" i="1"/>
  <c r="N34" i="1"/>
  <c r="BI44" i="1"/>
  <c r="N42" i="1"/>
  <c r="N36" i="1"/>
  <c r="N35" i="1"/>
  <c r="N27" i="1"/>
  <c r="BI27" i="1"/>
  <c r="BI31" i="1"/>
  <c r="N31" i="1"/>
  <c r="N28" i="1"/>
  <c r="N24" i="1"/>
  <c r="BI28" i="1"/>
  <c r="N37" i="1"/>
  <c r="N33" i="1"/>
  <c r="N29" i="1"/>
  <c r="BI41" i="1"/>
  <c r="BI19" i="1"/>
  <c r="N19" i="1"/>
  <c r="BI29" i="1"/>
  <c r="N20" i="1"/>
  <c r="N25" i="1"/>
  <c r="BI21" i="1"/>
  <c r="N21" i="1"/>
  <c r="BI14" i="1"/>
  <c r="N14" i="1"/>
  <c r="N32" i="1"/>
  <c r="BI22" i="1"/>
  <c r="N22" i="1"/>
  <c r="BI23" i="1"/>
  <c r="N23" i="1"/>
  <c r="N30" i="1"/>
  <c r="N16" i="1"/>
  <c r="N9" i="1"/>
  <c r="N10" i="1"/>
  <c r="BI18" i="1"/>
  <c r="BI11" i="1"/>
  <c r="N11" i="1"/>
  <c r="N18" i="1"/>
  <c r="N15" i="1"/>
  <c r="N12" i="1"/>
  <c r="BI17" i="1"/>
  <c r="BI13" i="1"/>
  <c r="N13" i="1"/>
  <c r="N26" i="1" s="1"/>
  <c r="N17" i="1"/>
  <c r="N5" i="1"/>
  <c r="N8" i="1"/>
  <c r="N7" i="1"/>
  <c r="N6" i="1"/>
  <c r="BI5" i="1"/>
  <c r="J26" i="1"/>
  <c r="BG13" i="1"/>
  <c r="EP18" i="1"/>
  <c r="FE18" i="1"/>
  <c r="EV18" i="1"/>
  <c r="FK18" i="1"/>
  <c r="EM18" i="1"/>
  <c r="ES18" i="1"/>
  <c r="FH18" i="1"/>
  <c r="EJ18" i="1"/>
  <c r="FB18" i="1"/>
  <c r="EY18" i="1"/>
  <c r="DQ20" i="1"/>
  <c r="DP20" i="1"/>
  <c r="DK22" i="1"/>
  <c r="DJ22" i="1"/>
  <c r="EP31" i="1"/>
  <c r="FE31" i="1"/>
  <c r="EV31" i="1"/>
  <c r="FK31" i="1"/>
  <c r="EM31" i="1"/>
  <c r="FB31" i="1"/>
  <c r="EY31" i="1"/>
  <c r="ES31" i="1"/>
  <c r="EJ31" i="1"/>
  <c r="FH31" i="1"/>
  <c r="GA61" i="1"/>
  <c r="GA60" i="1"/>
  <c r="GA56" i="1"/>
  <c r="GA59" i="1"/>
  <c r="GA62" i="1"/>
  <c r="GA49" i="1"/>
  <c r="GA55" i="1"/>
  <c r="GA51" i="1"/>
  <c r="GA48" i="1"/>
  <c r="GA47" i="1"/>
  <c r="GA46" i="1"/>
  <c r="GA58" i="1"/>
  <c r="GA57" i="1"/>
  <c r="GA54" i="1"/>
  <c r="GA52" i="1"/>
  <c r="GA50" i="1"/>
  <c r="GA53" i="1"/>
  <c r="GA6" i="1"/>
  <c r="GA5" i="1"/>
  <c r="GA2" i="1" s="1"/>
  <c r="GF3" i="1"/>
  <c r="EP8" i="1"/>
  <c r="FE8" i="1"/>
  <c r="EV8" i="1"/>
  <c r="FK8" i="1"/>
  <c r="EM8" i="1"/>
  <c r="FB8" i="1"/>
  <c r="ES8" i="1"/>
  <c r="EY8" i="1"/>
  <c r="FH10" i="1"/>
  <c r="EJ10" i="1"/>
  <c r="EY10" i="1"/>
  <c r="EP10" i="1"/>
  <c r="FE10" i="1"/>
  <c r="EV10" i="1"/>
  <c r="FK10" i="1"/>
  <c r="EM10" i="1"/>
  <c r="ES10" i="1"/>
  <c r="BG12" i="1"/>
  <c r="BF12" i="1"/>
  <c r="V12" i="1"/>
  <c r="DL13" i="1"/>
  <c r="DO13" i="1" s="1"/>
  <c r="DR13" i="1" s="1"/>
  <c r="DU13" i="1" s="1"/>
  <c r="DX13" i="1" s="1"/>
  <c r="EA13" i="1" s="1"/>
  <c r="ED13" i="1" s="1"/>
  <c r="EG13" i="1" s="1"/>
  <c r="EV16" i="1"/>
  <c r="FK16" i="1"/>
  <c r="EM16" i="1"/>
  <c r="FB16" i="1"/>
  <c r="ES16" i="1"/>
  <c r="EY16" i="1"/>
  <c r="EP16" i="1"/>
  <c r="FH16" i="1"/>
  <c r="EJ16" i="1"/>
  <c r="FB22" i="1"/>
  <c r="ES22" i="1"/>
  <c r="FH22" i="1"/>
  <c r="EJ22" i="1"/>
  <c r="EY22" i="1"/>
  <c r="EP22" i="1"/>
  <c r="FE22" i="1"/>
  <c r="FK22" i="1"/>
  <c r="EV22" i="1"/>
  <c r="DN7" i="1"/>
  <c r="DM7" i="1"/>
  <c r="DK12" i="1"/>
  <c r="DJ12" i="1"/>
  <c r="EM22" i="1"/>
  <c r="FB24" i="1"/>
  <c r="ES24" i="1"/>
  <c r="FH24" i="1"/>
  <c r="EJ24" i="1"/>
  <c r="EY24" i="1"/>
  <c r="FK24" i="1"/>
  <c r="EM24" i="1"/>
  <c r="FE24" i="1"/>
  <c r="EP24" i="1"/>
  <c r="EV29" i="1"/>
  <c r="FK29" i="1"/>
  <c r="EM29" i="1"/>
  <c r="FB29" i="1"/>
  <c r="ES29" i="1"/>
  <c r="FH29" i="1"/>
  <c r="EJ29" i="1"/>
  <c r="FE29" i="1"/>
  <c r="EY29" i="1"/>
  <c r="EP29" i="1"/>
  <c r="FX61" i="1"/>
  <c r="FX60" i="1"/>
  <c r="FX56" i="1"/>
  <c r="FX62" i="1"/>
  <c r="FX58" i="1"/>
  <c r="FX57" i="1"/>
  <c r="FX52" i="1"/>
  <c r="FX50" i="1"/>
  <c r="FX54" i="1"/>
  <c r="FX49" i="1"/>
  <c r="FX53" i="1"/>
  <c r="FX47" i="1"/>
  <c r="FX55" i="1"/>
  <c r="FX51" i="1"/>
  <c r="FX59" i="1"/>
  <c r="FX46" i="1"/>
  <c r="FX48" i="1"/>
  <c r="BG5" i="1"/>
  <c r="FQ6" i="1"/>
  <c r="FY6" i="1"/>
  <c r="DK8" i="1"/>
  <c r="BA11" i="1"/>
  <c r="BB11" i="1" s="1"/>
  <c r="DG12" i="1"/>
  <c r="DP16" i="1"/>
  <c r="EY19" i="1"/>
  <c r="EP19" i="1"/>
  <c r="FE19" i="1"/>
  <c r="EV19" i="1"/>
  <c r="FK19" i="1"/>
  <c r="FB19" i="1"/>
  <c r="BA21" i="1"/>
  <c r="BB21" i="1" s="1"/>
  <c r="DQ21" i="1"/>
  <c r="DP21" i="1"/>
  <c r="DG22" i="1"/>
  <c r="FK37" i="1"/>
  <c r="EM37" i="1"/>
  <c r="FH37" i="1"/>
  <c r="EJ37" i="1"/>
  <c r="EV37" i="1"/>
  <c r="FE37" i="1"/>
  <c r="ES37" i="1"/>
  <c r="FB37" i="1"/>
  <c r="EY37" i="1"/>
  <c r="EP37" i="1"/>
  <c r="CM48" i="1"/>
  <c r="CN48" i="1" s="1"/>
  <c r="CO48" i="1" s="1"/>
  <c r="CM47" i="1"/>
  <c r="CN47" i="1" s="1"/>
  <c r="CO47" i="1" s="1"/>
  <c r="CM45" i="1"/>
  <c r="CN45" i="1" s="1"/>
  <c r="CO45" i="1" s="1"/>
  <c r="CM49" i="1"/>
  <c r="CN49" i="1" s="1"/>
  <c r="CO49" i="1" s="1"/>
  <c r="FZ61" i="1"/>
  <c r="FZ60" i="1"/>
  <c r="FZ59" i="1"/>
  <c r="FZ57" i="1"/>
  <c r="FZ56" i="1"/>
  <c r="FZ54" i="1"/>
  <c r="FZ49" i="1"/>
  <c r="FZ55" i="1"/>
  <c r="FZ52" i="1"/>
  <c r="FZ50" i="1"/>
  <c r="FZ62" i="1"/>
  <c r="FZ58" i="1"/>
  <c r="FZ46" i="1"/>
  <c r="FZ51" i="1"/>
  <c r="FZ48" i="1"/>
  <c r="FZ47" i="1"/>
  <c r="FZ53" i="1"/>
  <c r="BA9" i="1"/>
  <c r="BB9" i="1" s="1"/>
  <c r="V10" i="1"/>
  <c r="DG10" i="1"/>
  <c r="DJ13" i="1"/>
  <c r="DM14" i="1"/>
  <c r="DS16" i="1"/>
  <c r="DJ17" i="1"/>
  <c r="FE17" i="1"/>
  <c r="EV17" i="1"/>
  <c r="FK17" i="1"/>
  <c r="EM17" i="1"/>
  <c r="FB17" i="1"/>
  <c r="FH17" i="1"/>
  <c r="EJ17" i="1"/>
  <c r="DN19" i="1"/>
  <c r="EY23" i="1"/>
  <c r="FE23" i="1"/>
  <c r="EM23" i="1"/>
  <c r="ES23" i="1"/>
  <c r="FB23" i="1"/>
  <c r="EJ23" i="1"/>
  <c r="FK23" i="1"/>
  <c r="EP23" i="1"/>
  <c r="EP26" i="1"/>
  <c r="FE26" i="1"/>
  <c r="EV26" i="1"/>
  <c r="FK26" i="1"/>
  <c r="EM26" i="1"/>
  <c r="FB26" i="1"/>
  <c r="EY26" i="1"/>
  <c r="ES26" i="1"/>
  <c r="EJ26" i="1"/>
  <c r="FH26" i="1"/>
  <c r="FH27" i="1"/>
  <c r="EJ27" i="1"/>
  <c r="EY27" i="1"/>
  <c r="EP27" i="1"/>
  <c r="FE27" i="1"/>
  <c r="EV27" i="1"/>
  <c r="ES27" i="1"/>
  <c r="EM27" i="1"/>
  <c r="FK27" i="1"/>
  <c r="FB27" i="1"/>
  <c r="FB32" i="1"/>
  <c r="ES32" i="1"/>
  <c r="FH32" i="1"/>
  <c r="EJ32" i="1"/>
  <c r="EY32" i="1"/>
  <c r="EP32" i="1"/>
  <c r="FK32" i="1"/>
  <c r="EM32" i="1"/>
  <c r="FE32" i="1"/>
  <c r="BB44" i="1"/>
  <c r="BB45" i="1"/>
  <c r="FK47" i="1"/>
  <c r="EM47" i="1"/>
  <c r="FB47" i="1"/>
  <c r="FH47" i="1"/>
  <c r="EJ47" i="1"/>
  <c r="EV47" i="1"/>
  <c r="EP47" i="1"/>
  <c r="FE47" i="1"/>
  <c r="EY47" i="1"/>
  <c r="ES47" i="1"/>
  <c r="FK48" i="1"/>
  <c r="EM48" i="1"/>
  <c r="FB48" i="1"/>
  <c r="ES48" i="1"/>
  <c r="FH48" i="1"/>
  <c r="EJ48" i="1"/>
  <c r="EV48" i="1"/>
  <c r="EP48" i="1"/>
  <c r="FE48" i="1"/>
  <c r="EY48" i="1"/>
  <c r="DG9" i="1"/>
  <c r="V15" i="1"/>
  <c r="BG15" i="1"/>
  <c r="DQ17" i="1"/>
  <c r="DP17" i="1"/>
  <c r="BA18" i="1"/>
  <c r="BB18" i="1" s="1"/>
  <c r="DM18" i="1"/>
  <c r="DK23" i="1"/>
  <c r="DJ23" i="1"/>
  <c r="R66" i="25"/>
  <c r="BF32" i="1"/>
  <c r="BA32" i="1" s="1"/>
  <c r="BB32" i="1" s="1"/>
  <c r="BT32" i="1"/>
  <c r="G32" i="1"/>
  <c r="DG32" i="1"/>
  <c r="O32" i="1"/>
  <c r="AB32" i="1"/>
  <c r="GB3" i="1"/>
  <c r="BA5" i="1"/>
  <c r="BB5" i="1" s="1"/>
  <c r="CM5" i="1"/>
  <c r="CN5" i="1" s="1"/>
  <c r="CO5" i="1" s="1"/>
  <c r="DB5" i="1"/>
  <c r="V6" i="1"/>
  <c r="FU6" i="1"/>
  <c r="GC6" i="1"/>
  <c r="V7" i="1"/>
  <c r="V8" i="1"/>
  <c r="DG8" i="1"/>
  <c r="BF10" i="1"/>
  <c r="DJ11" i="1"/>
  <c r="V14" i="1"/>
  <c r="DT16" i="1"/>
  <c r="DM20" i="1"/>
  <c r="BG22" i="1"/>
  <c r="BF22" i="1"/>
  <c r="EV32" i="1"/>
  <c r="DG53" i="1"/>
  <c r="DG44" i="1"/>
  <c r="DG42" i="1"/>
  <c r="DJ53" i="1"/>
  <c r="DG41" i="1"/>
  <c r="DG40" i="1"/>
  <c r="DJ39" i="1"/>
  <c r="DM40" i="1"/>
  <c r="DJ37" i="1"/>
  <c r="DG29" i="1"/>
  <c r="DG25" i="1"/>
  <c r="DM42" i="1"/>
  <c r="DG28" i="1"/>
  <c r="DG24" i="1"/>
  <c r="DG23" i="1"/>
  <c r="DG15" i="1"/>
  <c r="DJ19" i="1"/>
  <c r="DG16" i="1"/>
  <c r="DG27" i="1"/>
  <c r="DG17" i="1"/>
  <c r="DJ25" i="1"/>
  <c r="DG18" i="1"/>
  <c r="DG34" i="1"/>
  <c r="DJ29" i="1"/>
  <c r="DG20" i="1"/>
  <c r="FU59" i="1"/>
  <c r="FU62" i="1"/>
  <c r="FU58" i="1"/>
  <c r="FU55" i="1"/>
  <c r="FU61" i="1"/>
  <c r="FU60" i="1"/>
  <c r="FU57" i="1"/>
  <c r="FU51" i="1"/>
  <c r="FU48" i="1"/>
  <c r="FU47" i="1"/>
  <c r="FU53" i="1"/>
  <c r="FU56" i="1"/>
  <c r="FU54" i="1"/>
  <c r="FU50" i="1"/>
  <c r="FU49" i="1"/>
  <c r="FU52" i="1"/>
  <c r="FU46" i="1"/>
  <c r="GC3" i="1"/>
  <c r="DG5" i="1"/>
  <c r="DG6" i="1"/>
  <c r="FV6" i="1"/>
  <c r="DG7" i="1"/>
  <c r="BF9" i="1"/>
  <c r="DJ10" i="1"/>
  <c r="DM13" i="1"/>
  <c r="DN14" i="1"/>
  <c r="DJ15" i="1"/>
  <c r="DM17" i="1"/>
  <c r="DM19" i="1"/>
  <c r="EJ19" i="1"/>
  <c r="FH19" i="1"/>
  <c r="DJ21" i="1"/>
  <c r="EV23" i="1"/>
  <c r="BA27" i="1"/>
  <c r="BB27" i="1" s="1"/>
  <c r="FB28" i="1"/>
  <c r="ES28" i="1"/>
  <c r="FH28" i="1"/>
  <c r="EJ28" i="1"/>
  <c r="EY28" i="1"/>
  <c r="EP28" i="1"/>
  <c r="FK28" i="1"/>
  <c r="EM28" i="1"/>
  <c r="FE28" i="1"/>
  <c r="FK33" i="1"/>
  <c r="EM33" i="1"/>
  <c r="FH33" i="1"/>
  <c r="EJ33" i="1"/>
  <c r="ES33" i="1"/>
  <c r="FB33" i="1"/>
  <c r="EP33" i="1"/>
  <c r="EY33" i="1"/>
  <c r="FE33" i="1"/>
  <c r="EV33" i="1"/>
  <c r="FV62" i="1"/>
  <c r="FV58" i="1"/>
  <c r="FV57" i="1"/>
  <c r="FV61" i="1"/>
  <c r="FV59" i="1"/>
  <c r="FV60" i="1"/>
  <c r="FV51" i="1"/>
  <c r="FV48" i="1"/>
  <c r="FV47" i="1"/>
  <c r="FV46" i="1"/>
  <c r="FV53" i="1"/>
  <c r="FV56" i="1"/>
  <c r="FV52" i="1"/>
  <c r="FV50" i="1"/>
  <c r="FV55" i="1"/>
  <c r="FV54" i="1"/>
  <c r="FV49" i="1"/>
  <c r="BF6" i="1"/>
  <c r="BI6" i="1" s="1"/>
  <c r="FW6" i="1"/>
  <c r="Y7" i="1"/>
  <c r="BF7" i="1"/>
  <c r="BF8" i="1"/>
  <c r="DJ9" i="1"/>
  <c r="BA13" i="1"/>
  <c r="BB48" i="1"/>
  <c r="BB43" i="1"/>
  <c r="BB54" i="1"/>
  <c r="BA28" i="1"/>
  <c r="BB28" i="1" s="1"/>
  <c r="BA29" i="1"/>
  <c r="BB29" i="1" s="1"/>
  <c r="BA22" i="1"/>
  <c r="BB22" i="1" s="1"/>
  <c r="BA23" i="1"/>
  <c r="BB23" i="1" s="1"/>
  <c r="BA16" i="1"/>
  <c r="BB16" i="1" s="1"/>
  <c r="BA17" i="1"/>
  <c r="BB17" i="1" s="1"/>
  <c r="BA19" i="1"/>
  <c r="BB19" i="1" s="1"/>
  <c r="FW62" i="1"/>
  <c r="FW58" i="1"/>
  <c r="FW57" i="1"/>
  <c r="FW61" i="1"/>
  <c r="FW53" i="1"/>
  <c r="FW56" i="1"/>
  <c r="FW52" i="1"/>
  <c r="FW50" i="1"/>
  <c r="FW54" i="1"/>
  <c r="FW60" i="1"/>
  <c r="FW51" i="1"/>
  <c r="FW48" i="1"/>
  <c r="FW47" i="1"/>
  <c r="FW46" i="1"/>
  <c r="FW55" i="1"/>
  <c r="FW49" i="1"/>
  <c r="FW59" i="1"/>
  <c r="GE3" i="1"/>
  <c r="GE6" i="1" s="1"/>
  <c r="FX5" i="1"/>
  <c r="FX2" i="1" s="1"/>
  <c r="FP6" i="1"/>
  <c r="FX6" i="1"/>
  <c r="BA12" i="1"/>
  <c r="BB12" i="1" s="1"/>
  <c r="V13" i="1"/>
  <c r="V26" i="1" s="1"/>
  <c r="DG13" i="1"/>
  <c r="BG14" i="1"/>
  <c r="BF15" i="1"/>
  <c r="DK15" i="1"/>
  <c r="BF16" i="1"/>
  <c r="BI16" i="1" s="1"/>
  <c r="DJ16" i="1"/>
  <c r="EP17" i="1"/>
  <c r="EM19" i="1"/>
  <c r="DM21" i="1"/>
  <c r="V23" i="1"/>
  <c r="BG23" i="1"/>
  <c r="EV25" i="1"/>
  <c r="FK25" i="1"/>
  <c r="EM25" i="1"/>
  <c r="FB25" i="1"/>
  <c r="ES25" i="1"/>
  <c r="FE25" i="1"/>
  <c r="EJ25" i="1"/>
  <c r="EY25" i="1"/>
  <c r="EV28" i="1"/>
  <c r="DQ27" i="1"/>
  <c r="DP27" i="1"/>
  <c r="FE45" i="1"/>
  <c r="FB45" i="1"/>
  <c r="EY45" i="1"/>
  <c r="FH45" i="1"/>
  <c r="EM45" i="1"/>
  <c r="EV45" i="1"/>
  <c r="EJ45" i="1"/>
  <c r="FK45" i="1"/>
  <c r="EP45" i="1"/>
  <c r="ES45" i="1"/>
  <c r="O6" i="46"/>
  <c r="O24" i="46"/>
  <c r="V20" i="1"/>
  <c r="DK24" i="1"/>
  <c r="V25" i="1"/>
  <c r="DJ26" i="1"/>
  <c r="DK26" i="1"/>
  <c r="AA47" i="1"/>
  <c r="R64" i="25"/>
  <c r="BF30" i="1"/>
  <c r="BA30" i="1" s="1"/>
  <c r="BB30" i="1" s="1"/>
  <c r="G30" i="1"/>
  <c r="BT30" i="1"/>
  <c r="DG30" i="1"/>
  <c r="BG30" i="1"/>
  <c r="R67" i="25"/>
  <c r="DG33" i="1"/>
  <c r="BT33" i="1"/>
  <c r="G33" i="1"/>
  <c r="O33" i="1"/>
  <c r="AB33" i="1"/>
  <c r="EV35" i="1"/>
  <c r="FK35" i="1"/>
  <c r="EM35" i="1"/>
  <c r="FB35" i="1"/>
  <c r="ES35" i="1"/>
  <c r="FH35" i="1"/>
  <c r="FE35" i="1"/>
  <c r="EY35" i="1"/>
  <c r="DJ14" i="1"/>
  <c r="DM16" i="1"/>
  <c r="V18" i="1"/>
  <c r="BF20" i="1"/>
  <c r="BI20" i="1" s="1"/>
  <c r="BF24" i="1"/>
  <c r="BI24" i="1" s="1"/>
  <c r="DJ24" i="1"/>
  <c r="BF28" i="1"/>
  <c r="DN29" i="1"/>
  <c r="DM29" i="1"/>
  <c r="DJ31" i="1"/>
  <c r="DM33" i="1"/>
  <c r="DN33" i="1"/>
  <c r="DN34" i="1"/>
  <c r="DM34" i="1"/>
  <c r="V17" i="1"/>
  <c r="DJ20" i="1"/>
  <c r="DN25" i="1"/>
  <c r="DM25" i="1"/>
  <c r="FB30" i="1"/>
  <c r="ES30" i="1"/>
  <c r="FH30" i="1"/>
  <c r="EJ30" i="1"/>
  <c r="EY30" i="1"/>
  <c r="EP30" i="1"/>
  <c r="FK30" i="1"/>
  <c r="EM30" i="1"/>
  <c r="DJ34" i="1"/>
  <c r="EJ35" i="1"/>
  <c r="FK46" i="1"/>
  <c r="EM46" i="1"/>
  <c r="FH46" i="1"/>
  <c r="EJ46" i="1"/>
  <c r="EV46" i="1"/>
  <c r="FB46" i="1"/>
  <c r="EP46" i="1"/>
  <c r="EY46" i="1"/>
  <c r="FE46" i="1"/>
  <c r="ES46" i="1"/>
  <c r="DM27" i="1"/>
  <c r="DK30" i="1"/>
  <c r="DJ30" i="1"/>
  <c r="I32" i="1"/>
  <c r="BG32" i="1" s="1"/>
  <c r="BF31" i="1"/>
  <c r="BA31" i="1" s="1"/>
  <c r="BB31" i="1" s="1"/>
  <c r="EP35" i="1"/>
  <c r="DN53" i="1"/>
  <c r="DM53" i="1"/>
  <c r="V28" i="1"/>
  <c r="DK28" i="1"/>
  <c r="DJ28" i="1"/>
  <c r="AB30" i="1"/>
  <c r="DK32" i="1"/>
  <c r="DJ32" i="1"/>
  <c r="ES43" i="1"/>
  <c r="FH43" i="1"/>
  <c r="EJ43" i="1"/>
  <c r="EY43" i="1"/>
  <c r="EP43" i="1"/>
  <c r="FB43" i="1"/>
  <c r="FE43" i="1"/>
  <c r="EM43" i="1"/>
  <c r="EV43" i="1"/>
  <c r="FK43" i="1"/>
  <c r="DN44" i="1"/>
  <c r="DM44" i="1"/>
  <c r="BF25" i="1"/>
  <c r="BI25" i="1" s="1"/>
  <c r="BT26" i="1"/>
  <c r="BF29" i="1"/>
  <c r="DK31" i="1"/>
  <c r="R70" i="25"/>
  <c r="BT36" i="1"/>
  <c r="G36" i="1"/>
  <c r="O36" i="1"/>
  <c r="R71" i="25"/>
  <c r="DG37" i="1"/>
  <c r="BT37" i="1"/>
  <c r="G37" i="1"/>
  <c r="O37" i="1"/>
  <c r="BB47" i="1"/>
  <c r="FB55" i="1"/>
  <c r="ES55" i="1"/>
  <c r="FH55" i="1"/>
  <c r="EJ55" i="1"/>
  <c r="EY55" i="1"/>
  <c r="FK55" i="1"/>
  <c r="EM55" i="1"/>
  <c r="FE55" i="1"/>
  <c r="EV55" i="1"/>
  <c r="EP55" i="1"/>
  <c r="R69" i="25"/>
  <c r="DG35" i="1"/>
  <c r="FK36" i="1"/>
  <c r="ES36" i="1"/>
  <c r="FB36" i="1"/>
  <c r="EJ36" i="1"/>
  <c r="EP36" i="1"/>
  <c r="EY36" i="1"/>
  <c r="FE36" i="1"/>
  <c r="FH36" i="1"/>
  <c r="E73" i="25"/>
  <c r="K73" i="25"/>
  <c r="I73" i="25"/>
  <c r="G73" i="25"/>
  <c r="DL41" i="1"/>
  <c r="DO41" i="1" s="1"/>
  <c r="DR41" i="1" s="1"/>
  <c r="DU41" i="1" s="1"/>
  <c r="DX41" i="1" s="1"/>
  <c r="EA41" i="1" s="1"/>
  <c r="ED41" i="1" s="1"/>
  <c r="EG41" i="1" s="1"/>
  <c r="FE44" i="1"/>
  <c r="EV44" i="1"/>
  <c r="FK44" i="1"/>
  <c r="EM44" i="1"/>
  <c r="FB44" i="1"/>
  <c r="EP44" i="1"/>
  <c r="FH44" i="1"/>
  <c r="EJ44" i="1"/>
  <c r="ES44" i="1"/>
  <c r="DK49" i="1"/>
  <c r="DJ49" i="1"/>
  <c r="EP50" i="1"/>
  <c r="FE50" i="1"/>
  <c r="EV50" i="1"/>
  <c r="FK50" i="1"/>
  <c r="EM50" i="1"/>
  <c r="EY50" i="1"/>
  <c r="ES50" i="1"/>
  <c r="FH50" i="1"/>
  <c r="FB50" i="1"/>
  <c r="DN62" i="1"/>
  <c r="DM62" i="1"/>
  <c r="DG26" i="1"/>
  <c r="BG31" i="1"/>
  <c r="DG31" i="1"/>
  <c r="DG36" i="1"/>
  <c r="DM41" i="1"/>
  <c r="DN41" i="1"/>
  <c r="DQ46" i="1"/>
  <c r="DP46" i="1"/>
  <c r="FH49" i="1"/>
  <c r="EJ49" i="1"/>
  <c r="EY49" i="1"/>
  <c r="EP49" i="1"/>
  <c r="FE49" i="1"/>
  <c r="ES49" i="1"/>
  <c r="FK49" i="1"/>
  <c r="EM49" i="1"/>
  <c r="FB49" i="1"/>
  <c r="EV49" i="1"/>
  <c r="EJ50" i="1"/>
  <c r="FK51" i="1"/>
  <c r="EM51" i="1"/>
  <c r="FB51" i="1"/>
  <c r="ES51" i="1"/>
  <c r="FH51" i="1"/>
  <c r="EJ51" i="1"/>
  <c r="EV51" i="1"/>
  <c r="EP51" i="1"/>
  <c r="FE51" i="1"/>
  <c r="EY51" i="1"/>
  <c r="BF26" i="1"/>
  <c r="BI26" i="1" s="1"/>
  <c r="DJ27" i="1"/>
  <c r="DJ33" i="1"/>
  <c r="R68" i="25"/>
  <c r="G34" i="1"/>
  <c r="DL34" i="1"/>
  <c r="DO34" i="1" s="1"/>
  <c r="DR34" i="1" s="1"/>
  <c r="DU34" i="1" s="1"/>
  <c r="DX34" i="1" s="1"/>
  <c r="EA34" i="1" s="1"/>
  <c r="ED34" i="1" s="1"/>
  <c r="EG34" i="1" s="1"/>
  <c r="G35" i="1"/>
  <c r="DK36" i="1"/>
  <c r="DJ36" i="1"/>
  <c r="R72" i="25"/>
  <c r="BT38" i="1"/>
  <c r="G38" i="1"/>
  <c r="DG38" i="1"/>
  <c r="O38" i="1"/>
  <c r="DJ38" i="1"/>
  <c r="K60" i="25"/>
  <c r="I60" i="25"/>
  <c r="E60" i="25"/>
  <c r="G60" i="25"/>
  <c r="BG26" i="1"/>
  <c r="E65" i="25"/>
  <c r="I65" i="25"/>
  <c r="G65" i="25"/>
  <c r="K65" i="25"/>
  <c r="O31" i="1"/>
  <c r="AB31" i="1"/>
  <c r="DJ35" i="1"/>
  <c r="EM36" i="1"/>
  <c r="DN38" i="1"/>
  <c r="DM38" i="1"/>
  <c r="DP39" i="1"/>
  <c r="DQ39" i="1"/>
  <c r="DO40" i="1"/>
  <c r="DR40" i="1" s="1"/>
  <c r="DU40" i="1" s="1"/>
  <c r="DX40" i="1" s="1"/>
  <c r="EA40" i="1" s="1"/>
  <c r="ED40" i="1" s="1"/>
  <c r="EG40" i="1" s="1"/>
  <c r="EY44" i="1"/>
  <c r="BB49" i="1"/>
  <c r="DK59" i="1"/>
  <c r="DJ59" i="1"/>
  <c r="BT35" i="1"/>
  <c r="DN35" i="1"/>
  <c r="DM35" i="1"/>
  <c r="DQ37" i="1"/>
  <c r="DP37" i="1"/>
  <c r="FH38" i="1"/>
  <c r="EJ38" i="1"/>
  <c r="FE38" i="1"/>
  <c r="EM38" i="1"/>
  <c r="EV38" i="1"/>
  <c r="ES38" i="1"/>
  <c r="EY38" i="1"/>
  <c r="FK38" i="1"/>
  <c r="DM39" i="1"/>
  <c r="BB41" i="1"/>
  <c r="FE42" i="1"/>
  <c r="EV42" i="1"/>
  <c r="FK42" i="1"/>
  <c r="EM42" i="1"/>
  <c r="FB42" i="1"/>
  <c r="EP42" i="1"/>
  <c r="EY42" i="1"/>
  <c r="ES42" i="1"/>
  <c r="FH42" i="1"/>
  <c r="BB52" i="1"/>
  <c r="DQ40" i="1"/>
  <c r="DP40" i="1"/>
  <c r="DJ41" i="1"/>
  <c r="BF42" i="1"/>
  <c r="BA42" i="1" s="1"/>
  <c r="BB42" i="1" s="1"/>
  <c r="DN42" i="1"/>
  <c r="DJ44" i="1"/>
  <c r="P50" i="1"/>
  <c r="CK51" i="1"/>
  <c r="CM50" i="1"/>
  <c r="CN50" i="1" s="1"/>
  <c r="CO50" i="1" s="1"/>
  <c r="BB51" i="1"/>
  <c r="EP52" i="1"/>
  <c r="FE52" i="1"/>
  <c r="EV52" i="1"/>
  <c r="FK52" i="1"/>
  <c r="EM52" i="1"/>
  <c r="EY52" i="1"/>
  <c r="FH52" i="1"/>
  <c r="FB52" i="1"/>
  <c r="EJ52" i="1"/>
  <c r="ES52" i="1"/>
  <c r="EV53" i="1"/>
  <c r="FK53" i="1"/>
  <c r="EM53" i="1"/>
  <c r="FB53" i="1"/>
  <c r="ES53" i="1"/>
  <c r="FE53" i="1"/>
  <c r="FH53" i="1"/>
  <c r="EP53" i="1"/>
  <c r="EJ53" i="1"/>
  <c r="EY53" i="1"/>
  <c r="DM37" i="1"/>
  <c r="DK43" i="1"/>
  <c r="DJ43" i="1"/>
  <c r="BF46" i="1"/>
  <c r="BA46" i="1" s="1"/>
  <c r="BB46" i="1" s="1"/>
  <c r="V46" i="1"/>
  <c r="CF46" i="1"/>
  <c r="CD46" i="1"/>
  <c r="AA46" i="1" s="1"/>
  <c r="FH61" i="1"/>
  <c r="EJ61" i="1"/>
  <c r="FE61" i="1"/>
  <c r="EV61" i="1"/>
  <c r="EM61" i="1"/>
  <c r="FK61" i="1"/>
  <c r="FB61" i="1"/>
  <c r="EP61" i="1"/>
  <c r="EY61" i="1"/>
  <c r="BG46" i="1"/>
  <c r="AA56" i="1"/>
  <c r="DJ40" i="1"/>
  <c r="DJ42" i="1"/>
  <c r="V55" i="1"/>
  <c r="BF55" i="1"/>
  <c r="DL39" i="1"/>
  <c r="DO39" i="1" s="1"/>
  <c r="DR39" i="1" s="1"/>
  <c r="DU39" i="1" s="1"/>
  <c r="DX39" i="1" s="1"/>
  <c r="EA39" i="1" s="1"/>
  <c r="ED39" i="1" s="1"/>
  <c r="EG39" i="1" s="1"/>
  <c r="BG41" i="1"/>
  <c r="DM45" i="1"/>
  <c r="BG42" i="1"/>
  <c r="BG44" i="1"/>
  <c r="V47" i="1"/>
  <c r="CD49" i="1"/>
  <c r="AA49" i="1" s="1"/>
  <c r="BF50" i="1"/>
  <c r="BA50" i="1" s="1"/>
  <c r="BB50" i="1" s="1"/>
  <c r="V50" i="1"/>
  <c r="AA51" i="1"/>
  <c r="L1" i="19"/>
  <c r="L2" i="19" s="1"/>
  <c r="L4" i="19" s="1"/>
  <c r="BA53" i="1"/>
  <c r="BB53" i="1" s="1"/>
  <c r="BG53" i="1"/>
  <c r="EP57" i="1"/>
  <c r="EV57" i="1"/>
  <c r="FK57" i="1"/>
  <c r="EM57" i="1"/>
  <c r="EY57" i="1"/>
  <c r="FE57" i="1"/>
  <c r="FB57" i="1"/>
  <c r="EJ57" i="1"/>
  <c r="FH57" i="1"/>
  <c r="DN48" i="1"/>
  <c r="DM48" i="1"/>
  <c r="CF50" i="1"/>
  <c r="CD50" i="1"/>
  <c r="AA50" i="1" s="1"/>
  <c r="DN51" i="1"/>
  <c r="DM51" i="1"/>
  <c r="BA56" i="1"/>
  <c r="BB56" i="1" s="1"/>
  <c r="FH56" i="1"/>
  <c r="EJ56" i="1"/>
  <c r="EP56" i="1"/>
  <c r="FE56" i="1"/>
  <c r="ES56" i="1"/>
  <c r="EM56" i="1"/>
  <c r="FB56" i="1"/>
  <c r="EY56" i="1"/>
  <c r="FB59" i="1"/>
  <c r="ES59" i="1"/>
  <c r="FH59" i="1"/>
  <c r="EJ59" i="1"/>
  <c r="EY59" i="1"/>
  <c r="FK59" i="1"/>
  <c r="EM59" i="1"/>
  <c r="EP59" i="1"/>
  <c r="FE59" i="1"/>
  <c r="EV59" i="1"/>
  <c r="BT39" i="1"/>
  <c r="DM46" i="1"/>
  <c r="AA48" i="1"/>
  <c r="V53" i="1"/>
  <c r="DN55" i="1"/>
  <c r="DM55" i="1"/>
  <c r="D7" i="45"/>
  <c r="C8" i="45" s="1"/>
  <c r="F8" i="45"/>
  <c r="BG52" i="1"/>
  <c r="CF52" i="1"/>
  <c r="X52" i="1"/>
  <c r="CD52" i="1"/>
  <c r="BU53" i="1"/>
  <c r="CH46" i="1"/>
  <c r="BG47" i="1"/>
  <c r="BG57" i="1"/>
  <c r="BA57" i="1"/>
  <c r="BB57" i="1" s="1"/>
  <c r="DN58" i="1"/>
  <c r="DM58" i="1"/>
  <c r="DG39" i="1"/>
  <c r="V42" i="1"/>
  <c r="V44" i="1"/>
  <c r="CM46" i="1"/>
  <c r="CN46" i="1" s="1"/>
  <c r="CO46" i="1" s="1"/>
  <c r="CF57" i="1"/>
  <c r="X57" i="1"/>
  <c r="CD57" i="1"/>
  <c r="AA57" i="1" s="1"/>
  <c r="BU58" i="1"/>
  <c r="CH57" i="1"/>
  <c r="EV58" i="1"/>
  <c r="FK58" i="1"/>
  <c r="EM58" i="1"/>
  <c r="FB58" i="1"/>
  <c r="ES58" i="1"/>
  <c r="FE58" i="1"/>
  <c r="FH58" i="1"/>
  <c r="EP58" i="1"/>
  <c r="EJ58" i="1"/>
  <c r="BG59" i="1"/>
  <c r="FH60" i="1"/>
  <c r="EJ60" i="1"/>
  <c r="EY60" i="1"/>
  <c r="EP60" i="1"/>
  <c r="FE60" i="1"/>
  <c r="ES60" i="1"/>
  <c r="EV60" i="1"/>
  <c r="FK60" i="1"/>
  <c r="EM60" i="1"/>
  <c r="FB60" i="1"/>
  <c r="DK50" i="1"/>
  <c r="DK52" i="1"/>
  <c r="DL54" i="1"/>
  <c r="DO54" i="1" s="1"/>
  <c r="DR54" i="1" s="1"/>
  <c r="DU54" i="1" s="1"/>
  <c r="DX54" i="1" s="1"/>
  <c r="EA54" i="1" s="1"/>
  <c r="ED54" i="1" s="1"/>
  <c r="EG54" i="1" s="1"/>
  <c r="V57" i="1"/>
  <c r="DK61" i="1"/>
  <c r="DJ61" i="1"/>
  <c r="BG62" i="1"/>
  <c r="BA62" i="1"/>
  <c r="BB62" i="1" s="1"/>
  <c r="EP62" i="1"/>
  <c r="FK62" i="1"/>
  <c r="FB62" i="1"/>
  <c r="ES62" i="1"/>
  <c r="EJ62" i="1"/>
  <c r="FH62" i="1"/>
  <c r="EY62" i="1"/>
  <c r="FE62" i="1"/>
  <c r="EV62" i="1"/>
  <c r="EM62" i="1"/>
  <c r="DC18" i="31"/>
  <c r="AJ6" i="31" s="1"/>
  <c r="V56" i="1"/>
  <c r="CH56" i="1"/>
  <c r="BF61" i="1"/>
  <c r="BF58" i="1"/>
  <c r="V58" i="1"/>
  <c r="V52" i="1"/>
  <c r="DK56" i="1"/>
  <c r="BA60" i="1"/>
  <c r="BB60" i="1" s="1"/>
  <c r="DK60" i="1"/>
  <c r="DJ60" i="1"/>
  <c r="DK57" i="1"/>
  <c r="DP15" i="31"/>
  <c r="DD73" i="31" s="1"/>
  <c r="F6" i="45"/>
  <c r="DC6" i="31"/>
  <c r="R5" i="31" s="1"/>
  <c r="DD26" i="31"/>
  <c r="DA38" i="31"/>
  <c r="CZ38" i="31"/>
  <c r="AI8" i="31" s="1"/>
  <c r="DD38" i="31"/>
  <c r="DC38" i="31" s="1"/>
  <c r="AJ8" i="31" s="1"/>
  <c r="I48" i="25"/>
  <c r="V60" i="1"/>
  <c r="X10" i="47"/>
  <c r="S10" i="9"/>
  <c r="M10" i="33"/>
  <c r="X10" i="24"/>
  <c r="AA10" i="25"/>
  <c r="DD37" i="31"/>
  <c r="K83" i="25"/>
  <c r="N7" i="33"/>
  <c r="Y7" i="47"/>
  <c r="DD79" i="31"/>
  <c r="DE78" i="31"/>
  <c r="AK12" i="31" s="1"/>
  <c r="DD72" i="31"/>
  <c r="DE71" i="31"/>
  <c r="BL11" i="31" s="1"/>
  <c r="DD57" i="31"/>
  <c r="DC57" i="31" s="1"/>
  <c r="AA10" i="31" s="1"/>
  <c r="DE56" i="31"/>
  <c r="S10" i="31" s="1"/>
  <c r="T7" i="9"/>
  <c r="DE77" i="31"/>
  <c r="AB12" i="31" s="1"/>
  <c r="DE70" i="31"/>
  <c r="BC11" i="31" s="1"/>
  <c r="AB7" i="25"/>
  <c r="DE76" i="31"/>
  <c r="S12" i="31" s="1"/>
  <c r="DE69" i="31"/>
  <c r="AT11" i="31" s="1"/>
  <c r="DE81" i="31"/>
  <c r="BL12" i="31" s="1"/>
  <c r="DE66" i="31"/>
  <c r="S11" i="31" s="1"/>
  <c r="DE59" i="31"/>
  <c r="AT10" i="31" s="1"/>
  <c r="DE65" i="31"/>
  <c r="J11" i="31" s="1"/>
  <c r="DE46" i="31"/>
  <c r="S9" i="31" s="1"/>
  <c r="DE36" i="31"/>
  <c r="S8" i="31" s="1"/>
  <c r="DE29" i="31"/>
  <c r="DD21" i="31"/>
  <c r="DC21" i="31" s="1"/>
  <c r="BK6" i="31" s="1"/>
  <c r="DD17" i="31"/>
  <c r="DP16" i="31"/>
  <c r="DD64" i="31" s="1"/>
  <c r="DE43" i="31"/>
  <c r="CD8" i="31" s="1"/>
  <c r="DE20" i="31"/>
  <c r="BC6" i="31" s="1"/>
  <c r="DE14" i="31"/>
  <c r="CM5" i="31" s="1"/>
  <c r="DP13" i="31"/>
  <c r="DD84" i="31"/>
  <c r="DE60" i="31"/>
  <c r="BC10" i="31" s="1"/>
  <c r="DE16" i="31"/>
  <c r="S6" i="31" s="1"/>
  <c r="DE72" i="31"/>
  <c r="BU11" i="31" s="1"/>
  <c r="DE61" i="31"/>
  <c r="BL10" i="31" s="1"/>
  <c r="DE41" i="31"/>
  <c r="BL8" i="31" s="1"/>
  <c r="DE80" i="31"/>
  <c r="BC12" i="31" s="1"/>
  <c r="DD69" i="31"/>
  <c r="DC69" i="31" s="1"/>
  <c r="AS11" i="31" s="1"/>
  <c r="DE68" i="31"/>
  <c r="AK11" i="31" s="1"/>
  <c r="DE51" i="31"/>
  <c r="BL9" i="31" s="1"/>
  <c r="DD40" i="31"/>
  <c r="DE39" i="31"/>
  <c r="AT8" i="31" s="1"/>
  <c r="DE30" i="31"/>
  <c r="DE18" i="31"/>
  <c r="AK6" i="31" s="1"/>
  <c r="DE12" i="31"/>
  <c r="BU5" i="31" s="1"/>
  <c r="DD81" i="31"/>
  <c r="DC81" i="31" s="1"/>
  <c r="BK12" i="31" s="1"/>
  <c r="DE58" i="31"/>
  <c r="AK10" i="31" s="1"/>
  <c r="DE57" i="31"/>
  <c r="AB10" i="31" s="1"/>
  <c r="DD50" i="31"/>
  <c r="DC50" i="31" s="1"/>
  <c r="BB9" i="31" s="1"/>
  <c r="DE49" i="31"/>
  <c r="AT9" i="31" s="1"/>
  <c r="DE48" i="31"/>
  <c r="AK9" i="31" s="1"/>
  <c r="DE47" i="31"/>
  <c r="AB9" i="31" s="1"/>
  <c r="DE37" i="31"/>
  <c r="AB8" i="31" s="1"/>
  <c r="DE79" i="31"/>
  <c r="AT12" i="31" s="1"/>
  <c r="DD76" i="31"/>
  <c r="DE40" i="31"/>
  <c r="BC8" i="31" s="1"/>
  <c r="DE32" i="31"/>
  <c r="BU7" i="31" s="1"/>
  <c r="DD31" i="31"/>
  <c r="DE24" i="31"/>
  <c r="CM6" i="31" s="1"/>
  <c r="DD7" i="31"/>
  <c r="DD61" i="31"/>
  <c r="DD41" i="31"/>
  <c r="DE33" i="31"/>
  <c r="CD7" i="31" s="1"/>
  <c r="DD32" i="31"/>
  <c r="DD24" i="31"/>
  <c r="DC24" i="31" s="1"/>
  <c r="CL6" i="31" s="1"/>
  <c r="DD80" i="31"/>
  <c r="DC80" i="31" s="1"/>
  <c r="BB12" i="31" s="1"/>
  <c r="DD51" i="31"/>
  <c r="DE34" i="31"/>
  <c r="CM7" i="31" s="1"/>
  <c r="DE28" i="31"/>
  <c r="AK7" i="31" s="1"/>
  <c r="DE26" i="31"/>
  <c r="S7" i="31" s="1"/>
  <c r="DP12" i="31"/>
  <c r="DE25" i="31" s="1"/>
  <c r="J7" i="31" s="1"/>
  <c r="DE8" i="31"/>
  <c r="AK5" i="31" s="1"/>
  <c r="DP6" i="31"/>
  <c r="DE42" i="31" s="1"/>
  <c r="BU8" i="31" s="1"/>
  <c r="DD34" i="31"/>
  <c r="DD28" i="31"/>
  <c r="DC28" i="31" s="1"/>
  <c r="AJ7" i="31" s="1"/>
  <c r="DE27" i="31"/>
  <c r="AB7" i="31" s="1"/>
  <c r="DE13" i="31"/>
  <c r="CD5" i="31" s="1"/>
  <c r="DD8" i="31"/>
  <c r="DC8" i="31" s="1"/>
  <c r="AJ5" i="31" s="1"/>
  <c r="DE67" i="31"/>
  <c r="AB11" i="31" s="1"/>
  <c r="DE19" i="31"/>
  <c r="AT6" i="31" s="1"/>
  <c r="DE17" i="31"/>
  <c r="AB6" i="31" s="1"/>
  <c r="DP14" i="31"/>
  <c r="DE53" i="31"/>
  <c r="CD9" i="31" s="1"/>
  <c r="DE50" i="31"/>
  <c r="BC9" i="31" s="1"/>
  <c r="DD39" i="31"/>
  <c r="DC39" i="31" s="1"/>
  <c r="AS8" i="31" s="1"/>
  <c r="DE31" i="31"/>
  <c r="BL7" i="31" s="1"/>
  <c r="DE11" i="31"/>
  <c r="BL5" i="31" s="1"/>
  <c r="DD9" i="31"/>
  <c r="DE7" i="31"/>
  <c r="AB5" i="31" s="1"/>
  <c r="DD13" i="31"/>
  <c r="DD22" i="31"/>
  <c r="DD68" i="31"/>
  <c r="V61" i="1"/>
  <c r="DD12" i="31"/>
  <c r="T17" i="9"/>
  <c r="N17" i="33"/>
  <c r="Y17" i="47"/>
  <c r="Y17" i="24"/>
  <c r="AB17" i="25"/>
  <c r="DA65" i="31"/>
  <c r="CZ65" i="31"/>
  <c r="H11" i="31" s="1"/>
  <c r="DE9" i="31"/>
  <c r="AT5" i="31" s="1"/>
  <c r="DD16" i="31"/>
  <c r="DC16" i="31" s="1"/>
  <c r="R6" i="31" s="1"/>
  <c r="T33" i="24"/>
  <c r="M33" i="24" s="1"/>
  <c r="L33" i="24" s="1"/>
  <c r="G33" i="24" s="1"/>
  <c r="CZ29" i="31"/>
  <c r="DD43" i="31"/>
  <c r="DC43" i="31" s="1"/>
  <c r="CC8" i="31" s="1"/>
  <c r="DD46" i="31"/>
  <c r="DC46" i="31" s="1"/>
  <c r="R9" i="31" s="1"/>
  <c r="CZ49" i="31"/>
  <c r="DD49" i="31"/>
  <c r="DC49" i="31" s="1"/>
  <c r="AS9" i="31" s="1"/>
  <c r="DA49" i="31"/>
  <c r="Y18" i="47"/>
  <c r="N18" i="33"/>
  <c r="T18" i="9"/>
  <c r="Y18" i="24"/>
  <c r="AB18" i="25"/>
  <c r="N21" i="33"/>
  <c r="Y21" i="47"/>
  <c r="T21" i="9"/>
  <c r="Y21" i="24"/>
  <c r="AB21" i="25"/>
  <c r="DA25" i="31"/>
  <c r="E49" i="25"/>
  <c r="I49" i="25"/>
  <c r="G49" i="25"/>
  <c r="K49" i="25"/>
  <c r="DA59" i="31"/>
  <c r="DD59" i="31"/>
  <c r="CZ59" i="31"/>
  <c r="AR10" i="31" s="1"/>
  <c r="G79" i="25"/>
  <c r="M6" i="33"/>
  <c r="I7" i="33" s="1"/>
  <c r="X6" i="47"/>
  <c r="O6" i="47" s="1"/>
  <c r="S6" i="9"/>
  <c r="AA6" i="25"/>
  <c r="X6" i="24"/>
  <c r="M12" i="33"/>
  <c r="X12" i="47"/>
  <c r="S12" i="9"/>
  <c r="AA12" i="25"/>
  <c r="DO28" i="31"/>
  <c r="DO27" i="31"/>
  <c r="DO29" i="31"/>
  <c r="DA48" i="31"/>
  <c r="DD48" i="31"/>
  <c r="CZ48" i="31"/>
  <c r="AI9" i="31" s="1"/>
  <c r="G51" i="25"/>
  <c r="G85" i="25"/>
  <c r="T7" i="24"/>
  <c r="M7" i="24" s="1"/>
  <c r="CZ6" i="31"/>
  <c r="Q5" i="31" s="1"/>
  <c r="DA11" i="31"/>
  <c r="CZ11" i="31"/>
  <c r="BJ5" i="31" s="1"/>
  <c r="DA22" i="31"/>
  <c r="CZ22" i="31"/>
  <c r="BS6" i="31" s="1"/>
  <c r="CZ44" i="31"/>
  <c r="G57" i="25"/>
  <c r="T20" i="24"/>
  <c r="M20" i="24" s="1"/>
  <c r="L20" i="24" s="1"/>
  <c r="G20" i="24" s="1"/>
  <c r="M8" i="33"/>
  <c r="X8" i="47"/>
  <c r="S8" i="9"/>
  <c r="AA8" i="25"/>
  <c r="DD10" i="31"/>
  <c r="DC10" i="31" s="1"/>
  <c r="BB5" i="31" s="1"/>
  <c r="DA15" i="31"/>
  <c r="CZ15" i="31"/>
  <c r="DA18" i="31"/>
  <c r="CZ18" i="31"/>
  <c r="DD20" i="31"/>
  <c r="DC20" i="31" s="1"/>
  <c r="BB6" i="31" s="1"/>
  <c r="DA20" i="31"/>
  <c r="DA30" i="31"/>
  <c r="CZ30" i="31"/>
  <c r="DD36" i="31"/>
  <c r="DC36" i="31" s="1"/>
  <c r="R8" i="31" s="1"/>
  <c r="CZ36" i="31"/>
  <c r="Q8" i="31" s="1"/>
  <c r="DA44" i="31"/>
  <c r="DD47" i="31"/>
  <c r="DC47" i="31" s="1"/>
  <c r="AA9" i="31" s="1"/>
  <c r="E45" i="25"/>
  <c r="K45" i="25"/>
  <c r="G45" i="25"/>
  <c r="I45" i="25"/>
  <c r="CZ10" i="31"/>
  <c r="BA5" i="31" s="1"/>
  <c r="DD11" i="31"/>
  <c r="DC11" i="31" s="1"/>
  <c r="BK5" i="31" s="1"/>
  <c r="DD14" i="31"/>
  <c r="CZ14" i="31"/>
  <c r="CK5" i="31" s="1"/>
  <c r="CZ20" i="31"/>
  <c r="BA6" i="31" s="1"/>
  <c r="DD58" i="31"/>
  <c r="DC58" i="31" s="1"/>
  <c r="AJ10" i="31" s="1"/>
  <c r="DA58" i="31"/>
  <c r="CZ58" i="31"/>
  <c r="AI10" i="31" s="1"/>
  <c r="DD71" i="31"/>
  <c r="CZ71" i="31"/>
  <c r="BJ11" i="31" s="1"/>
  <c r="DA71" i="31"/>
  <c r="G40" i="25"/>
  <c r="I76" i="25"/>
  <c r="Q18" i="24"/>
  <c r="Q15" i="24"/>
  <c r="R14" i="24"/>
  <c r="R11" i="24"/>
  <c r="R8" i="24"/>
  <c r="R22" i="24"/>
  <c r="R17" i="24"/>
  <c r="Q14" i="24"/>
  <c r="T13" i="24"/>
  <c r="M13" i="24" s="1"/>
  <c r="Q11" i="24"/>
  <c r="Q8" i="24"/>
  <c r="R36" i="24"/>
  <c r="Q34" i="24"/>
  <c r="D34" i="24" s="1"/>
  <c r="T32" i="24"/>
  <c r="M32" i="24" s="1"/>
  <c r="L32" i="24" s="1"/>
  <c r="G32" i="24" s="1"/>
  <c r="T25" i="24"/>
  <c r="M25" i="24" s="1"/>
  <c r="L25" i="24" s="1"/>
  <c r="G25" i="24" s="1"/>
  <c r="Q22" i="24"/>
  <c r="D22" i="24" s="1"/>
  <c r="Q17" i="24"/>
  <c r="D17" i="24" s="1"/>
  <c r="Q13" i="24"/>
  <c r="T10" i="24"/>
  <c r="M10" i="24" s="1"/>
  <c r="L10" i="24" s="1"/>
  <c r="G10" i="24" s="1"/>
  <c r="Q36" i="24"/>
  <c r="D36" i="24" s="1"/>
  <c r="Q32" i="24"/>
  <c r="D32" i="24" s="1"/>
  <c r="T9" i="24"/>
  <c r="M9" i="24" s="1"/>
  <c r="L9" i="24" s="1"/>
  <c r="G9" i="24" s="1"/>
  <c r="R40" i="24"/>
  <c r="Q12" i="24"/>
  <c r="Q9" i="24"/>
  <c r="D9" i="24" s="1"/>
  <c r="R35" i="24"/>
  <c r="T31" i="24"/>
  <c r="M31" i="24" s="1"/>
  <c r="L31" i="24" s="1"/>
  <c r="G31" i="24" s="1"/>
  <c r="Q25" i="24"/>
  <c r="Q24" i="24"/>
  <c r="D24" i="24" s="1"/>
  <c r="R38" i="24"/>
  <c r="Q6" i="24"/>
  <c r="T37" i="24"/>
  <c r="M37" i="24" s="1"/>
  <c r="L37" i="24" s="1"/>
  <c r="G37" i="24" s="1"/>
  <c r="R33" i="24"/>
  <c r="Q20" i="24"/>
  <c r="D20" i="24" s="1"/>
  <c r="Q19" i="24"/>
  <c r="R16" i="24"/>
  <c r="R10" i="24"/>
  <c r="R19" i="24"/>
  <c r="DD56" i="31"/>
  <c r="DC56" i="31" s="1"/>
  <c r="R10" i="31" s="1"/>
  <c r="K84" i="25"/>
  <c r="I84" i="25"/>
  <c r="G84" i="25"/>
  <c r="E84" i="25"/>
  <c r="I87" i="25"/>
  <c r="K87" i="25"/>
  <c r="G87" i="25"/>
  <c r="E87" i="25"/>
  <c r="Y7" i="24"/>
  <c r="X13" i="24"/>
  <c r="Y13" i="24" s="1"/>
  <c r="X16" i="24"/>
  <c r="Y16" i="24" s="1"/>
  <c r="X15" i="24"/>
  <c r="Y15" i="24" s="1"/>
  <c r="M11" i="33"/>
  <c r="X11" i="47"/>
  <c r="DA35" i="31"/>
  <c r="H8" i="31" s="1"/>
  <c r="DA43" i="31"/>
  <c r="CB8" i="31" s="1"/>
  <c r="DA60" i="31"/>
  <c r="CZ60" i="31"/>
  <c r="BA10" i="31" s="1"/>
  <c r="DD60" i="31"/>
  <c r="DC60" i="31" s="1"/>
  <c r="BB10" i="31" s="1"/>
  <c r="DA66" i="31"/>
  <c r="CZ66" i="31"/>
  <c r="DD78" i="31"/>
  <c r="DC78" i="31" s="1"/>
  <c r="AJ12" i="31" s="1"/>
  <c r="CZ78" i="31"/>
  <c r="AI12" i="31" s="1"/>
  <c r="G42" i="25"/>
  <c r="E61" i="25"/>
  <c r="K61" i="25"/>
  <c r="E88" i="25"/>
  <c r="J9" i="42"/>
  <c r="M9" i="42" s="1"/>
  <c r="C9" i="42"/>
  <c r="S11" i="9"/>
  <c r="DD77" i="31"/>
  <c r="DC77" i="31" s="1"/>
  <c r="AA12" i="31" s="1"/>
  <c r="DA77" i="31"/>
  <c r="AA11" i="25"/>
  <c r="I43" i="25"/>
  <c r="K43" i="25"/>
  <c r="G43" i="25"/>
  <c r="E43" i="25"/>
  <c r="G58" i="25"/>
  <c r="O10" i="9"/>
  <c r="X9" i="47"/>
  <c r="M9" i="33"/>
  <c r="S9" i="9"/>
  <c r="AA9" i="25"/>
  <c r="M19" i="33"/>
  <c r="X19" i="47"/>
  <c r="CZ39" i="31"/>
  <c r="AR8" i="31" s="1"/>
  <c r="CZ51" i="31"/>
  <c r="BJ9" i="31" s="1"/>
  <c r="DA53" i="31"/>
  <c r="DA54" i="31"/>
  <c r="CK9" i="31" s="1"/>
  <c r="CZ55" i="31"/>
  <c r="H10" i="31" s="1"/>
  <c r="DA56" i="31"/>
  <c r="Q10" i="31" s="1"/>
  <c r="CZ64" i="31"/>
  <c r="CK10" i="31" s="1"/>
  <c r="DD66" i="31"/>
  <c r="DC66" i="31" s="1"/>
  <c r="R11" i="31" s="1"/>
  <c r="DD70" i="31"/>
  <c r="DC70" i="31" s="1"/>
  <c r="BB11" i="31" s="1"/>
  <c r="DA70" i="31"/>
  <c r="CZ77" i="31"/>
  <c r="Z12" i="31" s="1"/>
  <c r="DA81" i="31"/>
  <c r="CZ81" i="31"/>
  <c r="BJ12" i="31" s="1"/>
  <c r="AA19" i="25"/>
  <c r="I55" i="25"/>
  <c r="E55" i="25"/>
  <c r="G74" i="25"/>
  <c r="E77" i="25"/>
  <c r="I77" i="25"/>
  <c r="G77" i="25"/>
  <c r="G83" i="25"/>
  <c r="AK23" i="24"/>
  <c r="AN23" i="24" s="1"/>
  <c r="AN7" i="24"/>
  <c r="AK24" i="24"/>
  <c r="AN24" i="24" s="1"/>
  <c r="AK22" i="24"/>
  <c r="AN22" i="24" s="1"/>
  <c r="X7" i="47"/>
  <c r="M7" i="33"/>
  <c r="S7" i="9"/>
  <c r="CZ53" i="31"/>
  <c r="DA64" i="31"/>
  <c r="CZ70" i="31"/>
  <c r="BA11" i="31" s="1"/>
  <c r="DA74" i="31"/>
  <c r="CZ74" i="31"/>
  <c r="CK11" i="31" s="1"/>
  <c r="E44" i="25"/>
  <c r="K56" i="25"/>
  <c r="I56" i="25"/>
  <c r="G56" i="25"/>
  <c r="E56" i="25"/>
  <c r="I59" i="25"/>
  <c r="K59" i="25"/>
  <c r="G59" i="25"/>
  <c r="E59" i="25"/>
  <c r="Y20" i="24"/>
  <c r="N20" i="33"/>
  <c r="Y20" i="47"/>
  <c r="T20" i="9"/>
  <c r="AB20" i="25"/>
  <c r="DD63" i="31"/>
  <c r="DA63" i="31"/>
  <c r="CB10" i="31" s="1"/>
  <c r="G39" i="25"/>
  <c r="I41" i="25"/>
  <c r="I83" i="25"/>
  <c r="E83" i="25"/>
  <c r="C17" i="9"/>
  <c r="DD67" i="31"/>
  <c r="DC67" i="31" s="1"/>
  <c r="AA11" i="31" s="1"/>
  <c r="DD82" i="31"/>
  <c r="K52" i="25"/>
  <c r="K80" i="25"/>
  <c r="T14" i="24"/>
  <c r="M14" i="24" s="1"/>
  <c r="T12" i="24"/>
  <c r="M12" i="24" s="1"/>
  <c r="L12" i="24" s="1"/>
  <c r="G12" i="24" s="1"/>
  <c r="R9" i="24"/>
  <c r="R6" i="24"/>
  <c r="T43" i="24"/>
  <c r="M43" i="24" s="1"/>
  <c r="L43" i="24" s="1"/>
  <c r="G43" i="24" s="1"/>
  <c r="Q42" i="24"/>
  <c r="D42" i="24" s="1"/>
  <c r="Q38" i="24"/>
  <c r="D38" i="24" s="1"/>
  <c r="Q7" i="24"/>
  <c r="R12" i="24"/>
  <c r="Q16" i="24"/>
  <c r="R20" i="24"/>
  <c r="Q21" i="24"/>
  <c r="D21" i="24" s="1"/>
  <c r="Q40" i="24"/>
  <c r="D40" i="24" s="1"/>
  <c r="R42" i="24"/>
  <c r="K8" i="9"/>
  <c r="C8" i="9" s="1"/>
  <c r="O17" i="9"/>
  <c r="T5" i="46"/>
  <c r="K48" i="25"/>
  <c r="K76" i="25"/>
  <c r="O13" i="9"/>
  <c r="I51" i="25"/>
  <c r="E57" i="25"/>
  <c r="I79" i="25"/>
  <c r="G82" i="25"/>
  <c r="E85" i="25"/>
  <c r="R26" i="24"/>
  <c r="Q27" i="24"/>
  <c r="Q29" i="24"/>
  <c r="D29" i="24" s="1"/>
  <c r="O12" i="9"/>
  <c r="L10" i="9"/>
  <c r="O9" i="9"/>
  <c r="K7" i="9"/>
  <c r="C7" i="9" s="1"/>
  <c r="L14" i="9"/>
  <c r="C14" i="9" s="1"/>
  <c r="L13" i="9"/>
  <c r="C13" i="9" s="1"/>
  <c r="K10" i="9"/>
  <c r="O6" i="9"/>
  <c r="O16" i="9"/>
  <c r="CZ67" i="31"/>
  <c r="Z11" i="31" s="1"/>
  <c r="CZ82" i="31"/>
  <c r="BS12" i="31" s="1"/>
  <c r="K44" i="25"/>
  <c r="K88" i="25"/>
  <c r="R27" i="24"/>
  <c r="R29" i="24"/>
  <c r="Q30" i="24"/>
  <c r="D30" i="24" s="1"/>
  <c r="Q31" i="24"/>
  <c r="R41" i="24"/>
  <c r="R43" i="24"/>
  <c r="K15" i="9"/>
  <c r="I47" i="25"/>
  <c r="G50" i="25"/>
  <c r="E53" i="25"/>
  <c r="I63" i="25"/>
  <c r="I75" i="25"/>
  <c r="E81" i="25"/>
  <c r="T11" i="24"/>
  <c r="M11" i="24" s="1"/>
  <c r="L11" i="24" s="1"/>
  <c r="G11" i="24" s="1"/>
  <c r="R15" i="24"/>
  <c r="R18" i="24"/>
  <c r="R23" i="24"/>
  <c r="T27" i="24"/>
  <c r="M27" i="24" s="1"/>
  <c r="L27" i="24" s="1"/>
  <c r="G27" i="24" s="1"/>
  <c r="T28" i="24"/>
  <c r="M28" i="24" s="1"/>
  <c r="L28" i="24" s="1"/>
  <c r="G28" i="24" s="1"/>
  <c r="R31" i="24"/>
  <c r="R37" i="24"/>
  <c r="T41" i="24"/>
  <c r="M41" i="24" s="1"/>
  <c r="L41" i="24" s="1"/>
  <c r="G41" i="24" s="1"/>
  <c r="T40" i="24"/>
  <c r="M40" i="24" s="1"/>
  <c r="R39" i="24"/>
  <c r="T34" i="24"/>
  <c r="M34" i="24" s="1"/>
  <c r="Q33" i="24"/>
  <c r="D33" i="24" s="1"/>
  <c r="T30" i="24"/>
  <c r="M30" i="24" s="1"/>
  <c r="Q28" i="24"/>
  <c r="D28" i="24" s="1"/>
  <c r="Q26" i="24"/>
  <c r="T24" i="24"/>
  <c r="M24" i="24" s="1"/>
  <c r="L24" i="24" s="1"/>
  <c r="G24" i="24" s="1"/>
  <c r="Q23" i="24"/>
  <c r="T21" i="24"/>
  <c r="M21" i="24" s="1"/>
  <c r="Q5" i="24"/>
  <c r="D5" i="24" s="1"/>
  <c r="R7" i="24"/>
  <c r="T8" i="24"/>
  <c r="M8" i="24" s="1"/>
  <c r="L8" i="24" s="1"/>
  <c r="Q10" i="24"/>
  <c r="D10" i="24" s="1"/>
  <c r="R13" i="24"/>
  <c r="T17" i="24"/>
  <c r="M17" i="24" s="1"/>
  <c r="L17" i="24" s="1"/>
  <c r="G17" i="24" s="1"/>
  <c r="T19" i="24"/>
  <c r="M19" i="24" s="1"/>
  <c r="L19" i="24" s="1"/>
  <c r="G19" i="24" s="1"/>
  <c r="R24" i="24"/>
  <c r="T26" i="24"/>
  <c r="M26" i="24" s="1"/>
  <c r="L26" i="24" s="1"/>
  <c r="G26" i="24" s="1"/>
  <c r="R30" i="24"/>
  <c r="R32" i="24"/>
  <c r="Q35" i="24"/>
  <c r="D35" i="24" s="1"/>
  <c r="T36" i="24"/>
  <c r="M36" i="24" s="1"/>
  <c r="L36" i="24" s="1"/>
  <c r="G36" i="24" s="1"/>
  <c r="Q39" i="24"/>
  <c r="Q43" i="24"/>
  <c r="D43" i="24" s="1"/>
  <c r="K9" i="9"/>
  <c r="L6" i="9"/>
  <c r="C6" i="9" s="1"/>
  <c r="L17" i="9"/>
  <c r="K18" i="9"/>
  <c r="C18" i="9" s="1"/>
  <c r="T5" i="47"/>
  <c r="Q38" i="46"/>
  <c r="Q39" i="46" s="1"/>
  <c r="Q40" i="46" s="1"/>
  <c r="T44" i="46"/>
  <c r="U44" i="46" s="1"/>
  <c r="O15" i="9"/>
  <c r="O18" i="9"/>
  <c r="U5" i="46"/>
  <c r="U6" i="46" s="1"/>
  <c r="U7" i="46" s="1"/>
  <c r="U8" i="46" s="1"/>
  <c r="O14" i="9"/>
  <c r="L33" i="46"/>
  <c r="R33" i="46"/>
  <c r="S32" i="46" s="1"/>
  <c r="M32" i="46"/>
  <c r="T16" i="24"/>
  <c r="M16" i="24" s="1"/>
  <c r="L16" i="24" s="1"/>
  <c r="T18" i="24"/>
  <c r="M18" i="24" s="1"/>
  <c r="L18" i="24" s="1"/>
  <c r="G18" i="24" s="1"/>
  <c r="R21" i="24"/>
  <c r="T23" i="24"/>
  <c r="M23" i="24" s="1"/>
  <c r="R25" i="24"/>
  <c r="R28" i="24"/>
  <c r="R34" i="24"/>
  <c r="Q37" i="24"/>
  <c r="D37" i="24" s="1"/>
  <c r="T38" i="24"/>
  <c r="M38" i="24" s="1"/>
  <c r="L38" i="24" s="1"/>
  <c r="G38" i="24" s="1"/>
  <c r="Q41" i="24"/>
  <c r="D41" i="24" s="1"/>
  <c r="T42" i="24"/>
  <c r="M42" i="24" s="1"/>
  <c r="L42" i="24" s="1"/>
  <c r="G42" i="24" s="1"/>
  <c r="K5" i="9"/>
  <c r="K11" i="9"/>
  <c r="C11" i="9" s="1"/>
  <c r="G10" i="33"/>
  <c r="T43" i="46"/>
  <c r="U43" i="46" s="1"/>
  <c r="T24" i="46"/>
  <c r="L7" i="47"/>
  <c r="I6" i="33"/>
  <c r="F7" i="33"/>
  <c r="I10" i="33"/>
  <c r="F11" i="33"/>
  <c r="R26" i="46"/>
  <c r="S25" i="46" s="1"/>
  <c r="R30" i="46"/>
  <c r="S29" i="46" s="1"/>
  <c r="J5" i="47"/>
  <c r="L6" i="47"/>
  <c r="M7" i="47"/>
  <c r="G7" i="33"/>
  <c r="G11" i="33"/>
  <c r="S9" i="46"/>
  <c r="L5" i="47"/>
  <c r="M6" i="47"/>
  <c r="O7" i="47"/>
  <c r="F8" i="33"/>
  <c r="Q28" i="46"/>
  <c r="L11" i="9"/>
  <c r="L15" i="9"/>
  <c r="O5" i="47"/>
  <c r="Q6" i="47"/>
  <c r="R7" i="47"/>
  <c r="I8" i="33"/>
  <c r="F9" i="33"/>
  <c r="R24" i="46"/>
  <c r="S23" i="46" s="1"/>
  <c r="T23" i="46" s="1"/>
  <c r="R28" i="46"/>
  <c r="S27" i="46" s="1"/>
  <c r="K12" i="9"/>
  <c r="C12" i="9" s="1"/>
  <c r="K16" i="9"/>
  <c r="C16" i="9" s="1"/>
  <c r="Q5" i="47"/>
  <c r="R6" i="47"/>
  <c r="G7" i="47"/>
  <c r="T7" i="47"/>
  <c r="F5" i="33"/>
  <c r="G9" i="33"/>
  <c r="M31" i="46"/>
  <c r="R32" i="46"/>
  <c r="S31" i="46" s="1"/>
  <c r="L5" i="9"/>
  <c r="L7" i="9"/>
  <c r="L9" i="9"/>
  <c r="O11" i="9"/>
  <c r="L12" i="9"/>
  <c r="R5" i="47"/>
  <c r="G6" i="47"/>
  <c r="T6" i="47"/>
  <c r="H7" i="47"/>
  <c r="G5" i="33"/>
  <c r="F6" i="33"/>
  <c r="B6" i="33" s="1"/>
  <c r="F10" i="33"/>
  <c r="G5" i="47"/>
  <c r="H6" i="47"/>
  <c r="I5" i="33"/>
  <c r="DM54" i="1" l="1"/>
  <c r="DN54" i="1"/>
  <c r="DP45" i="1"/>
  <c r="DN6" i="1"/>
  <c r="DM6" i="1"/>
  <c r="DP47" i="1"/>
  <c r="DQ47" i="1"/>
  <c r="BA39" i="1"/>
  <c r="BB39" i="1" s="1"/>
  <c r="BG39" i="1"/>
  <c r="V39" i="1"/>
  <c r="DC73" i="31"/>
  <c r="CC11" i="31" s="1"/>
  <c r="DP14" i="1"/>
  <c r="DQ14" i="1"/>
  <c r="GD58" i="1"/>
  <c r="GD62" i="1"/>
  <c r="GD57" i="1"/>
  <c r="GD59" i="1"/>
  <c r="GD51" i="1"/>
  <c r="GD48" i="1"/>
  <c r="GD47" i="1"/>
  <c r="GD46" i="1"/>
  <c r="GD53" i="1"/>
  <c r="GD52" i="1"/>
  <c r="GD50" i="1"/>
  <c r="GD61" i="1"/>
  <c r="GD55" i="1"/>
  <c r="GD54" i="1"/>
  <c r="GD60" i="1"/>
  <c r="GD49" i="1"/>
  <c r="GD56" i="1"/>
  <c r="GD5" i="1"/>
  <c r="GD2" i="1" s="1"/>
  <c r="GI3" i="1"/>
  <c r="BA20" i="1"/>
  <c r="BB20" i="1" s="1"/>
  <c r="CM7" i="1"/>
  <c r="CN7" i="1" s="1"/>
  <c r="CO7" i="1" s="1"/>
  <c r="CL7" i="1"/>
  <c r="CK8" i="1"/>
  <c r="P7" i="1"/>
  <c r="AL1" i="2"/>
  <c r="AL2" i="2" s="1"/>
  <c r="D26" i="24"/>
  <c r="U23" i="46"/>
  <c r="U24" i="46" s="1"/>
  <c r="U25" i="46" s="1"/>
  <c r="U26" i="46" s="1"/>
  <c r="U27" i="46" s="1"/>
  <c r="U28" i="46" s="1"/>
  <c r="U29" i="46" s="1"/>
  <c r="U30" i="46" s="1"/>
  <c r="U31" i="46" s="1"/>
  <c r="U32" i="46" s="1"/>
  <c r="DD54" i="31"/>
  <c r="Q84" i="25"/>
  <c r="S84" i="25"/>
  <c r="D19" i="24"/>
  <c r="D25" i="24"/>
  <c r="DC71" i="31"/>
  <c r="BK11" i="31" s="1"/>
  <c r="H6" i="31"/>
  <c r="Q57" i="25"/>
  <c r="S57" i="25"/>
  <c r="X28" i="24"/>
  <c r="AA28" i="25"/>
  <c r="DP28" i="31"/>
  <c r="AV28" i="2"/>
  <c r="BA28" i="2" s="1"/>
  <c r="Q49" i="25"/>
  <c r="S49" i="25"/>
  <c r="DC13" i="31"/>
  <c r="CC5" i="31" s="1"/>
  <c r="DE75" i="31"/>
  <c r="J12" i="31" s="1"/>
  <c r="DC32" i="31"/>
  <c r="BT7" i="31" s="1"/>
  <c r="DC31" i="31"/>
  <c r="BK7" i="31" s="1"/>
  <c r="DE15" i="31"/>
  <c r="J6" i="31" s="1"/>
  <c r="DD52" i="31"/>
  <c r="DD62" i="31"/>
  <c r="N13" i="33"/>
  <c r="Y13" i="47"/>
  <c r="T13" i="9"/>
  <c r="AB13" i="25"/>
  <c r="DO13" i="31"/>
  <c r="AW13" i="2"/>
  <c r="DC17" i="31"/>
  <c r="AA6" i="31" s="1"/>
  <c r="DE52" i="31"/>
  <c r="BU9" i="31" s="1"/>
  <c r="DE84" i="31"/>
  <c r="CM12" i="31" s="1"/>
  <c r="DE64" i="31"/>
  <c r="CM10" i="31" s="1"/>
  <c r="DC37" i="31"/>
  <c r="AA8" i="31" s="1"/>
  <c r="DN57" i="1"/>
  <c r="DM57" i="1"/>
  <c r="BG50" i="1"/>
  <c r="I67" i="25"/>
  <c r="K67" i="25"/>
  <c r="G67" i="25"/>
  <c r="E67" i="25"/>
  <c r="DN26" i="1"/>
  <c r="DM26" i="1"/>
  <c r="BA24" i="1"/>
  <c r="BB24" i="1" s="1"/>
  <c r="BA26" i="1"/>
  <c r="BB13" i="1"/>
  <c r="BB26" i="1" s="1"/>
  <c r="GC59" i="1"/>
  <c r="GC58" i="1"/>
  <c r="GC62" i="1"/>
  <c r="GC61" i="1"/>
  <c r="GC55" i="1"/>
  <c r="GC51" i="1"/>
  <c r="GC48" i="1"/>
  <c r="GC47" i="1"/>
  <c r="GC53" i="1"/>
  <c r="GC56" i="1"/>
  <c r="GC57" i="1"/>
  <c r="GC54" i="1"/>
  <c r="GC46" i="1"/>
  <c r="GC52" i="1"/>
  <c r="GC60" i="1"/>
  <c r="GC49" i="1"/>
  <c r="GC50" i="1"/>
  <c r="GC5" i="1"/>
  <c r="GC2" i="1" s="1"/>
  <c r="GH3" i="1"/>
  <c r="DT17" i="1"/>
  <c r="DS17" i="1"/>
  <c r="GF62" i="1"/>
  <c r="GF60" i="1"/>
  <c r="GF56" i="1"/>
  <c r="GF58" i="1"/>
  <c r="GF52" i="1"/>
  <c r="GF50" i="1"/>
  <c r="GF59" i="1"/>
  <c r="GF54" i="1"/>
  <c r="GF49" i="1"/>
  <c r="GF57" i="1"/>
  <c r="GF53" i="1"/>
  <c r="GF46" i="1"/>
  <c r="GF61" i="1"/>
  <c r="GF51" i="1"/>
  <c r="GF48" i="1"/>
  <c r="GF55" i="1"/>
  <c r="GF47" i="1"/>
  <c r="GF5" i="1"/>
  <c r="GF2" i="1" s="1"/>
  <c r="DQ5" i="1"/>
  <c r="DP5" i="1"/>
  <c r="D46" i="2"/>
  <c r="D51" i="2"/>
  <c r="C45" i="2"/>
  <c r="C9" i="2"/>
  <c r="C75" i="2"/>
  <c r="E91" i="2"/>
  <c r="D75" i="2"/>
  <c r="D83" i="2"/>
  <c r="C93" i="2"/>
  <c r="E76" i="2"/>
  <c r="E84" i="2"/>
  <c r="C100" i="2"/>
  <c r="C89" i="2"/>
  <c r="E61" i="2"/>
  <c r="C51" i="2"/>
  <c r="C46" i="2"/>
  <c r="D36" i="2"/>
  <c r="E92" i="2"/>
  <c r="E62" i="2"/>
  <c r="C47" i="2"/>
  <c r="C41" i="2"/>
  <c r="F34" i="2"/>
  <c r="C22" i="2"/>
  <c r="C10" i="2"/>
  <c r="Q53" i="25"/>
  <c r="S53" i="25"/>
  <c r="D102" i="2"/>
  <c r="E50" i="2"/>
  <c r="C30" i="2"/>
  <c r="D44" i="2"/>
  <c r="E13" i="2"/>
  <c r="C7" i="2"/>
  <c r="E71" i="2"/>
  <c r="C27" i="2"/>
  <c r="BA5" i="10"/>
  <c r="V5" i="10"/>
  <c r="C61" i="2"/>
  <c r="P7" i="22"/>
  <c r="AZ16" i="10"/>
  <c r="AZ15" i="10"/>
  <c r="D28" i="2"/>
  <c r="BK14" i="10"/>
  <c r="BI14" i="10" s="1"/>
  <c r="BJ14" i="10" s="1"/>
  <c r="BI13" i="10"/>
  <c r="BJ13" i="10" s="1"/>
  <c r="C31" i="2"/>
  <c r="AG18" i="10"/>
  <c r="T18" i="10"/>
  <c r="S82" i="25"/>
  <c r="Q82" i="25"/>
  <c r="DD15" i="31"/>
  <c r="DC15" i="31" s="1"/>
  <c r="I6" i="31" s="1"/>
  <c r="BA58" i="1"/>
  <c r="BB58" i="1" s="1"/>
  <c r="BG58" i="1"/>
  <c r="EY54" i="1"/>
  <c r="EP54" i="1"/>
  <c r="FE54" i="1"/>
  <c r="EV54" i="1"/>
  <c r="FH54" i="1"/>
  <c r="EJ54" i="1"/>
  <c r="FB54" i="1"/>
  <c r="EM54" i="1"/>
  <c r="ES54" i="1"/>
  <c r="FK54" i="1"/>
  <c r="CD58" i="1"/>
  <c r="BU59" i="1"/>
  <c r="CF58" i="1"/>
  <c r="CH58" i="1"/>
  <c r="X58" i="1"/>
  <c r="FE40" i="1"/>
  <c r="EV40" i="1"/>
  <c r="FB40" i="1"/>
  <c r="EP40" i="1"/>
  <c r="EM40" i="1"/>
  <c r="EJ40" i="1"/>
  <c r="EY40" i="1"/>
  <c r="FK40" i="1"/>
  <c r="FH40" i="1"/>
  <c r="ES40" i="1"/>
  <c r="DT46" i="1"/>
  <c r="DS46" i="1"/>
  <c r="DM49" i="1"/>
  <c r="DN49" i="1"/>
  <c r="I71" i="25"/>
  <c r="K71" i="25"/>
  <c r="G71" i="25"/>
  <c r="E71" i="25"/>
  <c r="DN30" i="1"/>
  <c r="DM30" i="1"/>
  <c r="DP25" i="1"/>
  <c r="DQ25" i="1"/>
  <c r="DQ19" i="1"/>
  <c r="DP19" i="1"/>
  <c r="CP49" i="1"/>
  <c r="CQ49" i="1" s="1"/>
  <c r="CR49" i="1" s="1"/>
  <c r="DT21" i="1"/>
  <c r="DS21" i="1"/>
  <c r="DN12" i="1"/>
  <c r="DM12" i="1"/>
  <c r="DQ9" i="1"/>
  <c r="DP9" i="1"/>
  <c r="CP6" i="1"/>
  <c r="CQ6" i="1" s="1"/>
  <c r="CR6" i="1" s="1"/>
  <c r="F52" i="2"/>
  <c r="F32" i="2"/>
  <c r="E19" i="2"/>
  <c r="C40" i="2"/>
  <c r="C29" i="2"/>
  <c r="F9" i="2"/>
  <c r="S88" i="25"/>
  <c r="Q88" i="25"/>
  <c r="S46" i="25"/>
  <c r="Q46" i="25"/>
  <c r="D67" i="2"/>
  <c r="D12" i="2"/>
  <c r="E22" i="2"/>
  <c r="G24" i="2"/>
  <c r="BE19" i="10"/>
  <c r="BC19" i="10" s="1"/>
  <c r="BD19" i="10" s="1"/>
  <c r="BC18" i="10"/>
  <c r="BD18" i="10" s="1"/>
  <c r="T7" i="10"/>
  <c r="AG7" i="10"/>
  <c r="BI17" i="10"/>
  <c r="BJ17" i="10" s="1"/>
  <c r="BK18" i="10"/>
  <c r="Q50" i="25"/>
  <c r="S50" i="25"/>
  <c r="S59" i="25"/>
  <c r="Q59" i="25"/>
  <c r="X27" i="24"/>
  <c r="M27" i="33"/>
  <c r="S27" i="9"/>
  <c r="AA27" i="25"/>
  <c r="DP27" i="31"/>
  <c r="AV27" i="2"/>
  <c r="BA27" i="2" s="1"/>
  <c r="CD6" i="1"/>
  <c r="CH6" i="1"/>
  <c r="CF6" i="1"/>
  <c r="BA6" i="1"/>
  <c r="BB6" i="1" s="1"/>
  <c r="C34" i="2"/>
  <c r="S76" i="25"/>
  <c r="Q76" i="25"/>
  <c r="ES21" i="1"/>
  <c r="FH21" i="1"/>
  <c r="EJ21" i="1"/>
  <c r="EY21" i="1"/>
  <c r="EP21" i="1"/>
  <c r="FE21" i="1"/>
  <c r="EV21" i="1"/>
  <c r="EM21" i="1"/>
  <c r="FK21" i="1"/>
  <c r="FB21" i="1"/>
  <c r="N14" i="33"/>
  <c r="Y14" i="47"/>
  <c r="AB14" i="25"/>
  <c r="T14" i="9"/>
  <c r="DO14" i="31"/>
  <c r="AW14" i="2"/>
  <c r="C5" i="47"/>
  <c r="C11" i="33"/>
  <c r="B11" i="33"/>
  <c r="G16" i="24"/>
  <c r="N16" i="24"/>
  <c r="U9" i="46"/>
  <c r="U10" i="46" s="1"/>
  <c r="U11" i="46" s="1"/>
  <c r="N8" i="24"/>
  <c r="G8" i="24"/>
  <c r="S58" i="25"/>
  <c r="Q58" i="25"/>
  <c r="D13" i="24"/>
  <c r="D11" i="24"/>
  <c r="D15" i="24"/>
  <c r="DD44" i="31"/>
  <c r="S51" i="25"/>
  <c r="Q51" i="25"/>
  <c r="DC9" i="31"/>
  <c r="AS5" i="31" s="1"/>
  <c r="DC34" i="31"/>
  <c r="CL7" i="31" s="1"/>
  <c r="DD33" i="31"/>
  <c r="DC33" i="31" s="1"/>
  <c r="CC7" i="31" s="1"/>
  <c r="DC41" i="31"/>
  <c r="BK8" i="31" s="1"/>
  <c r="DE54" i="31"/>
  <c r="CM9" i="31" s="1"/>
  <c r="DE22" i="31"/>
  <c r="BU6" i="31" s="1"/>
  <c r="DD83" i="31"/>
  <c r="DC83" i="31" s="1"/>
  <c r="CC12" i="31" s="1"/>
  <c r="DB29" i="31"/>
  <c r="DD29" i="31" s="1"/>
  <c r="DC29" i="31" s="1"/>
  <c r="AS7" i="31" s="1"/>
  <c r="AT7" i="31"/>
  <c r="DE63" i="31"/>
  <c r="CD10" i="31" s="1"/>
  <c r="DC72" i="31"/>
  <c r="BT11" i="31" s="1"/>
  <c r="DM60" i="1"/>
  <c r="DN60" i="1"/>
  <c r="BG61" i="1"/>
  <c r="BA61" i="1"/>
  <c r="BB61" i="1" s="1"/>
  <c r="DN52" i="1"/>
  <c r="DM52" i="1"/>
  <c r="DP51" i="1"/>
  <c r="DQ51" i="1"/>
  <c r="FK39" i="1"/>
  <c r="EM39" i="1"/>
  <c r="FB39" i="1"/>
  <c r="FH39" i="1"/>
  <c r="EJ39" i="1"/>
  <c r="EV39" i="1"/>
  <c r="ES39" i="1"/>
  <c r="EP39" i="1"/>
  <c r="EY39" i="1"/>
  <c r="FE39" i="1"/>
  <c r="DT39" i="1"/>
  <c r="DS39" i="1"/>
  <c r="EY34" i="1"/>
  <c r="EV34" i="1"/>
  <c r="FE34" i="1"/>
  <c r="EJ34" i="1"/>
  <c r="ES34" i="1"/>
  <c r="FB34" i="1"/>
  <c r="FK34" i="1"/>
  <c r="EP34" i="1"/>
  <c r="FH34" i="1"/>
  <c r="EM34" i="1"/>
  <c r="DQ41" i="1"/>
  <c r="DP41" i="1"/>
  <c r="DN32" i="1"/>
  <c r="DM32" i="1"/>
  <c r="BA8" i="1"/>
  <c r="BB8" i="1" s="1"/>
  <c r="CH8" i="1"/>
  <c r="BA10" i="1"/>
  <c r="BB10" i="1" s="1"/>
  <c r="CP5" i="1"/>
  <c r="CQ5" i="1" s="1"/>
  <c r="CR5" i="1" s="1"/>
  <c r="CR3" i="1" s="1"/>
  <c r="CR1" i="1" s="1"/>
  <c r="CS2" i="1" s="1"/>
  <c r="CP45" i="1"/>
  <c r="CQ45" i="1" s="1"/>
  <c r="CR45" i="1"/>
  <c r="FH13" i="1"/>
  <c r="EM13" i="1"/>
  <c r="FB13" i="1"/>
  <c r="FK13" i="1"/>
  <c r="ES13" i="1"/>
  <c r="EJ13" i="1"/>
  <c r="EY13" i="1"/>
  <c r="EP13" i="1"/>
  <c r="EV13" i="1"/>
  <c r="FE13" i="1"/>
  <c r="DT20" i="1"/>
  <c r="DS20" i="1"/>
  <c r="BI30" i="1"/>
  <c r="X7" i="1"/>
  <c r="BU8" i="1"/>
  <c r="E49" i="2"/>
  <c r="C13" i="2"/>
  <c r="C77" i="2"/>
  <c r="C85" i="2"/>
  <c r="D77" i="2"/>
  <c r="D85" i="2"/>
  <c r="D95" i="2"/>
  <c r="E78" i="2"/>
  <c r="E86" i="2"/>
  <c r="C97" i="2"/>
  <c r="D59" i="2"/>
  <c r="F39" i="2"/>
  <c r="D60" i="2"/>
  <c r="E32" i="2"/>
  <c r="E20" i="2"/>
  <c r="E8" i="2"/>
  <c r="S63" i="25"/>
  <c r="Q63" i="25"/>
  <c r="S54" i="25"/>
  <c r="Q54" i="25"/>
  <c r="G54" i="2"/>
  <c r="C48" i="2"/>
  <c r="E28" i="2"/>
  <c r="C49" i="2"/>
  <c r="C11" i="2"/>
  <c r="AI8" i="27"/>
  <c r="AJ9" i="27"/>
  <c r="BF12" i="10"/>
  <c r="BG12" i="10" s="1"/>
  <c r="C43" i="2"/>
  <c r="E29" i="2"/>
  <c r="AH9" i="10"/>
  <c r="AF8" i="10"/>
  <c r="E25" i="2"/>
  <c r="AH13" i="10"/>
  <c r="AF12" i="10"/>
  <c r="N16" i="33"/>
  <c r="Y16" i="47"/>
  <c r="T16" i="9"/>
  <c r="AB16" i="25"/>
  <c r="DO16" i="31"/>
  <c r="DD74" i="31"/>
  <c r="AW16" i="2"/>
  <c r="O7" i="46"/>
  <c r="O25" i="46"/>
  <c r="T25" i="46" s="1"/>
  <c r="S44" i="25"/>
  <c r="Q44" i="25"/>
  <c r="C15" i="9"/>
  <c r="S42" i="25"/>
  <c r="Q42" i="25"/>
  <c r="Q85" i="25"/>
  <c r="S85" i="25"/>
  <c r="Q56" i="25"/>
  <c r="S56" i="25"/>
  <c r="CB9" i="31"/>
  <c r="D18" i="24"/>
  <c r="Q45" i="25"/>
  <c r="S45" i="25"/>
  <c r="S79" i="25"/>
  <c r="Q79" i="25"/>
  <c r="DC12" i="31"/>
  <c r="BT5" i="31" s="1"/>
  <c r="DE73" i="31"/>
  <c r="CD11" i="31" s="1"/>
  <c r="DC61" i="31"/>
  <c r="BK10" i="31" s="1"/>
  <c r="DC76" i="31"/>
  <c r="R12" i="31" s="1"/>
  <c r="DD23" i="31"/>
  <c r="DC23" i="31" s="1"/>
  <c r="CC6" i="31" s="1"/>
  <c r="DE74" i="31"/>
  <c r="CM11" i="31" s="1"/>
  <c r="DN50" i="1"/>
  <c r="DM50" i="1"/>
  <c r="DP58" i="1"/>
  <c r="DQ58" i="1"/>
  <c r="CP50" i="1"/>
  <c r="CQ50" i="1" s="1"/>
  <c r="CR50" i="1"/>
  <c r="K72" i="25"/>
  <c r="I72" i="25"/>
  <c r="E72" i="25"/>
  <c r="G72" i="25"/>
  <c r="DP53" i="1"/>
  <c r="DQ53" i="1"/>
  <c r="DP29" i="1"/>
  <c r="DQ29" i="1"/>
  <c r="DT27" i="1"/>
  <c r="DS27" i="1"/>
  <c r="CD7" i="1"/>
  <c r="BA7" i="1"/>
  <c r="BB7" i="1" s="1"/>
  <c r="CH7" i="1"/>
  <c r="CF7" i="1"/>
  <c r="DQ18" i="1"/>
  <c r="DP18" i="1"/>
  <c r="G66" i="25"/>
  <c r="K66" i="25"/>
  <c r="I66" i="25"/>
  <c r="E66" i="25"/>
  <c r="CR47" i="1"/>
  <c r="CP47" i="1"/>
  <c r="CQ47" i="1" s="1"/>
  <c r="BI7" i="1"/>
  <c r="DQ11" i="1"/>
  <c r="DP11" i="1"/>
  <c r="F24" i="2"/>
  <c r="C78" i="2"/>
  <c r="C86" i="2"/>
  <c r="E100" i="2"/>
  <c r="DW13" i="1"/>
  <c r="DV13" i="1"/>
  <c r="E43" i="2"/>
  <c r="E38" i="2"/>
  <c r="E44" i="2"/>
  <c r="C14" i="2"/>
  <c r="S55" i="25"/>
  <c r="Q55" i="25"/>
  <c r="S75" i="25"/>
  <c r="Q75" i="25"/>
  <c r="S52" i="25"/>
  <c r="Q52" i="25"/>
  <c r="S62" i="25"/>
  <c r="Q62" i="25"/>
  <c r="C94" i="2"/>
  <c r="E63" i="2"/>
  <c r="C54" i="2"/>
  <c r="D27" i="2"/>
  <c r="FE6" i="1"/>
  <c r="EV6" i="1"/>
  <c r="FK6" i="1"/>
  <c r="EM6" i="1"/>
  <c r="FB6" i="1"/>
  <c r="FH6" i="1"/>
  <c r="EJ6" i="1"/>
  <c r="EP6" i="1"/>
  <c r="EY6" i="1"/>
  <c r="ES6" i="1"/>
  <c r="E64" i="2"/>
  <c r="C42" i="2"/>
  <c r="C37" i="2"/>
  <c r="D24" i="2"/>
  <c r="C32" i="2"/>
  <c r="E46" i="2"/>
  <c r="E40" i="2"/>
  <c r="D63" i="2"/>
  <c r="D70" i="2"/>
  <c r="T11" i="10"/>
  <c r="AG11" i="10"/>
  <c r="N12" i="33"/>
  <c r="Y12" i="47"/>
  <c r="T12" i="9"/>
  <c r="AB12" i="25"/>
  <c r="DL5" i="31"/>
  <c r="AW12" i="2"/>
  <c r="DQ42" i="1"/>
  <c r="DP42" i="1"/>
  <c r="E69" i="25"/>
  <c r="K69" i="25"/>
  <c r="I69" i="25"/>
  <c r="G69" i="25"/>
  <c r="DN28" i="1"/>
  <c r="DM28" i="1"/>
  <c r="S48" i="25"/>
  <c r="Q48" i="25"/>
  <c r="S80" i="25"/>
  <c r="Q80" i="25"/>
  <c r="F14" i="2"/>
  <c r="T15" i="24"/>
  <c r="M15" i="24" s="1"/>
  <c r="C10" i="33"/>
  <c r="B10" i="33"/>
  <c r="D7" i="24"/>
  <c r="S83" i="25"/>
  <c r="Q83" i="25"/>
  <c r="I9" i="33"/>
  <c r="C9" i="33"/>
  <c r="B9" i="33"/>
  <c r="C7" i="33"/>
  <c r="B7" i="33"/>
  <c r="C9" i="9"/>
  <c r="T29" i="24"/>
  <c r="M29" i="24" s="1"/>
  <c r="D31" i="24"/>
  <c r="T6" i="24"/>
  <c r="M6" i="24" s="1"/>
  <c r="O8" i="9"/>
  <c r="O7" i="9"/>
  <c r="O5" i="9"/>
  <c r="Q77" i="25"/>
  <c r="S77" i="25"/>
  <c r="S43" i="25"/>
  <c r="Q43" i="25"/>
  <c r="Q11" i="31"/>
  <c r="S87" i="25"/>
  <c r="Q87" i="25"/>
  <c r="DD55" i="31"/>
  <c r="T5" i="24"/>
  <c r="M5" i="24" s="1"/>
  <c r="D12" i="24"/>
  <c r="D14" i="24"/>
  <c r="DC48" i="31"/>
  <c r="AJ9" i="31" s="1"/>
  <c r="DD25" i="31"/>
  <c r="DC25" i="31" s="1"/>
  <c r="I7" i="31" s="1"/>
  <c r="DD35" i="31"/>
  <c r="DD65" i="31"/>
  <c r="DC65" i="31" s="1"/>
  <c r="I11" i="31" s="1"/>
  <c r="DE55" i="31"/>
  <c r="J10" i="31" s="1"/>
  <c r="DD5" i="31"/>
  <c r="DC5" i="31" s="1"/>
  <c r="I5" i="31" s="1"/>
  <c r="DC51" i="31"/>
  <c r="BK9" i="31" s="1"/>
  <c r="DC7" i="31"/>
  <c r="AA5" i="31" s="1"/>
  <c r="DB30" i="31"/>
  <c r="DD30" i="31" s="1"/>
  <c r="DC30" i="31" s="1"/>
  <c r="BB7" i="31" s="1"/>
  <c r="BC7" i="31"/>
  <c r="DE35" i="31"/>
  <c r="J8" i="31" s="1"/>
  <c r="DE44" i="31"/>
  <c r="CM8" i="31" s="1"/>
  <c r="DC79" i="31"/>
  <c r="AS12" i="31" s="1"/>
  <c r="DC26" i="31"/>
  <c r="R7" i="31" s="1"/>
  <c r="CD53" i="1"/>
  <c r="BU54" i="1"/>
  <c r="CF53" i="1"/>
  <c r="X53" i="1"/>
  <c r="CH53" i="1"/>
  <c r="BA55" i="1"/>
  <c r="BB55" i="1" s="1"/>
  <c r="BG55" i="1"/>
  <c r="DS45" i="1"/>
  <c r="DT45" i="1"/>
  <c r="DM43" i="1"/>
  <c r="DN43" i="1"/>
  <c r="CM51" i="1"/>
  <c r="CN51" i="1" s="1"/>
  <c r="CO51" i="1" s="1"/>
  <c r="CL51" i="1"/>
  <c r="P51" i="1"/>
  <c r="CK52" i="1"/>
  <c r="DT40" i="1"/>
  <c r="DS40" i="1"/>
  <c r="DT37" i="1"/>
  <c r="DS37" i="1"/>
  <c r="S60" i="25"/>
  <c r="Q60" i="25"/>
  <c r="DQ62" i="1"/>
  <c r="DP62" i="1"/>
  <c r="ES41" i="1"/>
  <c r="FH41" i="1"/>
  <c r="EJ41" i="1"/>
  <c r="EY41" i="1"/>
  <c r="EP41" i="1"/>
  <c r="FB41" i="1"/>
  <c r="FK41" i="1"/>
  <c r="FE41" i="1"/>
  <c r="EM41" i="1"/>
  <c r="EV41" i="1"/>
  <c r="G70" i="25"/>
  <c r="K70" i="25"/>
  <c r="I70" i="25"/>
  <c r="E70" i="25"/>
  <c r="DQ44" i="1"/>
  <c r="DP44" i="1"/>
  <c r="K64" i="25"/>
  <c r="I64" i="25"/>
  <c r="E64" i="25"/>
  <c r="G64" i="25"/>
  <c r="DN24" i="1"/>
  <c r="DM24" i="1"/>
  <c r="GF7" i="1"/>
  <c r="FX7" i="1"/>
  <c r="FP7" i="1"/>
  <c r="Y8" i="1"/>
  <c r="GE7" i="1"/>
  <c r="FW7" i="1"/>
  <c r="GD7" i="1"/>
  <c r="FV7" i="1"/>
  <c r="GC7" i="1"/>
  <c r="FU7" i="1"/>
  <c r="GB7" i="1"/>
  <c r="FT7" i="1"/>
  <c r="GI7" i="1"/>
  <c r="GA7" i="1"/>
  <c r="FS7" i="1"/>
  <c r="FY7" i="1"/>
  <c r="FQ7" i="1"/>
  <c r="FR7" i="1"/>
  <c r="GH7" i="1"/>
  <c r="FZ7" i="1"/>
  <c r="GD6" i="1"/>
  <c r="GB61" i="1"/>
  <c r="GB59" i="1"/>
  <c r="GB58" i="1"/>
  <c r="GB60" i="1"/>
  <c r="GB56" i="1"/>
  <c r="GB55" i="1"/>
  <c r="GB51" i="1"/>
  <c r="GB48" i="1"/>
  <c r="GB53" i="1"/>
  <c r="GB49" i="1"/>
  <c r="GB62" i="1"/>
  <c r="GB57" i="1"/>
  <c r="GB54" i="1"/>
  <c r="GB46" i="1"/>
  <c r="GB52" i="1"/>
  <c r="GB47" i="1"/>
  <c r="GB50" i="1"/>
  <c r="GG3" i="1"/>
  <c r="GB5" i="1"/>
  <c r="GB2" i="1" s="1"/>
  <c r="GB6" i="1"/>
  <c r="CP48" i="1"/>
  <c r="CQ48" i="1" s="1"/>
  <c r="CR48" i="1" s="1"/>
  <c r="BI10" i="1"/>
  <c r="BI42" i="1"/>
  <c r="BI39" i="1"/>
  <c r="GF6" i="1"/>
  <c r="D29" i="2"/>
  <c r="E90" i="2"/>
  <c r="E23" i="2"/>
  <c r="E11" i="2"/>
  <c r="C79" i="2"/>
  <c r="C87" i="2"/>
  <c r="E97" i="2"/>
  <c r="D79" i="2"/>
  <c r="D87" i="2"/>
  <c r="C98" i="2"/>
  <c r="E80" i="2"/>
  <c r="E99" i="2"/>
  <c r="E93" i="2"/>
  <c r="C57" i="2"/>
  <c r="E27" i="2"/>
  <c r="D69" i="2"/>
  <c r="C58" i="2"/>
  <c r="E24" i="2"/>
  <c r="D19" i="2"/>
  <c r="D7" i="2"/>
  <c r="Q78" i="25"/>
  <c r="S78" i="25"/>
  <c r="E33" i="2"/>
  <c r="C26" i="2"/>
  <c r="F47" i="2"/>
  <c r="C23" i="2"/>
  <c r="E17" i="2"/>
  <c r="F37" i="2"/>
  <c r="D9" i="2"/>
  <c r="BC11" i="10"/>
  <c r="BD11" i="10" s="1"/>
  <c r="BE12" i="10"/>
  <c r="G44" i="2"/>
  <c r="V7" i="10"/>
  <c r="BA7" i="10"/>
  <c r="BF13" i="10"/>
  <c r="BG13" i="10" s="1"/>
  <c r="G29" i="2"/>
  <c r="V263" i="8"/>
  <c r="X263" i="8" s="1"/>
  <c r="U263" i="8"/>
  <c r="E53" i="2"/>
  <c r="BB12" i="10"/>
  <c r="AY11" i="10"/>
  <c r="E57" i="2"/>
  <c r="AY16" i="10"/>
  <c r="BB17" i="10"/>
  <c r="V6" i="10"/>
  <c r="T39" i="24"/>
  <c r="M39" i="24" s="1"/>
  <c r="D8" i="24"/>
  <c r="CK8" i="31"/>
  <c r="C7" i="47"/>
  <c r="C8" i="33"/>
  <c r="B8" i="33"/>
  <c r="T22" i="24"/>
  <c r="M22" i="24" s="1"/>
  <c r="T35" i="24"/>
  <c r="M35" i="24" s="1"/>
  <c r="S39" i="25"/>
  <c r="Q39" i="25"/>
  <c r="D6" i="24"/>
  <c r="S40" i="25"/>
  <c r="Q40" i="25"/>
  <c r="DC59" i="31"/>
  <c r="AS10" i="31" s="1"/>
  <c r="AR7" i="31"/>
  <c r="DC68" i="31"/>
  <c r="AJ11" i="31" s="1"/>
  <c r="Y6" i="47"/>
  <c r="N6" i="33"/>
  <c r="Y6" i="24"/>
  <c r="T6" i="9"/>
  <c r="AB6" i="25"/>
  <c r="AW6" i="2"/>
  <c r="DE23" i="31"/>
  <c r="CD6" i="31" s="1"/>
  <c r="DD75" i="31"/>
  <c r="DC75" i="31" s="1"/>
  <c r="I12" i="31" s="1"/>
  <c r="DE45" i="31"/>
  <c r="J9" i="31" s="1"/>
  <c r="DE62" i="31"/>
  <c r="BU10" i="31" s="1"/>
  <c r="DM56" i="1"/>
  <c r="DN56" i="1"/>
  <c r="DC27" i="31"/>
  <c r="AA7" i="31" s="1"/>
  <c r="CP46" i="1"/>
  <c r="CQ46" i="1" s="1"/>
  <c r="CR46" i="1" s="1"/>
  <c r="AA52" i="1"/>
  <c r="DN59" i="1"/>
  <c r="DM59" i="1"/>
  <c r="DQ38" i="1"/>
  <c r="DP38" i="1"/>
  <c r="DM36" i="1"/>
  <c r="DN36" i="1"/>
  <c r="Q73" i="25"/>
  <c r="S73" i="25"/>
  <c r="DN31" i="1"/>
  <c r="DM31" i="1"/>
  <c r="DN23" i="1"/>
  <c r="DM23" i="1"/>
  <c r="DQ7" i="1"/>
  <c r="DP7" i="1"/>
  <c r="BI8" i="1"/>
  <c r="BI12" i="1"/>
  <c r="BI32" i="1"/>
  <c r="ES14" i="1"/>
  <c r="EY14" i="1"/>
  <c r="EP14" i="1"/>
  <c r="EV14" i="1"/>
  <c r="FK14" i="1"/>
  <c r="FH14" i="1"/>
  <c r="FE14" i="1"/>
  <c r="EM14" i="1"/>
  <c r="EJ14" i="1"/>
  <c r="FB14" i="1"/>
  <c r="E60" i="2"/>
  <c r="C53" i="2"/>
  <c r="D41" i="2"/>
  <c r="D35" i="2"/>
  <c r="C17" i="2"/>
  <c r="D6" i="2"/>
  <c r="C72" i="2"/>
  <c r="C80" i="2"/>
  <c r="L50" i="1"/>
  <c r="L55" i="1"/>
  <c r="D66" i="2"/>
  <c r="E31" i="2"/>
  <c r="E67" i="2"/>
  <c r="D49" i="2"/>
  <c r="D37" i="2"/>
  <c r="C18" i="2"/>
  <c r="E12" i="2"/>
  <c r="C6" i="2"/>
  <c r="Q81" i="25"/>
  <c r="S81" i="25"/>
  <c r="S86" i="25"/>
  <c r="Q86" i="25"/>
  <c r="D61" i="2"/>
  <c r="E39" i="2"/>
  <c r="D62" i="2"/>
  <c r="G52" i="2"/>
  <c r="F22" i="2"/>
  <c r="D16" i="2"/>
  <c r="E9" i="2"/>
  <c r="BA8" i="10"/>
  <c r="P6" i="22"/>
  <c r="AZ12" i="10"/>
  <c r="AZ10" i="10"/>
  <c r="AZ11" i="10"/>
  <c r="E68" i="2"/>
  <c r="C5" i="9"/>
  <c r="DC63" i="31"/>
  <c r="CC10" i="31" s="1"/>
  <c r="S74" i="25"/>
  <c r="Q74" i="25"/>
  <c r="N15" i="33"/>
  <c r="Y15" i="47"/>
  <c r="AB15" i="25"/>
  <c r="T15" i="9"/>
  <c r="DO15" i="31"/>
  <c r="AW15" i="2"/>
  <c r="K68" i="25"/>
  <c r="I68" i="25"/>
  <c r="G68" i="25"/>
  <c r="E68" i="25"/>
  <c r="DQ33" i="1"/>
  <c r="DP33" i="1"/>
  <c r="GE58" i="1"/>
  <c r="GE62" i="1"/>
  <c r="GE57" i="1"/>
  <c r="GE61" i="1"/>
  <c r="GE53" i="1"/>
  <c r="GE52" i="1"/>
  <c r="GE50" i="1"/>
  <c r="GE59" i="1"/>
  <c r="GE54" i="1"/>
  <c r="GE60" i="1"/>
  <c r="GE51" i="1"/>
  <c r="GE48" i="1"/>
  <c r="GE47" i="1"/>
  <c r="GE46" i="1"/>
  <c r="GE55" i="1"/>
  <c r="GE49" i="1"/>
  <c r="GE56" i="1"/>
  <c r="GE5" i="1"/>
  <c r="GE2" i="1" s="1"/>
  <c r="DW16" i="1"/>
  <c r="DV16" i="1"/>
  <c r="DN22" i="1"/>
  <c r="DM22" i="1"/>
  <c r="C6" i="47"/>
  <c r="T6" i="46"/>
  <c r="D16" i="24"/>
  <c r="DD45" i="31"/>
  <c r="AR9" i="31"/>
  <c r="C5" i="33"/>
  <c r="B5" i="33"/>
  <c r="L34" i="46"/>
  <c r="R34" i="46"/>
  <c r="S33" i="46" s="1"/>
  <c r="S34" i="46" s="1"/>
  <c r="M33" i="46"/>
  <c r="D39" i="24"/>
  <c r="D23" i="24"/>
  <c r="C10" i="9"/>
  <c r="D27" i="24"/>
  <c r="DD53" i="31"/>
  <c r="DC53" i="31" s="1"/>
  <c r="CC9" i="31" s="1"/>
  <c r="DC14" i="31"/>
  <c r="CL5" i="31" s="1"/>
  <c r="AI6" i="31"/>
  <c r="AA29" i="25"/>
  <c r="X29" i="24"/>
  <c r="DP29" i="31"/>
  <c r="AV29" i="2"/>
  <c r="BA29" i="2" s="1"/>
  <c r="DE5" i="31"/>
  <c r="J5" i="31" s="1"/>
  <c r="DC40" i="31"/>
  <c r="BB8" i="31" s="1"/>
  <c r="DD42" i="31"/>
  <c r="DC42" i="31" s="1"/>
  <c r="BT8" i="31" s="1"/>
  <c r="DE83" i="31"/>
  <c r="CD12" i="31" s="1"/>
  <c r="DE82" i="31"/>
  <c r="BU12" i="31" s="1"/>
  <c r="DC19" i="31"/>
  <c r="AS6" i="31" s="1"/>
  <c r="DM61" i="1"/>
  <c r="DN61" i="1"/>
  <c r="DP55" i="1"/>
  <c r="DQ55" i="1"/>
  <c r="DP48" i="1"/>
  <c r="DQ48" i="1"/>
  <c r="DP35" i="1"/>
  <c r="DQ35" i="1"/>
  <c r="Q65" i="25"/>
  <c r="S65" i="25"/>
  <c r="V32" i="1"/>
  <c r="I33" i="1"/>
  <c r="DP34" i="1"/>
  <c r="DQ34" i="1"/>
  <c r="DM15" i="1"/>
  <c r="DN15" i="1"/>
  <c r="BA25" i="1"/>
  <c r="BB25" i="1" s="1"/>
  <c r="BA15" i="1"/>
  <c r="BB15" i="1" s="1"/>
  <c r="DN8" i="1"/>
  <c r="DM8" i="1"/>
  <c r="BI15" i="1"/>
  <c r="BI9" i="1"/>
  <c r="DQ10" i="1"/>
  <c r="DP10" i="1"/>
  <c r="AA5" i="1"/>
  <c r="G34" i="2"/>
  <c r="D71" i="2"/>
  <c r="D47" i="2"/>
  <c r="D22" i="2"/>
  <c r="D10" i="2"/>
  <c r="C5" i="2"/>
  <c r="D89" i="2"/>
  <c r="D81" i="2"/>
  <c r="E89" i="2"/>
  <c r="E74" i="2"/>
  <c r="E82" i="2"/>
  <c r="D90" i="2"/>
  <c r="C65" i="2"/>
  <c r="D54" i="2"/>
  <c r="D48" i="2"/>
  <c r="D26" i="2"/>
  <c r="D23" i="2"/>
  <c r="F17" i="2"/>
  <c r="Q61" i="25"/>
  <c r="S61" i="25"/>
  <c r="S41" i="25"/>
  <c r="Q41" i="25"/>
  <c r="S47" i="25"/>
  <c r="Q47" i="25"/>
  <c r="E72" i="2"/>
  <c r="C52" i="2"/>
  <c r="E45" i="2"/>
  <c r="E34" i="2"/>
  <c r="E21" i="2"/>
  <c r="C15" i="2"/>
  <c r="D8" i="2"/>
  <c r="D53" i="2"/>
  <c r="D13" i="2"/>
  <c r="D33" i="2"/>
  <c r="E65" i="2"/>
  <c r="D72" i="2"/>
  <c r="BC8" i="10"/>
  <c r="BD8" i="10" s="1"/>
  <c r="BE9" i="10"/>
  <c r="BC9" i="10" s="1"/>
  <c r="BD9" i="10" s="1"/>
  <c r="D39" i="2"/>
  <c r="C38" i="2"/>
  <c r="BF11" i="10"/>
  <c r="BG11" i="10" s="1"/>
  <c r="BB9" i="10"/>
  <c r="AY8" i="10"/>
  <c r="DC45" i="31" l="1"/>
  <c r="I9" i="31" s="1"/>
  <c r="DT47" i="1"/>
  <c r="DS47" i="1"/>
  <c r="DP6" i="1"/>
  <c r="DQ6" i="1"/>
  <c r="DQ54" i="1"/>
  <c r="DP54" i="1"/>
  <c r="DQ23" i="1"/>
  <c r="DP23" i="1"/>
  <c r="DT11" i="1"/>
  <c r="DS11" i="1"/>
  <c r="DT29" i="1"/>
  <c r="DS29" i="1"/>
  <c r="AF9" i="10"/>
  <c r="X8" i="1"/>
  <c r="BU9" i="1"/>
  <c r="DC44" i="31"/>
  <c r="CL8" i="31" s="1"/>
  <c r="AA6" i="1"/>
  <c r="S71" i="25"/>
  <c r="Q71" i="25"/>
  <c r="DT5" i="1"/>
  <c r="DS5" i="1"/>
  <c r="DC54" i="31"/>
  <c r="CL9" i="31" s="1"/>
  <c r="R35" i="46"/>
  <c r="M34" i="46"/>
  <c r="L35" i="46"/>
  <c r="DQ28" i="1"/>
  <c r="DP28" i="1"/>
  <c r="M16" i="33"/>
  <c r="X16" i="47"/>
  <c r="S16" i="9"/>
  <c r="AA16" i="25"/>
  <c r="AV16" i="2"/>
  <c r="BA16" i="2" s="1"/>
  <c r="AQ54" i="2" s="1"/>
  <c r="DW39" i="1"/>
  <c r="DV39" i="1"/>
  <c r="BA16" i="10"/>
  <c r="V16" i="10"/>
  <c r="BA11" i="10"/>
  <c r="V11" i="10"/>
  <c r="DS34" i="1"/>
  <c r="DT34" i="1"/>
  <c r="DT35" i="1"/>
  <c r="DS35" i="1"/>
  <c r="DP61" i="1"/>
  <c r="DQ61" i="1"/>
  <c r="DQ59" i="1"/>
  <c r="DP59" i="1"/>
  <c r="DQ56" i="1"/>
  <c r="DP56" i="1"/>
  <c r="CK53" i="1"/>
  <c r="CM52" i="1"/>
  <c r="CN52" i="1" s="1"/>
  <c r="CO52" i="1" s="1"/>
  <c r="P52" i="1"/>
  <c r="CL52" i="1"/>
  <c r="DQ32" i="1"/>
  <c r="DP32" i="1"/>
  <c r="DQ60" i="1"/>
  <c r="DP60" i="1"/>
  <c r="BA7" i="31"/>
  <c r="U33" i="46"/>
  <c r="U34" i="46" s="1"/>
  <c r="CP7" i="1"/>
  <c r="CQ7" i="1" s="1"/>
  <c r="CR7" i="1" s="1"/>
  <c r="DT55" i="1"/>
  <c r="DS55" i="1"/>
  <c r="DT33" i="1"/>
  <c r="DS33" i="1"/>
  <c r="DT38" i="1"/>
  <c r="DS38" i="1"/>
  <c r="GG8" i="1"/>
  <c r="FY8" i="1"/>
  <c r="FQ8" i="1"/>
  <c r="GF8" i="1"/>
  <c r="FX8" i="1"/>
  <c r="FP8" i="1"/>
  <c r="Y9" i="1"/>
  <c r="GE8" i="1"/>
  <c r="FW8" i="1"/>
  <c r="GD8" i="1"/>
  <c r="FV8" i="1"/>
  <c r="GC8" i="1"/>
  <c r="FU8" i="1"/>
  <c r="GB8" i="1"/>
  <c r="FT8" i="1"/>
  <c r="GH8" i="1"/>
  <c r="FZ8" i="1"/>
  <c r="FR8" i="1"/>
  <c r="GI8" i="1"/>
  <c r="GA8" i="1"/>
  <c r="FS8" i="1"/>
  <c r="S66" i="25"/>
  <c r="Q66" i="25"/>
  <c r="DW27" i="1"/>
  <c r="DV27" i="1"/>
  <c r="T8" i="10"/>
  <c r="AG8" i="10"/>
  <c r="DP57" i="1"/>
  <c r="DQ57" i="1"/>
  <c r="CM8" i="1"/>
  <c r="CN8" i="1" s="1"/>
  <c r="CO8" i="1" s="1"/>
  <c r="CL8" i="1"/>
  <c r="P8" i="1"/>
  <c r="CK9" i="1"/>
  <c r="AY9" i="10"/>
  <c r="AZ9" i="10"/>
  <c r="DQ31" i="1"/>
  <c r="DP31" i="1"/>
  <c r="DV40" i="1"/>
  <c r="DW40" i="1"/>
  <c r="DV45" i="1"/>
  <c r="DW45" i="1"/>
  <c r="BU55" i="1"/>
  <c r="CF54" i="1"/>
  <c r="X54" i="1"/>
  <c r="CD54" i="1"/>
  <c r="CH54" i="1"/>
  <c r="Q69" i="25"/>
  <c r="S69" i="25"/>
  <c r="DQ22" i="1"/>
  <c r="DP22" i="1"/>
  <c r="S68" i="25"/>
  <c r="Q68" i="25"/>
  <c r="V10" i="10"/>
  <c r="BA10" i="10"/>
  <c r="AA53" i="1"/>
  <c r="DT18" i="1"/>
  <c r="DS18" i="1"/>
  <c r="DQ8" i="1"/>
  <c r="DP8" i="1"/>
  <c r="DC22" i="31"/>
  <c r="BT6" i="31" s="1"/>
  <c r="AY12" i="10"/>
  <c r="BB13" i="10"/>
  <c r="DT44" i="1"/>
  <c r="DS44" i="1"/>
  <c r="DS62" i="1"/>
  <c r="DT62" i="1"/>
  <c r="DZ13" i="1"/>
  <c r="DY13" i="1"/>
  <c r="DT53" i="1"/>
  <c r="DS53" i="1"/>
  <c r="DT58" i="1"/>
  <c r="DS58" i="1"/>
  <c r="DT51" i="1"/>
  <c r="DS51" i="1"/>
  <c r="N27" i="33"/>
  <c r="T27" i="9"/>
  <c r="Y27" i="24"/>
  <c r="AB27" i="25"/>
  <c r="AW27" i="2"/>
  <c r="DS9" i="1"/>
  <c r="DT9" i="1"/>
  <c r="DS19" i="1"/>
  <c r="DT19" i="1"/>
  <c r="DQ15" i="1"/>
  <c r="DP15" i="1"/>
  <c r="Y29" i="24"/>
  <c r="AB29" i="25"/>
  <c r="AW29" i="2"/>
  <c r="DZ16" i="1"/>
  <c r="DY16" i="1"/>
  <c r="DT41" i="1"/>
  <c r="DS41" i="1"/>
  <c r="S14" i="9"/>
  <c r="M14" i="33"/>
  <c r="X14" i="47"/>
  <c r="AA14" i="25"/>
  <c r="AV14" i="2"/>
  <c r="BA14" i="2" s="1"/>
  <c r="BI18" i="10"/>
  <c r="BJ18" i="10" s="1"/>
  <c r="BK19" i="10"/>
  <c r="BI19" i="10" s="1"/>
  <c r="BJ19" i="10" s="1"/>
  <c r="DS25" i="1"/>
  <c r="DT25" i="1"/>
  <c r="DQ49" i="1"/>
  <c r="DP49" i="1"/>
  <c r="DC62" i="31"/>
  <c r="BT10" i="31" s="1"/>
  <c r="GI61" i="1"/>
  <c r="GI60" i="1"/>
  <c r="GI56" i="1"/>
  <c r="GI59" i="1"/>
  <c r="GI49" i="1"/>
  <c r="GI58" i="1"/>
  <c r="GI55" i="1"/>
  <c r="GI57" i="1"/>
  <c r="GI51" i="1"/>
  <c r="GI48" i="1"/>
  <c r="GI47" i="1"/>
  <c r="GI46" i="1"/>
  <c r="GI62" i="1"/>
  <c r="GI54" i="1"/>
  <c r="GI52" i="1"/>
  <c r="GI53" i="1"/>
  <c r="GI50" i="1"/>
  <c r="GI6" i="1"/>
  <c r="GI5" i="1"/>
  <c r="GI2" i="1" s="1"/>
  <c r="DC84" i="31"/>
  <c r="CL12" i="31" s="1"/>
  <c r="V33" i="1"/>
  <c r="I34" i="1"/>
  <c r="BG33" i="1"/>
  <c r="BF33" i="1"/>
  <c r="DQ36" i="1"/>
  <c r="DP36" i="1"/>
  <c r="DQ24" i="1"/>
  <c r="DP24" i="1"/>
  <c r="CP51" i="1"/>
  <c r="CQ51" i="1" s="1"/>
  <c r="CR51" i="1" s="1"/>
  <c r="DC55" i="31"/>
  <c r="I10" i="31" s="1"/>
  <c r="S72" i="25"/>
  <c r="Q72" i="25"/>
  <c r="O8" i="46"/>
  <c r="O26" i="46"/>
  <c r="T26" i="46" s="1"/>
  <c r="T7" i="46"/>
  <c r="AG12" i="10"/>
  <c r="T12" i="10"/>
  <c r="AI9" i="27"/>
  <c r="AJ10" i="27"/>
  <c r="DW20" i="1"/>
  <c r="DV20" i="1"/>
  <c r="DQ12" i="1"/>
  <c r="DP12" i="1"/>
  <c r="CH59" i="1"/>
  <c r="BU60" i="1"/>
  <c r="CD59" i="1"/>
  <c r="X59" i="1"/>
  <c r="CF59" i="1"/>
  <c r="BA15" i="10"/>
  <c r="V15" i="10"/>
  <c r="DW17" i="1"/>
  <c r="DV17" i="1"/>
  <c r="DQ26" i="1"/>
  <c r="DP26" i="1"/>
  <c r="DC52" i="31"/>
  <c r="BT9" i="31" s="1"/>
  <c r="DC64" i="31"/>
  <c r="CL10" i="31" s="1"/>
  <c r="AA58" i="1"/>
  <c r="DC82" i="31"/>
  <c r="BT12" i="31" s="1"/>
  <c r="GH60" i="1"/>
  <c r="GH61" i="1"/>
  <c r="GH59" i="1"/>
  <c r="GH62" i="1"/>
  <c r="GH57" i="1"/>
  <c r="GH54" i="1"/>
  <c r="GH49" i="1"/>
  <c r="GH58" i="1"/>
  <c r="GH55" i="1"/>
  <c r="GH56" i="1"/>
  <c r="GH52" i="1"/>
  <c r="GH50" i="1"/>
  <c r="GH51" i="1"/>
  <c r="GH48" i="1"/>
  <c r="GH53" i="1"/>
  <c r="GH47" i="1"/>
  <c r="GH46" i="1"/>
  <c r="GH5" i="1"/>
  <c r="GH2" i="1" s="1"/>
  <c r="GH6" i="1"/>
  <c r="Y28" i="24"/>
  <c r="AB28" i="25"/>
  <c r="AW28" i="2"/>
  <c r="BE13" i="10"/>
  <c r="BC12" i="10"/>
  <c r="BD12" i="10" s="1"/>
  <c r="GG62" i="1"/>
  <c r="GG57" i="1"/>
  <c r="GG60" i="1"/>
  <c r="GG56" i="1"/>
  <c r="GG61" i="1"/>
  <c r="GG52" i="1"/>
  <c r="GG50" i="1"/>
  <c r="GG59" i="1"/>
  <c r="GG54" i="1"/>
  <c r="GG49" i="1"/>
  <c r="GG58" i="1"/>
  <c r="GG51" i="1"/>
  <c r="GG48" i="1"/>
  <c r="GG53" i="1"/>
  <c r="GG47" i="1"/>
  <c r="GG46" i="1"/>
  <c r="GG55" i="1"/>
  <c r="GG5" i="1"/>
  <c r="GG2" i="1" s="1"/>
  <c r="GG6" i="1"/>
  <c r="GG7" i="1"/>
  <c r="BA12" i="10"/>
  <c r="DT10" i="1"/>
  <c r="DS10" i="1"/>
  <c r="DT48" i="1"/>
  <c r="DS48" i="1"/>
  <c r="X15" i="47"/>
  <c r="M15" i="33"/>
  <c r="S15" i="9"/>
  <c r="AA15" i="25"/>
  <c r="AV15" i="2"/>
  <c r="BA15" i="2" s="1"/>
  <c r="S64" i="25"/>
  <c r="Q64" i="25"/>
  <c r="DT42" i="1"/>
  <c r="DS42" i="1"/>
  <c r="AA7" i="1"/>
  <c r="DQ50" i="1"/>
  <c r="DP50" i="1"/>
  <c r="AF13" i="10"/>
  <c r="AH14" i="10"/>
  <c r="AF14" i="10" s="1"/>
  <c r="CD8" i="1"/>
  <c r="DQ52" i="1"/>
  <c r="DP52" i="1"/>
  <c r="V8" i="10"/>
  <c r="DT7" i="1"/>
  <c r="DS7" i="1"/>
  <c r="BB18" i="10"/>
  <c r="AY17" i="10"/>
  <c r="S70" i="25"/>
  <c r="Q70" i="25"/>
  <c r="DW37" i="1"/>
  <c r="DV37" i="1"/>
  <c r="DP43" i="1"/>
  <c r="DQ43" i="1"/>
  <c r="DC35" i="31"/>
  <c r="I8" i="31" s="1"/>
  <c r="DC74" i="31"/>
  <c r="CL11" i="31" s="1"/>
  <c r="CF8" i="1"/>
  <c r="DW21" i="1"/>
  <c r="DV21" i="1"/>
  <c r="DP30" i="1"/>
  <c r="DQ30" i="1"/>
  <c r="DW46" i="1"/>
  <c r="DV46" i="1"/>
  <c r="AZ17" i="10"/>
  <c r="S67" i="25"/>
  <c r="Q67" i="25"/>
  <c r="M13" i="33"/>
  <c r="I11" i="33" s="1"/>
  <c r="X13" i="47"/>
  <c r="S13" i="9"/>
  <c r="AA13" i="25"/>
  <c r="AV13" i="2"/>
  <c r="BA13" i="2" s="1"/>
  <c r="DS14" i="1"/>
  <c r="DT14" i="1"/>
  <c r="DT54" i="1" l="1"/>
  <c r="DS54" i="1"/>
  <c r="DT6" i="1"/>
  <c r="DS6" i="1"/>
  <c r="DV47" i="1"/>
  <c r="DW47" i="1"/>
  <c r="DZ46" i="1"/>
  <c r="DY46" i="1"/>
  <c r="DS52" i="1"/>
  <c r="DT52" i="1"/>
  <c r="CM53" i="1"/>
  <c r="CN53" i="1" s="1"/>
  <c r="CO53" i="1" s="1"/>
  <c r="CL53" i="1"/>
  <c r="CK54" i="1"/>
  <c r="V17" i="10"/>
  <c r="BA17" i="10"/>
  <c r="DT12" i="1"/>
  <c r="DS12" i="1"/>
  <c r="BA33" i="1"/>
  <c r="BB33" i="1" s="1"/>
  <c r="BI33" i="1"/>
  <c r="DW62" i="1"/>
  <c r="DV62" i="1"/>
  <c r="DS31" i="1"/>
  <c r="DT31" i="1"/>
  <c r="EC16" i="1"/>
  <c r="EB16" i="1"/>
  <c r="DS8" i="1"/>
  <c r="DT8" i="1"/>
  <c r="CH55" i="1"/>
  <c r="CF55" i="1"/>
  <c r="X55" i="1"/>
  <c r="CD55" i="1"/>
  <c r="V9" i="10"/>
  <c r="BA9" i="10"/>
  <c r="DW33" i="1"/>
  <c r="DV33" i="1"/>
  <c r="CP52" i="1"/>
  <c r="CQ52" i="1" s="1"/>
  <c r="CR52" i="1" s="1"/>
  <c r="DW5" i="1"/>
  <c r="DV5" i="1"/>
  <c r="AO6" i="10"/>
  <c r="DW42" i="1"/>
  <c r="DV42" i="1"/>
  <c r="O27" i="46"/>
  <c r="T27" i="46" s="1"/>
  <c r="O9" i="46"/>
  <c r="T8" i="46"/>
  <c r="I35" i="1"/>
  <c r="BG34" i="1"/>
  <c r="V34" i="1"/>
  <c r="BF34" i="1"/>
  <c r="DV19" i="1"/>
  <c r="DW19" i="1"/>
  <c r="DT22" i="1"/>
  <c r="DS22" i="1"/>
  <c r="T9" i="10"/>
  <c r="AG9" i="10"/>
  <c r="DT30" i="1"/>
  <c r="DS30" i="1"/>
  <c r="DT49" i="1"/>
  <c r="DS49" i="1"/>
  <c r="DW18" i="1"/>
  <c r="DV18" i="1"/>
  <c r="DY45" i="1"/>
  <c r="DZ45" i="1"/>
  <c r="CM9" i="1"/>
  <c r="CN9" i="1" s="1"/>
  <c r="CO9" i="1" s="1"/>
  <c r="CL9" i="1"/>
  <c r="CK10" i="1"/>
  <c r="P9" i="1"/>
  <c r="DT60" i="1"/>
  <c r="DS60" i="1"/>
  <c r="DW34" i="1"/>
  <c r="DV34" i="1"/>
  <c r="DY39" i="1"/>
  <c r="DZ39" i="1"/>
  <c r="R36" i="46"/>
  <c r="M35" i="46"/>
  <c r="L36" i="46"/>
  <c r="AA8" i="1"/>
  <c r="DZ20" i="1"/>
  <c r="DY20" i="1"/>
  <c r="J7" i="47"/>
  <c r="J6" i="47"/>
  <c r="DW51" i="1"/>
  <c r="DV51" i="1"/>
  <c r="DV55" i="1"/>
  <c r="DW55" i="1"/>
  <c r="DT56" i="1"/>
  <c r="DS56" i="1"/>
  <c r="AG13" i="10"/>
  <c r="T13" i="10"/>
  <c r="V12" i="10"/>
  <c r="CH60" i="1"/>
  <c r="CF60" i="1"/>
  <c r="X60" i="1"/>
  <c r="BU61" i="1"/>
  <c r="CD60" i="1"/>
  <c r="EC13" i="1"/>
  <c r="EB13" i="1"/>
  <c r="BB14" i="10"/>
  <c r="AY13" i="10"/>
  <c r="AZ13" i="10"/>
  <c r="DY40" i="1"/>
  <c r="DZ40" i="1"/>
  <c r="DZ27" i="1"/>
  <c r="DY27" i="1"/>
  <c r="DW29" i="1"/>
  <c r="DV29" i="1"/>
  <c r="DT24" i="1"/>
  <c r="DS24" i="1"/>
  <c r="DW53" i="1"/>
  <c r="DV53" i="1"/>
  <c r="DW35" i="1"/>
  <c r="DV35" i="1"/>
  <c r="DT28" i="1"/>
  <c r="DS28" i="1"/>
  <c r="DT23" i="1"/>
  <c r="DS23" i="1"/>
  <c r="DT43" i="1"/>
  <c r="DS43" i="1"/>
  <c r="AY18" i="10"/>
  <c r="BB19" i="10"/>
  <c r="AZ18" i="10"/>
  <c r="AG14" i="10"/>
  <c r="T14" i="10"/>
  <c r="DW10" i="1"/>
  <c r="DV10" i="1"/>
  <c r="AA59" i="1"/>
  <c r="DW25" i="1"/>
  <c r="DV25" i="1"/>
  <c r="DW9" i="1"/>
  <c r="DV9" i="1"/>
  <c r="DW44" i="1"/>
  <c r="DV44" i="1"/>
  <c r="DZ21" i="1"/>
  <c r="DY21" i="1"/>
  <c r="DW7" i="1"/>
  <c r="DV7" i="1"/>
  <c r="AA54" i="1"/>
  <c r="CP8" i="1"/>
  <c r="CQ8" i="1" s="1"/>
  <c r="CR8" i="1"/>
  <c r="GH9" i="1"/>
  <c r="FZ9" i="1"/>
  <c r="FR9" i="1"/>
  <c r="GG9" i="1"/>
  <c r="FY9" i="1"/>
  <c r="FQ9" i="1"/>
  <c r="GF9" i="1"/>
  <c r="FX9" i="1"/>
  <c r="FP9" i="1"/>
  <c r="Y10" i="1"/>
  <c r="GE9" i="1"/>
  <c r="FW9" i="1"/>
  <c r="GD9" i="1"/>
  <c r="FV9" i="1"/>
  <c r="GC9" i="1"/>
  <c r="FU9" i="1"/>
  <c r="GI9" i="1"/>
  <c r="GA9" i="1"/>
  <c r="FS9" i="1"/>
  <c r="GB9" i="1"/>
  <c r="FT9" i="1"/>
  <c r="DT32" i="1"/>
  <c r="DS32" i="1"/>
  <c r="DT59" i="1"/>
  <c r="DS59" i="1"/>
  <c r="X9" i="1"/>
  <c r="BU10" i="1"/>
  <c r="CF9" i="1"/>
  <c r="CD9" i="1"/>
  <c r="AA9" i="1" s="1"/>
  <c r="CH9" i="1"/>
  <c r="BC13" i="10"/>
  <c r="BD13" i="10" s="1"/>
  <c r="BE14" i="10"/>
  <c r="BC14" i="10" s="1"/>
  <c r="BD14" i="10" s="1"/>
  <c r="DS26" i="1"/>
  <c r="DT26" i="1"/>
  <c r="AI10" i="27"/>
  <c r="AJ11" i="27"/>
  <c r="DT36" i="1"/>
  <c r="DS36" i="1"/>
  <c r="DW14" i="1"/>
  <c r="DV14" i="1"/>
  <c r="DZ37" i="1"/>
  <c r="DY37" i="1"/>
  <c r="DS50" i="1"/>
  <c r="DT50" i="1"/>
  <c r="DY17" i="1"/>
  <c r="DZ17" i="1"/>
  <c r="DV41" i="1"/>
  <c r="DW41" i="1"/>
  <c r="DT15" i="1"/>
  <c r="DS15" i="1"/>
  <c r="DW58" i="1"/>
  <c r="DV58" i="1"/>
  <c r="DS57" i="1"/>
  <c r="DT57" i="1"/>
  <c r="DW38" i="1"/>
  <c r="DV38" i="1"/>
  <c r="DT61" i="1"/>
  <c r="DS61" i="1"/>
  <c r="AQ44" i="2"/>
  <c r="AQ24" i="2"/>
  <c r="AQ34" i="2"/>
  <c r="DW48" i="1"/>
  <c r="DV48" i="1"/>
  <c r="AO5" i="10"/>
  <c r="DV11" i="1"/>
  <c r="DW11" i="1"/>
  <c r="DZ47" i="1" l="1"/>
  <c r="DY47" i="1"/>
  <c r="DV6" i="1"/>
  <c r="DW6" i="1"/>
  <c r="DW54" i="1"/>
  <c r="DV54" i="1"/>
  <c r="EC21" i="1"/>
  <c r="EB21" i="1"/>
  <c r="O10" i="46"/>
  <c r="O28" i="46"/>
  <c r="T28" i="46" s="1"/>
  <c r="T9" i="46"/>
  <c r="T13" i="46" s="1"/>
  <c r="T16" i="46" s="1"/>
  <c r="DV59" i="1"/>
  <c r="DW59" i="1"/>
  <c r="DZ11" i="1"/>
  <c r="DY11" i="1"/>
  <c r="DV36" i="1"/>
  <c r="DW36" i="1"/>
  <c r="DY48" i="1"/>
  <c r="DZ48" i="1"/>
  <c r="DW15" i="1"/>
  <c r="DV15" i="1"/>
  <c r="DZ14" i="1"/>
  <c r="DY14" i="1"/>
  <c r="DW26" i="1"/>
  <c r="DV26" i="1"/>
  <c r="GI10" i="1"/>
  <c r="GA10" i="1"/>
  <c r="FS10" i="1"/>
  <c r="GH10" i="1"/>
  <c r="FZ10" i="1"/>
  <c r="FR10" i="1"/>
  <c r="GG10" i="1"/>
  <c r="FY10" i="1"/>
  <c r="FQ10" i="1"/>
  <c r="GF10" i="1"/>
  <c r="FX10" i="1"/>
  <c r="FP10" i="1"/>
  <c r="Y11" i="1"/>
  <c r="GE10" i="1"/>
  <c r="FW10" i="1"/>
  <c r="GD10" i="1"/>
  <c r="FV10" i="1"/>
  <c r="GB10" i="1"/>
  <c r="FT10" i="1"/>
  <c r="GC10" i="1"/>
  <c r="FU10" i="1"/>
  <c r="DY25" i="1"/>
  <c r="DZ25" i="1"/>
  <c r="DV28" i="1"/>
  <c r="DW28" i="1"/>
  <c r="DY51" i="1"/>
  <c r="DZ51" i="1"/>
  <c r="DW60" i="1"/>
  <c r="DV60" i="1"/>
  <c r="DW31" i="1"/>
  <c r="DV31" i="1"/>
  <c r="DV12" i="1"/>
  <c r="DW12" i="1"/>
  <c r="DY38" i="1"/>
  <c r="DZ38" i="1"/>
  <c r="EB39" i="1"/>
  <c r="EC39" i="1"/>
  <c r="CK11" i="1"/>
  <c r="CM10" i="1"/>
  <c r="CN10" i="1" s="1"/>
  <c r="CO10" i="1" s="1"/>
  <c r="P10" i="1"/>
  <c r="CL10" i="1"/>
  <c r="DZ19" i="1"/>
  <c r="DY19" i="1"/>
  <c r="EB46" i="1"/>
  <c r="EC46" i="1"/>
  <c r="AQ1" i="2"/>
  <c r="DY44" i="1"/>
  <c r="DZ44" i="1"/>
  <c r="DZ10" i="1"/>
  <c r="DY10" i="1"/>
  <c r="DV43" i="1"/>
  <c r="DW43" i="1"/>
  <c r="DY35" i="1"/>
  <c r="DZ35" i="1"/>
  <c r="AY14" i="10"/>
  <c r="AZ14" i="10"/>
  <c r="DW56" i="1"/>
  <c r="DV56" i="1"/>
  <c r="DV49" i="1"/>
  <c r="DW49" i="1"/>
  <c r="DY33" i="1"/>
  <c r="DZ33" i="1"/>
  <c r="DW8" i="1"/>
  <c r="DV8" i="1"/>
  <c r="DZ62" i="1"/>
  <c r="DY62" i="1"/>
  <c r="CK55" i="1"/>
  <c r="CM54" i="1"/>
  <c r="CN54" i="1" s="1"/>
  <c r="CO54" i="1" s="1"/>
  <c r="CL54" i="1"/>
  <c r="P54" i="1"/>
  <c r="EB37" i="1"/>
  <c r="EC37" i="1"/>
  <c r="DV32" i="1"/>
  <c r="DW32" i="1"/>
  <c r="DY29" i="1"/>
  <c r="DZ29" i="1"/>
  <c r="DZ55" i="1"/>
  <c r="DY55" i="1"/>
  <c r="EB20" i="1"/>
  <c r="EC20" i="1"/>
  <c r="CP9" i="1"/>
  <c r="CQ9" i="1" s="1"/>
  <c r="CR9" i="1"/>
  <c r="BA34" i="1"/>
  <c r="BB34" i="1" s="1"/>
  <c r="BI34" i="1"/>
  <c r="DY42" i="1"/>
  <c r="DZ42" i="1"/>
  <c r="DZ18" i="1"/>
  <c r="DY18" i="1"/>
  <c r="DV22" i="1"/>
  <c r="DW22" i="1"/>
  <c r="DZ9" i="1"/>
  <c r="DY9" i="1"/>
  <c r="DY53" i="1"/>
  <c r="DZ53" i="1"/>
  <c r="EE13" i="1"/>
  <c r="EF13" i="1"/>
  <c r="DY34" i="1"/>
  <c r="DZ34" i="1"/>
  <c r="EC45" i="1"/>
  <c r="EB45" i="1"/>
  <c r="DV30" i="1"/>
  <c r="DW30" i="1"/>
  <c r="CR53" i="1"/>
  <c r="CP53" i="1"/>
  <c r="CQ53" i="1" s="1"/>
  <c r="DW50" i="1"/>
  <c r="DV50" i="1"/>
  <c r="V13" i="10"/>
  <c r="BA13" i="10"/>
  <c r="DW57" i="1"/>
  <c r="DV57" i="1"/>
  <c r="DY58" i="1"/>
  <c r="DZ58" i="1"/>
  <c r="DY7" i="1"/>
  <c r="DZ7" i="1"/>
  <c r="DW23" i="1"/>
  <c r="DV23" i="1"/>
  <c r="AA60" i="1"/>
  <c r="AA55" i="1"/>
  <c r="EF16" i="1"/>
  <c r="EE16" i="1"/>
  <c r="DW52" i="1"/>
  <c r="DV52" i="1"/>
  <c r="DZ41" i="1"/>
  <c r="DY41" i="1"/>
  <c r="EB17" i="1"/>
  <c r="EC17" i="1"/>
  <c r="AI11" i="27"/>
  <c r="AJ12" i="27"/>
  <c r="BA18" i="10"/>
  <c r="V18" i="10"/>
  <c r="EB27" i="1"/>
  <c r="EC27" i="1"/>
  <c r="DV61" i="1"/>
  <c r="DW61" i="1"/>
  <c r="BU11" i="1"/>
  <c r="X10" i="1"/>
  <c r="CF10" i="1"/>
  <c r="CD10" i="1"/>
  <c r="CH10" i="1"/>
  <c r="AY19" i="10"/>
  <c r="AZ19" i="10"/>
  <c r="DV24" i="1"/>
  <c r="DW24" i="1"/>
  <c r="EB40" i="1"/>
  <c r="EC40" i="1"/>
  <c r="CH61" i="1"/>
  <c r="CF61" i="1"/>
  <c r="X61" i="1"/>
  <c r="BU62" i="1"/>
  <c r="CD61" i="1"/>
  <c r="R37" i="46"/>
  <c r="M36" i="46"/>
  <c r="L37" i="46"/>
  <c r="V35" i="1"/>
  <c r="I36" i="1"/>
  <c r="BF35" i="1"/>
  <c r="BG35" i="1"/>
  <c r="DY5" i="1"/>
  <c r="DZ5" i="1"/>
  <c r="DY6" i="1" l="1"/>
  <c r="DZ6" i="1"/>
  <c r="DY54" i="1"/>
  <c r="DZ54" i="1"/>
  <c r="EC47" i="1"/>
  <c r="EB47" i="1"/>
  <c r="DZ52" i="1"/>
  <c r="DY52" i="1"/>
  <c r="DZ23" i="1"/>
  <c r="DY23" i="1"/>
  <c r="EB34" i="1"/>
  <c r="EC34" i="1"/>
  <c r="CP10" i="1"/>
  <c r="CQ10" i="1" s="1"/>
  <c r="CR10" i="1" s="1"/>
  <c r="DZ12" i="1"/>
  <c r="DY12" i="1"/>
  <c r="DZ28" i="1"/>
  <c r="DY28" i="1"/>
  <c r="DZ32" i="1"/>
  <c r="DY32" i="1"/>
  <c r="DZ49" i="1"/>
  <c r="DY49" i="1"/>
  <c r="EC51" i="1"/>
  <c r="EB51" i="1"/>
  <c r="DY59" i="1"/>
  <c r="DZ59" i="1"/>
  <c r="DY61" i="1"/>
  <c r="DZ61" i="1"/>
  <c r="DZ50" i="1"/>
  <c r="DY50" i="1"/>
  <c r="EF17" i="1"/>
  <c r="EE17" i="1"/>
  <c r="AR3" i="2"/>
  <c r="AQ2" i="2"/>
  <c r="EE45" i="1"/>
  <c r="EF45" i="1"/>
  <c r="R38" i="46"/>
  <c r="M37" i="46"/>
  <c r="L38" i="46"/>
  <c r="EB9" i="1"/>
  <c r="EC9" i="1"/>
  <c r="EC55" i="1"/>
  <c r="EB55" i="1"/>
  <c r="EC25" i="1"/>
  <c r="EB25" i="1"/>
  <c r="O11" i="46"/>
  <c r="O29" i="46"/>
  <c r="T29" i="46" s="1"/>
  <c r="V19" i="10"/>
  <c r="BA19" i="10"/>
  <c r="CL55" i="1"/>
  <c r="CK56" i="1"/>
  <c r="CM55" i="1"/>
  <c r="CN55" i="1" s="1"/>
  <c r="CO55" i="1" s="1"/>
  <c r="P55" i="1"/>
  <c r="DZ43" i="1"/>
  <c r="DY43" i="1"/>
  <c r="AA10" i="1"/>
  <c r="EF27" i="1"/>
  <c r="EE27" i="1"/>
  <c r="EC7" i="1"/>
  <c r="EB7" i="1"/>
  <c r="BA35" i="1"/>
  <c r="BB35" i="1" s="1"/>
  <c r="BI35" i="1"/>
  <c r="DZ57" i="1"/>
  <c r="DY57" i="1"/>
  <c r="EU13" i="1"/>
  <c r="EW13" i="1" s="1"/>
  <c r="EL13" i="1"/>
  <c r="EN13" i="1" s="1"/>
  <c r="FA13" i="1"/>
  <c r="FC13" i="1" s="1"/>
  <c r="FJ13" i="1"/>
  <c r="FL13" i="1" s="1"/>
  <c r="ER13" i="1"/>
  <c r="ET13" i="1" s="1"/>
  <c r="EI13" i="1"/>
  <c r="FG13" i="1"/>
  <c r="FI13" i="1" s="1"/>
  <c r="EX13" i="1"/>
  <c r="EZ13" i="1" s="1"/>
  <c r="EH13" i="1"/>
  <c r="FD13" i="1"/>
  <c r="FF13" i="1" s="1"/>
  <c r="EO13" i="1"/>
  <c r="EQ13" i="1" s="1"/>
  <c r="EC29" i="1"/>
  <c r="EB29" i="1"/>
  <c r="DZ8" i="1"/>
  <c r="DY8" i="1"/>
  <c r="BA14" i="10"/>
  <c r="V14" i="10"/>
  <c r="EB10" i="1"/>
  <c r="EC10" i="1"/>
  <c r="DZ31" i="1"/>
  <c r="DY31" i="1"/>
  <c r="EE46" i="1"/>
  <c r="EF46" i="1"/>
  <c r="DZ26" i="1"/>
  <c r="DY26" i="1"/>
  <c r="V36" i="1"/>
  <c r="I37" i="1"/>
  <c r="BG36" i="1"/>
  <c r="BF36" i="1"/>
  <c r="AA61" i="1"/>
  <c r="DZ24" i="1"/>
  <c r="DY24" i="1"/>
  <c r="EC41" i="1"/>
  <c r="EB41" i="1"/>
  <c r="FD16" i="1"/>
  <c r="FF16" i="1" s="1"/>
  <c r="EU16" i="1"/>
  <c r="EW16" i="1" s="1"/>
  <c r="FJ16" i="1"/>
  <c r="FL16" i="1" s="1"/>
  <c r="EL16" i="1"/>
  <c r="EN16" i="1" s="1"/>
  <c r="FA16" i="1"/>
  <c r="FC16" i="1" s="1"/>
  <c r="FG16" i="1"/>
  <c r="FI16" i="1" s="1"/>
  <c r="EI16" i="1"/>
  <c r="EX16" i="1"/>
  <c r="EZ16" i="1" s="1"/>
  <c r="ER16" i="1"/>
  <c r="ET16" i="1" s="1"/>
  <c r="EO16" i="1"/>
  <c r="EQ16" i="1" s="1"/>
  <c r="EH16" i="1"/>
  <c r="EC58" i="1"/>
  <c r="EB58" i="1"/>
  <c r="EB33" i="1"/>
  <c r="EC33" i="1"/>
  <c r="GB11" i="1"/>
  <c r="FT11" i="1"/>
  <c r="GI11" i="1"/>
  <c r="GA11" i="1"/>
  <c r="FS11" i="1"/>
  <c r="GH11" i="1"/>
  <c r="FZ11" i="1"/>
  <c r="FR11" i="1"/>
  <c r="GG11" i="1"/>
  <c r="FY11" i="1"/>
  <c r="FQ11" i="1"/>
  <c r="GF11" i="1"/>
  <c r="FX11" i="1"/>
  <c r="FP11" i="1"/>
  <c r="Y12" i="1"/>
  <c r="GE11" i="1"/>
  <c r="FW11" i="1"/>
  <c r="GC11" i="1"/>
  <c r="FU11" i="1"/>
  <c r="GD11" i="1"/>
  <c r="FV11" i="1"/>
  <c r="EC14" i="1"/>
  <c r="EB14" i="1"/>
  <c r="EC11" i="1"/>
  <c r="EB11" i="1"/>
  <c r="EF21" i="1"/>
  <c r="EE21" i="1"/>
  <c r="AI12" i="27"/>
  <c r="AJ13" i="27"/>
  <c r="CP54" i="1"/>
  <c r="CQ54" i="1" s="1"/>
  <c r="CR54" i="1" s="1"/>
  <c r="DZ15" i="1"/>
  <c r="DY15" i="1"/>
  <c r="EB42" i="1"/>
  <c r="EC42" i="1"/>
  <c r="EC48" i="1"/>
  <c r="EB48" i="1"/>
  <c r="EB5" i="1"/>
  <c r="EC5" i="1"/>
  <c r="EE37" i="1"/>
  <c r="EF37" i="1"/>
  <c r="EB62" i="1"/>
  <c r="EC62" i="1"/>
  <c r="DZ56" i="1"/>
  <c r="DY56" i="1"/>
  <c r="P11" i="1"/>
  <c r="CK12" i="1"/>
  <c r="CL11" i="1"/>
  <c r="CM11" i="1"/>
  <c r="CN11" i="1" s="1"/>
  <c r="CO11" i="1" s="1"/>
  <c r="DZ36" i="1"/>
  <c r="DY36" i="1"/>
  <c r="EF40" i="1"/>
  <c r="EE40" i="1"/>
  <c r="DZ30" i="1"/>
  <c r="DY30" i="1"/>
  <c r="DZ22" i="1"/>
  <c r="DY22" i="1"/>
  <c r="EE39" i="1"/>
  <c r="EF39" i="1"/>
  <c r="CF62" i="1"/>
  <c r="X62" i="1"/>
  <c r="CH62" i="1"/>
  <c r="CD62" i="1"/>
  <c r="BU12" i="1"/>
  <c r="X11" i="1"/>
  <c r="CH11" i="1"/>
  <c r="CF11" i="1"/>
  <c r="CD11" i="1"/>
  <c r="AA11" i="1" s="1"/>
  <c r="EC53" i="1"/>
  <c r="EB53" i="1"/>
  <c r="EC18" i="1"/>
  <c r="EB18" i="1"/>
  <c r="EF20" i="1"/>
  <c r="EE20" i="1"/>
  <c r="EC35" i="1"/>
  <c r="EB35" i="1"/>
  <c r="EC44" i="1"/>
  <c r="EB44" i="1"/>
  <c r="EC19" i="1"/>
  <c r="EB19" i="1"/>
  <c r="EB38" i="1"/>
  <c r="EC38" i="1"/>
  <c r="DZ60" i="1"/>
  <c r="DY60" i="1"/>
  <c r="EE47" i="1" l="1"/>
  <c r="EF47" i="1"/>
  <c r="EC54" i="1"/>
  <c r="EB54" i="1"/>
  <c r="EB6" i="1"/>
  <c r="EC6" i="1"/>
  <c r="EB60" i="1"/>
  <c r="EC60" i="1"/>
  <c r="EF53" i="1"/>
  <c r="EE53" i="1"/>
  <c r="EC36" i="1"/>
  <c r="EB36" i="1"/>
  <c r="GC12" i="1"/>
  <c r="FU12" i="1"/>
  <c r="GB12" i="1"/>
  <c r="FT12" i="1"/>
  <c r="GI12" i="1"/>
  <c r="GA12" i="1"/>
  <c r="FS12" i="1"/>
  <c r="GH12" i="1"/>
  <c r="FZ12" i="1"/>
  <c r="FR12" i="1"/>
  <c r="GG12" i="1"/>
  <c r="FY12" i="1"/>
  <c r="FQ12" i="1"/>
  <c r="GF12" i="1"/>
  <c r="FX12" i="1"/>
  <c r="FP12" i="1"/>
  <c r="GD12" i="1"/>
  <c r="FV12" i="1"/>
  <c r="Y13" i="1"/>
  <c r="GE12" i="1"/>
  <c r="FW12" i="1"/>
  <c r="EE33" i="1"/>
  <c r="EF33" i="1"/>
  <c r="EC31" i="1"/>
  <c r="EB31" i="1"/>
  <c r="EK13" i="1"/>
  <c r="S13" i="1"/>
  <c r="S26" i="1" s="1"/>
  <c r="EC30" i="1"/>
  <c r="EB30" i="1"/>
  <c r="EF62" i="1"/>
  <c r="EE62" i="1"/>
  <c r="EE48" i="1"/>
  <c r="EF48" i="1"/>
  <c r="EF14" i="1"/>
  <c r="EE14" i="1"/>
  <c r="EK16" i="1"/>
  <c r="S16" i="1"/>
  <c r="EF10" i="1"/>
  <c r="EE10" i="1"/>
  <c r="EF29" i="1"/>
  <c r="EE29" i="1"/>
  <c r="EC43" i="1"/>
  <c r="EB43" i="1"/>
  <c r="R39" i="46"/>
  <c r="M38" i="46"/>
  <c r="L39" i="46"/>
  <c r="EO17" i="1"/>
  <c r="EQ17" i="1" s="1"/>
  <c r="FD17" i="1"/>
  <c r="FF17" i="1" s="1"/>
  <c r="EU17" i="1"/>
  <c r="EW17" i="1" s="1"/>
  <c r="FJ17" i="1"/>
  <c r="FL17" i="1" s="1"/>
  <c r="EL17" i="1"/>
  <c r="EN17" i="1" s="1"/>
  <c r="ER17" i="1"/>
  <c r="ET17" i="1" s="1"/>
  <c r="FG17" i="1"/>
  <c r="FI17" i="1" s="1"/>
  <c r="EI17" i="1"/>
  <c r="EK17" i="1" s="1"/>
  <c r="FA17" i="1"/>
  <c r="FC17" i="1" s="1"/>
  <c r="EH17" i="1"/>
  <c r="EX17" i="1"/>
  <c r="EZ17" i="1" s="1"/>
  <c r="EB61" i="1"/>
  <c r="EC61" i="1"/>
  <c r="EB49" i="1"/>
  <c r="EC49" i="1"/>
  <c r="EU39" i="1"/>
  <c r="EW39" i="1" s="1"/>
  <c r="FJ39" i="1"/>
  <c r="FL39" i="1" s="1"/>
  <c r="EL39" i="1"/>
  <c r="EN39" i="1" s="1"/>
  <c r="ER39" i="1"/>
  <c r="ET39" i="1" s="1"/>
  <c r="FD39" i="1"/>
  <c r="FF39" i="1" s="1"/>
  <c r="EX39" i="1"/>
  <c r="EZ39" i="1" s="1"/>
  <c r="EH39" i="1"/>
  <c r="FG39" i="1"/>
  <c r="FI39" i="1" s="1"/>
  <c r="EI39" i="1"/>
  <c r="FA39" i="1"/>
  <c r="FC39" i="1" s="1"/>
  <c r="EO39" i="1"/>
  <c r="EQ39" i="1" s="1"/>
  <c r="EO40" i="1"/>
  <c r="EQ40" i="1" s="1"/>
  <c r="FD40" i="1"/>
  <c r="FF40" i="1" s="1"/>
  <c r="FJ40" i="1"/>
  <c r="FL40" i="1" s="1"/>
  <c r="EL40" i="1"/>
  <c r="EN40" i="1" s="1"/>
  <c r="EX40" i="1"/>
  <c r="EZ40" i="1" s="1"/>
  <c r="EH40" i="1"/>
  <c r="FA40" i="1"/>
  <c r="FC40" i="1" s="1"/>
  <c r="EI40" i="1"/>
  <c r="EK40" i="1" s="1"/>
  <c r="EU40" i="1"/>
  <c r="EW40" i="1" s="1"/>
  <c r="FG40" i="1"/>
  <c r="FI40" i="1" s="1"/>
  <c r="ER40" i="1"/>
  <c r="ET40" i="1" s="1"/>
  <c r="CL12" i="1"/>
  <c r="P12" i="1"/>
  <c r="CK13" i="1"/>
  <c r="CM12" i="1"/>
  <c r="CN12" i="1" s="1"/>
  <c r="CO12" i="1" s="1"/>
  <c r="EU37" i="1"/>
  <c r="EW37" i="1" s="1"/>
  <c r="ER37" i="1"/>
  <c r="ET37" i="1" s="1"/>
  <c r="FG37" i="1"/>
  <c r="FI37" i="1" s="1"/>
  <c r="EL37" i="1"/>
  <c r="EN37" i="1" s="1"/>
  <c r="EI37" i="1"/>
  <c r="FD37" i="1"/>
  <c r="FF37" i="1" s="1"/>
  <c r="EH37" i="1"/>
  <c r="EX37" i="1"/>
  <c r="EZ37" i="1" s="1"/>
  <c r="FA37" i="1"/>
  <c r="FC37" i="1" s="1"/>
  <c r="EO37" i="1"/>
  <c r="EQ37" i="1" s="1"/>
  <c r="FJ37" i="1"/>
  <c r="FL37" i="1" s="1"/>
  <c r="EF42" i="1"/>
  <c r="EE42" i="1"/>
  <c r="EB26" i="1"/>
  <c r="EC26" i="1"/>
  <c r="EF34" i="1"/>
  <c r="EE34" i="1"/>
  <c r="I38" i="1"/>
  <c r="V37" i="1"/>
  <c r="BG37" i="1"/>
  <c r="BF37" i="1"/>
  <c r="EC12" i="1"/>
  <c r="EB12" i="1"/>
  <c r="CP11" i="1"/>
  <c r="CQ11" i="1" s="1"/>
  <c r="CR11" i="1" s="1"/>
  <c r="EF41" i="1"/>
  <c r="EE41" i="1"/>
  <c r="O30" i="46"/>
  <c r="O12" i="46"/>
  <c r="EF19" i="1"/>
  <c r="EE19" i="1"/>
  <c r="ER20" i="1"/>
  <c r="ET20" i="1" s="1"/>
  <c r="FG20" i="1"/>
  <c r="FI20" i="1" s="1"/>
  <c r="EI20" i="1"/>
  <c r="EK20" i="1" s="1"/>
  <c r="EX20" i="1"/>
  <c r="EZ20" i="1" s="1"/>
  <c r="EH20" i="1"/>
  <c r="EO20" i="1"/>
  <c r="EQ20" i="1" s="1"/>
  <c r="FD20" i="1"/>
  <c r="FF20" i="1" s="1"/>
  <c r="EU20" i="1"/>
  <c r="EW20" i="1" s="1"/>
  <c r="FA20" i="1"/>
  <c r="FC20" i="1" s="1"/>
  <c r="EL20" i="1"/>
  <c r="EN20" i="1" s="1"/>
  <c r="FJ20" i="1"/>
  <c r="FL20" i="1" s="1"/>
  <c r="FA21" i="1"/>
  <c r="FC21" i="1" s="1"/>
  <c r="ER21" i="1"/>
  <c r="ET21" i="1" s="1"/>
  <c r="FG21" i="1"/>
  <c r="FI21" i="1" s="1"/>
  <c r="EI21" i="1"/>
  <c r="EK21" i="1" s="1"/>
  <c r="EX21" i="1"/>
  <c r="EZ21" i="1" s="1"/>
  <c r="EH21" i="1"/>
  <c r="EO21" i="1"/>
  <c r="EQ21" i="1" s="1"/>
  <c r="FD21" i="1"/>
  <c r="FF21" i="1" s="1"/>
  <c r="EL21" i="1"/>
  <c r="EN21" i="1" s="1"/>
  <c r="FJ21" i="1"/>
  <c r="FL21" i="1" s="1"/>
  <c r="EU21" i="1"/>
  <c r="EW21" i="1" s="1"/>
  <c r="EF58" i="1"/>
  <c r="EE58" i="1"/>
  <c r="EC24" i="1"/>
  <c r="EB24" i="1"/>
  <c r="EU46" i="1"/>
  <c r="EW46" i="1" s="1"/>
  <c r="ER46" i="1"/>
  <c r="ET46" i="1" s="1"/>
  <c r="FD46" i="1"/>
  <c r="FF46" i="1" s="1"/>
  <c r="FA46" i="1"/>
  <c r="FC46" i="1" s="1"/>
  <c r="EO46" i="1"/>
  <c r="EQ46" i="1" s="1"/>
  <c r="EL46" i="1"/>
  <c r="EN46" i="1" s="1"/>
  <c r="FJ46" i="1"/>
  <c r="FL46" i="1" s="1"/>
  <c r="EX46" i="1"/>
  <c r="EZ46" i="1" s="1"/>
  <c r="EI46" i="1"/>
  <c r="EH46" i="1"/>
  <c r="FG46" i="1"/>
  <c r="FI46" i="1" s="1"/>
  <c r="EF7" i="1"/>
  <c r="EE7" i="1"/>
  <c r="CP55" i="1"/>
  <c r="CQ55" i="1" s="1"/>
  <c r="CR55" i="1" s="1"/>
  <c r="EC59" i="1"/>
  <c r="EB59" i="1"/>
  <c r="EC32" i="1"/>
  <c r="EB32" i="1"/>
  <c r="EE51" i="1"/>
  <c r="EF51" i="1"/>
  <c r="EF35" i="1"/>
  <c r="EE35" i="1"/>
  <c r="EF25" i="1"/>
  <c r="EE25" i="1"/>
  <c r="EF44" i="1"/>
  <c r="EE44" i="1"/>
  <c r="EF18" i="1"/>
  <c r="EE18" i="1"/>
  <c r="AA62" i="1"/>
  <c r="EC22" i="1"/>
  <c r="EB22" i="1"/>
  <c r="EF5" i="1"/>
  <c r="EE5" i="1"/>
  <c r="EC15" i="1"/>
  <c r="EB15" i="1"/>
  <c r="EF11" i="1"/>
  <c r="EE11" i="1"/>
  <c r="BA36" i="1"/>
  <c r="BB36" i="1" s="1"/>
  <c r="BI36" i="1"/>
  <c r="ER27" i="1"/>
  <c r="ET27" i="1" s="1"/>
  <c r="FG27" i="1"/>
  <c r="FI27" i="1" s="1"/>
  <c r="EI27" i="1"/>
  <c r="EK27" i="1" s="1"/>
  <c r="EX27" i="1"/>
  <c r="EZ27" i="1" s="1"/>
  <c r="EH27" i="1"/>
  <c r="EO27" i="1"/>
  <c r="EQ27" i="1" s="1"/>
  <c r="FD27" i="1"/>
  <c r="FF27" i="1" s="1"/>
  <c r="FA27" i="1"/>
  <c r="FC27" i="1" s="1"/>
  <c r="EL27" i="1"/>
  <c r="EN27" i="1" s="1"/>
  <c r="FJ27" i="1"/>
  <c r="FL27" i="1" s="1"/>
  <c r="EU27" i="1"/>
  <c r="EW27" i="1" s="1"/>
  <c r="EB50" i="1"/>
  <c r="EC50" i="1"/>
  <c r="EC28" i="1"/>
  <c r="EB28" i="1"/>
  <c r="EC23" i="1"/>
  <c r="EB23" i="1"/>
  <c r="EF9" i="1"/>
  <c r="EE9" i="1"/>
  <c r="EF38" i="1"/>
  <c r="EE38" i="1"/>
  <c r="AI13" i="27"/>
  <c r="AJ14" i="27"/>
  <c r="EB52" i="1"/>
  <c r="EC52" i="1"/>
  <c r="BU13" i="1"/>
  <c r="X12" i="1"/>
  <c r="CH12" i="1"/>
  <c r="CF12" i="1"/>
  <c r="CD12" i="1"/>
  <c r="AA12" i="1" s="1"/>
  <c r="CK57" i="1"/>
  <c r="CM56" i="1"/>
  <c r="CN56" i="1" s="1"/>
  <c r="CO56" i="1" s="1"/>
  <c r="CL56" i="1"/>
  <c r="P56" i="1"/>
  <c r="EO45" i="1"/>
  <c r="EQ45" i="1" s="1"/>
  <c r="FJ45" i="1"/>
  <c r="FL45" i="1" s="1"/>
  <c r="EL45" i="1"/>
  <c r="EN45" i="1" s="1"/>
  <c r="EX45" i="1"/>
  <c r="EZ45" i="1" s="1"/>
  <c r="FG45" i="1"/>
  <c r="FI45" i="1" s="1"/>
  <c r="EU45" i="1"/>
  <c r="EW45" i="1" s="1"/>
  <c r="ER45" i="1"/>
  <c r="ET45" i="1" s="1"/>
  <c r="EI45" i="1"/>
  <c r="EH45" i="1"/>
  <c r="FD45" i="1"/>
  <c r="FF45" i="1" s="1"/>
  <c r="FA45" i="1"/>
  <c r="FC45" i="1" s="1"/>
  <c r="EB56" i="1"/>
  <c r="EC56" i="1"/>
  <c r="EC8" i="1"/>
  <c r="EB8" i="1"/>
  <c r="EB57" i="1"/>
  <c r="EC57" i="1"/>
  <c r="EE55" i="1"/>
  <c r="EF55" i="1"/>
  <c r="S17" i="1" l="1"/>
  <c r="EF54" i="1"/>
  <c r="EE54" i="1"/>
  <c r="S27" i="1"/>
  <c r="EE6" i="1"/>
  <c r="EF6" i="1"/>
  <c r="EO47" i="1"/>
  <c r="EQ47" i="1" s="1"/>
  <c r="FA47" i="1"/>
  <c r="FC47" i="1" s="1"/>
  <c r="EI47" i="1"/>
  <c r="EU47" i="1"/>
  <c r="EW47" i="1" s="1"/>
  <c r="EX47" i="1"/>
  <c r="EZ47" i="1" s="1"/>
  <c r="ER47" i="1"/>
  <c r="ET47" i="1" s="1"/>
  <c r="FJ47" i="1"/>
  <c r="FL47" i="1" s="1"/>
  <c r="EH47" i="1"/>
  <c r="EL47" i="1"/>
  <c r="EN47" i="1" s="1"/>
  <c r="FG47" i="1"/>
  <c r="FI47" i="1" s="1"/>
  <c r="FD47" i="1"/>
  <c r="FF47" i="1" s="1"/>
  <c r="FA11" i="1"/>
  <c r="FC11" i="1" s="1"/>
  <c r="ER11" i="1"/>
  <c r="ET11" i="1" s="1"/>
  <c r="FG11" i="1"/>
  <c r="FI11" i="1" s="1"/>
  <c r="EI11" i="1"/>
  <c r="EK11" i="1" s="1"/>
  <c r="EX11" i="1"/>
  <c r="EZ11" i="1" s="1"/>
  <c r="EH11" i="1"/>
  <c r="EO11" i="1"/>
  <c r="EQ11" i="1" s="1"/>
  <c r="FD11" i="1"/>
  <c r="FF11" i="1" s="1"/>
  <c r="FJ11" i="1"/>
  <c r="FL11" i="1" s="1"/>
  <c r="EL11" i="1"/>
  <c r="EN11" i="1" s="1"/>
  <c r="EU11" i="1"/>
  <c r="EW11" i="1" s="1"/>
  <c r="EE22" i="1"/>
  <c r="EF22" i="1"/>
  <c r="FG34" i="1"/>
  <c r="FI34" i="1" s="1"/>
  <c r="EI34" i="1"/>
  <c r="EK34" i="1" s="1"/>
  <c r="FD34" i="1"/>
  <c r="FF34" i="1" s="1"/>
  <c r="EH34" i="1"/>
  <c r="ER34" i="1"/>
  <c r="ET34" i="1" s="1"/>
  <c r="FA34" i="1"/>
  <c r="FC34" i="1" s="1"/>
  <c r="FJ34" i="1"/>
  <c r="FL34" i="1" s="1"/>
  <c r="EO34" i="1"/>
  <c r="EQ34" i="1" s="1"/>
  <c r="EU34" i="1"/>
  <c r="EW34" i="1" s="1"/>
  <c r="EX34" i="1"/>
  <c r="EZ34" i="1" s="1"/>
  <c r="EL34" i="1"/>
  <c r="EN34" i="1" s="1"/>
  <c r="CR12" i="1"/>
  <c r="CP12" i="1"/>
  <c r="CQ12" i="1" s="1"/>
  <c r="EF43" i="1"/>
  <c r="EE43" i="1"/>
  <c r="EE23" i="1"/>
  <c r="EF23" i="1"/>
  <c r="EU51" i="1"/>
  <c r="EW51" i="1" s="1"/>
  <c r="FJ51" i="1"/>
  <c r="FL51" i="1" s="1"/>
  <c r="EL51" i="1"/>
  <c r="EN51" i="1" s="1"/>
  <c r="FA51" i="1"/>
  <c r="FC51" i="1" s="1"/>
  <c r="ER51" i="1"/>
  <c r="ET51" i="1" s="1"/>
  <c r="FD51" i="1"/>
  <c r="FF51" i="1" s="1"/>
  <c r="FG51" i="1"/>
  <c r="FI51" i="1" s="1"/>
  <c r="EO51" i="1"/>
  <c r="EQ51" i="1" s="1"/>
  <c r="EI51" i="1"/>
  <c r="EK51" i="1" s="1"/>
  <c r="EH51" i="1"/>
  <c r="EX51" i="1"/>
  <c r="EZ51" i="1" s="1"/>
  <c r="FD25" i="1"/>
  <c r="FF25" i="1" s="1"/>
  <c r="EU25" i="1"/>
  <c r="EW25" i="1" s="1"/>
  <c r="FJ25" i="1"/>
  <c r="FL25" i="1" s="1"/>
  <c r="EL25" i="1"/>
  <c r="EN25" i="1" s="1"/>
  <c r="FA25" i="1"/>
  <c r="FC25" i="1" s="1"/>
  <c r="EO25" i="1"/>
  <c r="EQ25" i="1" s="1"/>
  <c r="FG25" i="1"/>
  <c r="FI25" i="1" s="1"/>
  <c r="EI25" i="1"/>
  <c r="EH25" i="1"/>
  <c r="EX25" i="1"/>
  <c r="EZ25" i="1" s="1"/>
  <c r="ER25" i="1"/>
  <c r="ET25" i="1" s="1"/>
  <c r="S20" i="1"/>
  <c r="O31" i="46"/>
  <c r="T30" i="46"/>
  <c r="EF26" i="1"/>
  <c r="EE26" i="1"/>
  <c r="EE28" i="1"/>
  <c r="EF28" i="1"/>
  <c r="EE15" i="1"/>
  <c r="EF15" i="1"/>
  <c r="EE32" i="1"/>
  <c r="EF32" i="1"/>
  <c r="BA37" i="1"/>
  <c r="BB37" i="1" s="1"/>
  <c r="BI37" i="1"/>
  <c r="EK39" i="1"/>
  <c r="S39" i="1"/>
  <c r="FA14" i="1"/>
  <c r="FC14" i="1" s="1"/>
  <c r="FG14" i="1"/>
  <c r="FI14" i="1" s="1"/>
  <c r="EI14" i="1"/>
  <c r="EK14" i="1" s="1"/>
  <c r="EX14" i="1"/>
  <c r="EZ14" i="1" s="1"/>
  <c r="EH14" i="1"/>
  <c r="FD14" i="1"/>
  <c r="FF14" i="1" s="1"/>
  <c r="EU14" i="1"/>
  <c r="EW14" i="1" s="1"/>
  <c r="FJ14" i="1"/>
  <c r="FL14" i="1" s="1"/>
  <c r="ER14" i="1"/>
  <c r="ET14" i="1" s="1"/>
  <c r="EO14" i="1"/>
  <c r="EQ14" i="1" s="1"/>
  <c r="EL14" i="1"/>
  <c r="EN14" i="1" s="1"/>
  <c r="FD53" i="1"/>
  <c r="FF53" i="1" s="1"/>
  <c r="EU53" i="1"/>
  <c r="EW53" i="1" s="1"/>
  <c r="FJ53" i="1"/>
  <c r="FL53" i="1" s="1"/>
  <c r="EL53" i="1"/>
  <c r="EN53" i="1" s="1"/>
  <c r="FA53" i="1"/>
  <c r="FC53" i="1" s="1"/>
  <c r="EO53" i="1"/>
  <c r="EQ53" i="1" s="1"/>
  <c r="EX53" i="1"/>
  <c r="EZ53" i="1" s="1"/>
  <c r="ER53" i="1"/>
  <c r="ET53" i="1" s="1"/>
  <c r="FG53" i="1"/>
  <c r="FI53" i="1" s="1"/>
  <c r="EI53" i="1"/>
  <c r="EH53" i="1"/>
  <c r="FJ55" i="1"/>
  <c r="FL55" i="1" s="1"/>
  <c r="EL55" i="1"/>
  <c r="EN55" i="1" s="1"/>
  <c r="FA55" i="1"/>
  <c r="FC55" i="1" s="1"/>
  <c r="ER55" i="1"/>
  <c r="ET55" i="1" s="1"/>
  <c r="FG55" i="1"/>
  <c r="FI55" i="1" s="1"/>
  <c r="EI55" i="1"/>
  <c r="EU55" i="1"/>
  <c r="EW55" i="1" s="1"/>
  <c r="EH55" i="1"/>
  <c r="FD55" i="1"/>
  <c r="FF55" i="1" s="1"/>
  <c r="EX55" i="1"/>
  <c r="EZ55" i="1" s="1"/>
  <c r="EO55" i="1"/>
  <c r="EQ55" i="1" s="1"/>
  <c r="EK45" i="1"/>
  <c r="S45" i="1"/>
  <c r="BU14" i="1"/>
  <c r="X13" i="1"/>
  <c r="X26" i="1" s="1"/>
  <c r="CH13" i="1"/>
  <c r="CF13" i="1"/>
  <c r="CD13" i="1"/>
  <c r="AA13" i="1" s="1"/>
  <c r="AA26" i="1" s="1"/>
  <c r="EX18" i="1"/>
  <c r="EZ18" i="1" s="1"/>
  <c r="EH18" i="1"/>
  <c r="EO18" i="1"/>
  <c r="EQ18" i="1" s="1"/>
  <c r="FD18" i="1"/>
  <c r="FF18" i="1" s="1"/>
  <c r="EU18" i="1"/>
  <c r="EW18" i="1" s="1"/>
  <c r="FA18" i="1"/>
  <c r="FC18" i="1" s="1"/>
  <c r="FJ18" i="1"/>
  <c r="FL18" i="1" s="1"/>
  <c r="EL18" i="1"/>
  <c r="EN18" i="1" s="1"/>
  <c r="FG18" i="1"/>
  <c r="FI18" i="1" s="1"/>
  <c r="EI18" i="1"/>
  <c r="ER18" i="1"/>
  <c r="ET18" i="1" s="1"/>
  <c r="EK37" i="1"/>
  <c r="S37" i="1"/>
  <c r="EF49" i="1"/>
  <c r="EE49" i="1"/>
  <c r="FD29" i="1"/>
  <c r="FF29" i="1" s="1"/>
  <c r="EU29" i="1"/>
  <c r="EW29" i="1" s="1"/>
  <c r="FJ29" i="1"/>
  <c r="FL29" i="1" s="1"/>
  <c r="EL29" i="1"/>
  <c r="EN29" i="1" s="1"/>
  <c r="FA29" i="1"/>
  <c r="FC29" i="1" s="1"/>
  <c r="ER29" i="1"/>
  <c r="ET29" i="1" s="1"/>
  <c r="EO29" i="1"/>
  <c r="EQ29" i="1" s="1"/>
  <c r="EX29" i="1"/>
  <c r="EZ29" i="1" s="1"/>
  <c r="EI29" i="1"/>
  <c r="EH29" i="1"/>
  <c r="FG29" i="1"/>
  <c r="FI29" i="1" s="1"/>
  <c r="GI13" i="1"/>
  <c r="GA13" i="1"/>
  <c r="FS13" i="1"/>
  <c r="GG13" i="1"/>
  <c r="FY13" i="1"/>
  <c r="FQ13" i="1"/>
  <c r="GB13" i="1"/>
  <c r="FP13" i="1"/>
  <c r="FZ13" i="1"/>
  <c r="Y14" i="1"/>
  <c r="FX13" i="1"/>
  <c r="GH13" i="1"/>
  <c r="FW13" i="1"/>
  <c r="GF13" i="1"/>
  <c r="FV13" i="1"/>
  <c r="GE13" i="1"/>
  <c r="FU13" i="1"/>
  <c r="GC13" i="1"/>
  <c r="FR13" i="1"/>
  <c r="GD13" i="1"/>
  <c r="FT13" i="1"/>
  <c r="EE60" i="1"/>
  <c r="EF60" i="1"/>
  <c r="EK46" i="1"/>
  <c r="S46" i="1"/>
  <c r="FG19" i="1"/>
  <c r="FI19" i="1" s="1"/>
  <c r="EI19" i="1"/>
  <c r="EK19" i="1" s="1"/>
  <c r="EX19" i="1"/>
  <c r="EZ19" i="1" s="1"/>
  <c r="EH19" i="1"/>
  <c r="EO19" i="1"/>
  <c r="EQ19" i="1" s="1"/>
  <c r="FD19" i="1"/>
  <c r="FF19" i="1" s="1"/>
  <c r="FJ19" i="1"/>
  <c r="FL19" i="1" s="1"/>
  <c r="EL19" i="1"/>
  <c r="EN19" i="1" s="1"/>
  <c r="FA19" i="1"/>
  <c r="FC19" i="1" s="1"/>
  <c r="EU19" i="1"/>
  <c r="EW19" i="1" s="1"/>
  <c r="ER19" i="1"/>
  <c r="ET19" i="1" s="1"/>
  <c r="EF56" i="1"/>
  <c r="EE56" i="1"/>
  <c r="EF52" i="1"/>
  <c r="EE52" i="1"/>
  <c r="FG9" i="1"/>
  <c r="FI9" i="1" s="1"/>
  <c r="EI9" i="1"/>
  <c r="EX9" i="1"/>
  <c r="EZ9" i="1" s="1"/>
  <c r="EH9" i="1"/>
  <c r="EO9" i="1"/>
  <c r="EQ9" i="1" s="1"/>
  <c r="FD9" i="1"/>
  <c r="FF9" i="1" s="1"/>
  <c r="EU9" i="1"/>
  <c r="EW9" i="1" s="1"/>
  <c r="FJ9" i="1"/>
  <c r="FL9" i="1" s="1"/>
  <c r="EL9" i="1"/>
  <c r="EN9" i="1" s="1"/>
  <c r="ER9" i="1"/>
  <c r="ET9" i="1" s="1"/>
  <c r="FA9" i="1"/>
  <c r="FC9" i="1" s="1"/>
  <c r="EO5" i="1"/>
  <c r="EQ5" i="1" s="1"/>
  <c r="FD5" i="1"/>
  <c r="FF5" i="1" s="1"/>
  <c r="EU5" i="1"/>
  <c r="EW5" i="1" s="1"/>
  <c r="FJ5" i="1"/>
  <c r="FL5" i="1" s="1"/>
  <c r="EL5" i="1"/>
  <c r="EN5" i="1" s="1"/>
  <c r="ER5" i="1"/>
  <c r="ET5" i="1" s="1"/>
  <c r="EX5" i="1"/>
  <c r="EZ5" i="1" s="1"/>
  <c r="EH5" i="1"/>
  <c r="FG5" i="1"/>
  <c r="FI5" i="1" s="1"/>
  <c r="FA5" i="1"/>
  <c r="FC5" i="1" s="1"/>
  <c r="EI5" i="1"/>
  <c r="EK5" i="1" s="1"/>
  <c r="EE59" i="1"/>
  <c r="EF59" i="1"/>
  <c r="EO7" i="1"/>
  <c r="EQ7" i="1" s="1"/>
  <c r="FD7" i="1"/>
  <c r="FF7" i="1" s="1"/>
  <c r="EU7" i="1"/>
  <c r="EW7" i="1" s="1"/>
  <c r="FJ7" i="1"/>
  <c r="FL7" i="1" s="1"/>
  <c r="EL7" i="1"/>
  <c r="EN7" i="1" s="1"/>
  <c r="FA7" i="1"/>
  <c r="FC7" i="1" s="1"/>
  <c r="ER7" i="1"/>
  <c r="ET7" i="1" s="1"/>
  <c r="EX7" i="1"/>
  <c r="EZ7" i="1" s="1"/>
  <c r="EH7" i="1"/>
  <c r="FG7" i="1"/>
  <c r="FI7" i="1" s="1"/>
  <c r="EI7" i="1"/>
  <c r="FD58" i="1"/>
  <c r="FF58" i="1" s="1"/>
  <c r="EU58" i="1"/>
  <c r="EW58" i="1" s="1"/>
  <c r="FJ58" i="1"/>
  <c r="FL58" i="1" s="1"/>
  <c r="EL58" i="1"/>
  <c r="EN58" i="1" s="1"/>
  <c r="FA58" i="1"/>
  <c r="FC58" i="1" s="1"/>
  <c r="EO58" i="1"/>
  <c r="EQ58" i="1" s="1"/>
  <c r="ER58" i="1"/>
  <c r="ET58" i="1" s="1"/>
  <c r="FG58" i="1"/>
  <c r="FI58" i="1" s="1"/>
  <c r="EI58" i="1"/>
  <c r="EX58" i="1"/>
  <c r="EZ58" i="1" s="1"/>
  <c r="EH58" i="1"/>
  <c r="FA41" i="1"/>
  <c r="FC41" i="1" s="1"/>
  <c r="ER41" i="1"/>
  <c r="ET41" i="1" s="1"/>
  <c r="FG41" i="1"/>
  <c r="FI41" i="1" s="1"/>
  <c r="EI41" i="1"/>
  <c r="EX41" i="1"/>
  <c r="EZ41" i="1" s="1"/>
  <c r="EH41" i="1"/>
  <c r="FJ41" i="1"/>
  <c r="FL41" i="1" s="1"/>
  <c r="EL41" i="1"/>
  <c r="EN41" i="1" s="1"/>
  <c r="EO41" i="1"/>
  <c r="EQ41" i="1" s="1"/>
  <c r="FD41" i="1"/>
  <c r="FF41" i="1" s="1"/>
  <c r="EU41" i="1"/>
  <c r="EW41" i="1" s="1"/>
  <c r="EO42" i="1"/>
  <c r="EQ42" i="1" s="1"/>
  <c r="FD42" i="1"/>
  <c r="FF42" i="1" s="1"/>
  <c r="EU42" i="1"/>
  <c r="EW42" i="1" s="1"/>
  <c r="FJ42" i="1"/>
  <c r="FL42" i="1" s="1"/>
  <c r="EL42" i="1"/>
  <c r="EN42" i="1" s="1"/>
  <c r="EX42" i="1"/>
  <c r="EZ42" i="1" s="1"/>
  <c r="EH42" i="1"/>
  <c r="ER42" i="1"/>
  <c r="ET42" i="1" s="1"/>
  <c r="FG42" i="1"/>
  <c r="FI42" i="1" s="1"/>
  <c r="FA42" i="1"/>
  <c r="FC42" i="1" s="1"/>
  <c r="EI42" i="1"/>
  <c r="EK42" i="1" s="1"/>
  <c r="S40" i="1"/>
  <c r="R40" i="46"/>
  <c r="M39" i="46"/>
  <c r="L40" i="46"/>
  <c r="M40" i="46" s="1"/>
  <c r="EU48" i="1"/>
  <c r="EW48" i="1" s="1"/>
  <c r="FJ48" i="1"/>
  <c r="FL48" i="1" s="1"/>
  <c r="EL48" i="1"/>
  <c r="EN48" i="1" s="1"/>
  <c r="FA48" i="1"/>
  <c r="FC48" i="1" s="1"/>
  <c r="ER48" i="1"/>
  <c r="ET48" i="1" s="1"/>
  <c r="FD48" i="1"/>
  <c r="FF48" i="1" s="1"/>
  <c r="FG48" i="1"/>
  <c r="FI48" i="1" s="1"/>
  <c r="EO48" i="1"/>
  <c r="EQ48" i="1" s="1"/>
  <c r="EI48" i="1"/>
  <c r="EH48" i="1"/>
  <c r="EX48" i="1"/>
  <c r="EZ48" i="1" s="1"/>
  <c r="EF8" i="1"/>
  <c r="EE8" i="1"/>
  <c r="ER38" i="1"/>
  <c r="ET38" i="1" s="1"/>
  <c r="EO38" i="1"/>
  <c r="EQ38" i="1" s="1"/>
  <c r="EX38" i="1"/>
  <c r="EZ38" i="1" s="1"/>
  <c r="FG38" i="1"/>
  <c r="FI38" i="1" s="1"/>
  <c r="EL38" i="1"/>
  <c r="EN38" i="1" s="1"/>
  <c r="EU38" i="1"/>
  <c r="EW38" i="1" s="1"/>
  <c r="FD38" i="1"/>
  <c r="FF38" i="1" s="1"/>
  <c r="EI38" i="1"/>
  <c r="EK38" i="1" s="1"/>
  <c r="EH38" i="1"/>
  <c r="FJ38" i="1"/>
  <c r="FL38" i="1" s="1"/>
  <c r="FA38" i="1"/>
  <c r="FC38" i="1" s="1"/>
  <c r="EE24" i="1"/>
  <c r="EF24" i="1"/>
  <c r="EE12" i="1"/>
  <c r="EF12" i="1"/>
  <c r="CK14" i="1"/>
  <c r="CM13" i="1"/>
  <c r="CN13" i="1" s="1"/>
  <c r="CO13" i="1" s="1"/>
  <c r="CL13" i="1"/>
  <c r="P13" i="1"/>
  <c r="P26" i="1" s="1"/>
  <c r="EE30" i="1"/>
  <c r="EF30" i="1"/>
  <c r="CP56" i="1"/>
  <c r="CQ56" i="1" s="1"/>
  <c r="CR56" i="1" s="1"/>
  <c r="EF50" i="1"/>
  <c r="EE50" i="1"/>
  <c r="EO44" i="1"/>
  <c r="EQ44" i="1" s="1"/>
  <c r="FD44" i="1"/>
  <c r="FF44" i="1" s="1"/>
  <c r="EU44" i="1"/>
  <c r="EW44" i="1" s="1"/>
  <c r="FJ44" i="1"/>
  <c r="FL44" i="1" s="1"/>
  <c r="EL44" i="1"/>
  <c r="EN44" i="1" s="1"/>
  <c r="EX44" i="1"/>
  <c r="EZ44" i="1" s="1"/>
  <c r="EH44" i="1"/>
  <c r="ER44" i="1"/>
  <c r="ET44" i="1" s="1"/>
  <c r="FG44" i="1"/>
  <c r="FI44" i="1" s="1"/>
  <c r="FA44" i="1"/>
  <c r="FC44" i="1" s="1"/>
  <c r="EI44" i="1"/>
  <c r="EK44" i="1" s="1"/>
  <c r="S21" i="1"/>
  <c r="BG38" i="1"/>
  <c r="V38" i="1"/>
  <c r="BF38" i="1"/>
  <c r="EE61" i="1"/>
  <c r="EF61" i="1"/>
  <c r="EF57" i="1"/>
  <c r="EE57" i="1"/>
  <c r="CK58" i="1"/>
  <c r="CM57" i="1"/>
  <c r="CN57" i="1" s="1"/>
  <c r="CO57" i="1" s="1"/>
  <c r="P57" i="1"/>
  <c r="CL57" i="1"/>
  <c r="AI14" i="27"/>
  <c r="AJ15" i="27"/>
  <c r="AI15" i="27" s="1"/>
  <c r="FD35" i="1"/>
  <c r="FF35" i="1" s="1"/>
  <c r="EU35" i="1"/>
  <c r="EW35" i="1" s="1"/>
  <c r="FJ35" i="1"/>
  <c r="FL35" i="1" s="1"/>
  <c r="EL35" i="1"/>
  <c r="EN35" i="1" s="1"/>
  <c r="FA35" i="1"/>
  <c r="FC35" i="1" s="1"/>
  <c r="ER35" i="1"/>
  <c r="ET35" i="1" s="1"/>
  <c r="EO35" i="1"/>
  <c r="EQ35" i="1" s="1"/>
  <c r="FG35" i="1"/>
  <c r="FI35" i="1" s="1"/>
  <c r="EH35" i="1"/>
  <c r="EX35" i="1"/>
  <c r="EZ35" i="1" s="1"/>
  <c r="EI35" i="1"/>
  <c r="ER10" i="1"/>
  <c r="ET10" i="1" s="1"/>
  <c r="FG10" i="1"/>
  <c r="FI10" i="1" s="1"/>
  <c r="EI10" i="1"/>
  <c r="EX10" i="1"/>
  <c r="EZ10" i="1" s="1"/>
  <c r="EH10" i="1"/>
  <c r="EO10" i="1"/>
  <c r="EQ10" i="1" s="1"/>
  <c r="FD10" i="1"/>
  <c r="FF10" i="1" s="1"/>
  <c r="EU10" i="1"/>
  <c r="EW10" i="1" s="1"/>
  <c r="FA10" i="1"/>
  <c r="FC10" i="1" s="1"/>
  <c r="EL10" i="1"/>
  <c r="EN10" i="1" s="1"/>
  <c r="FJ10" i="1"/>
  <c r="FL10" i="1" s="1"/>
  <c r="EF31" i="1"/>
  <c r="EE31" i="1"/>
  <c r="EX62" i="1"/>
  <c r="EZ62" i="1" s="1"/>
  <c r="EH62" i="1"/>
  <c r="FJ62" i="1"/>
  <c r="FL62" i="1" s="1"/>
  <c r="FA62" i="1"/>
  <c r="FC62" i="1" s="1"/>
  <c r="ER62" i="1"/>
  <c r="ET62" i="1" s="1"/>
  <c r="EI62" i="1"/>
  <c r="EK62" i="1" s="1"/>
  <c r="EO62" i="1"/>
  <c r="EQ62" i="1" s="1"/>
  <c r="FG62" i="1"/>
  <c r="FI62" i="1" s="1"/>
  <c r="FD62" i="1"/>
  <c r="FF62" i="1" s="1"/>
  <c r="EU62" i="1"/>
  <c r="EW62" i="1" s="1"/>
  <c r="EL62" i="1"/>
  <c r="EN62" i="1" s="1"/>
  <c r="EU33" i="1"/>
  <c r="EW33" i="1" s="1"/>
  <c r="ER33" i="1"/>
  <c r="ET33" i="1" s="1"/>
  <c r="FD33" i="1"/>
  <c r="FF33" i="1" s="1"/>
  <c r="EH33" i="1"/>
  <c r="FA33" i="1"/>
  <c r="FC33" i="1" s="1"/>
  <c r="FJ33" i="1"/>
  <c r="FL33" i="1" s="1"/>
  <c r="EO33" i="1"/>
  <c r="EQ33" i="1" s="1"/>
  <c r="EX33" i="1"/>
  <c r="EZ33" i="1" s="1"/>
  <c r="EI33" i="1"/>
  <c r="EL33" i="1"/>
  <c r="EN33" i="1" s="1"/>
  <c r="FG33" i="1"/>
  <c r="FI33" i="1" s="1"/>
  <c r="EF36" i="1"/>
  <c r="EE36" i="1"/>
  <c r="EU6" i="1" l="1"/>
  <c r="EW6" i="1" s="1"/>
  <c r="FA6" i="1"/>
  <c r="FC6" i="1" s="1"/>
  <c r="FJ6" i="1"/>
  <c r="FL6" i="1" s="1"/>
  <c r="FG6" i="1"/>
  <c r="FI6" i="1" s="1"/>
  <c r="EL6" i="1"/>
  <c r="EN6" i="1" s="1"/>
  <c r="ER6" i="1"/>
  <c r="ET6" i="1" s="1"/>
  <c r="EH6" i="1"/>
  <c r="EI6" i="1"/>
  <c r="EX6" i="1"/>
  <c r="EZ6" i="1" s="1"/>
  <c r="EO6" i="1"/>
  <c r="EQ6" i="1" s="1"/>
  <c r="FD6" i="1"/>
  <c r="FF6" i="1" s="1"/>
  <c r="FD54" i="1"/>
  <c r="FF54" i="1" s="1"/>
  <c r="ER54" i="1"/>
  <c r="ET54" i="1" s="1"/>
  <c r="EU54" i="1"/>
  <c r="EW54" i="1" s="1"/>
  <c r="EX54" i="1"/>
  <c r="EZ54" i="1" s="1"/>
  <c r="EH54" i="1"/>
  <c r="EL54" i="1"/>
  <c r="EN54" i="1" s="1"/>
  <c r="FG54" i="1"/>
  <c r="FI54" i="1" s="1"/>
  <c r="FA54" i="1"/>
  <c r="FC54" i="1" s="1"/>
  <c r="EI54" i="1"/>
  <c r="FJ54" i="1"/>
  <c r="FL54" i="1" s="1"/>
  <c r="EO54" i="1"/>
  <c r="EQ54" i="1" s="1"/>
  <c r="S19" i="1"/>
  <c r="EK47" i="1"/>
  <c r="S47" i="1"/>
  <c r="EK33" i="1"/>
  <c r="S33" i="1"/>
  <c r="EK10" i="1"/>
  <c r="S10" i="1"/>
  <c r="EU15" i="1"/>
  <c r="EW15" i="1" s="1"/>
  <c r="FA15" i="1"/>
  <c r="FC15" i="1" s="1"/>
  <c r="ER15" i="1"/>
  <c r="ET15" i="1" s="1"/>
  <c r="EX15" i="1"/>
  <c r="EZ15" i="1" s="1"/>
  <c r="EH15" i="1"/>
  <c r="FG15" i="1"/>
  <c r="FI15" i="1" s="1"/>
  <c r="EO15" i="1"/>
  <c r="EQ15" i="1" s="1"/>
  <c r="FD15" i="1"/>
  <c r="FF15" i="1" s="1"/>
  <c r="EL15" i="1"/>
  <c r="EN15" i="1" s="1"/>
  <c r="EI15" i="1"/>
  <c r="EK15" i="1" s="1"/>
  <c r="FJ15" i="1"/>
  <c r="FL15" i="1" s="1"/>
  <c r="FG23" i="1"/>
  <c r="FI23" i="1" s="1"/>
  <c r="FA23" i="1"/>
  <c r="FC23" i="1" s="1"/>
  <c r="EU23" i="1"/>
  <c r="EW23" i="1" s="1"/>
  <c r="FD23" i="1"/>
  <c r="FF23" i="1" s="1"/>
  <c r="EL23" i="1"/>
  <c r="EN23" i="1" s="1"/>
  <c r="ER23" i="1"/>
  <c r="ET23" i="1" s="1"/>
  <c r="EI23" i="1"/>
  <c r="EK23" i="1" s="1"/>
  <c r="FJ23" i="1"/>
  <c r="FL23" i="1" s="1"/>
  <c r="EX23" i="1"/>
  <c r="EZ23" i="1" s="1"/>
  <c r="EH23" i="1"/>
  <c r="EO23" i="1"/>
  <c r="EQ23" i="1" s="1"/>
  <c r="FJ59" i="1"/>
  <c r="FL59" i="1" s="1"/>
  <c r="EL59" i="1"/>
  <c r="EN59" i="1" s="1"/>
  <c r="FA59" i="1"/>
  <c r="FC59" i="1" s="1"/>
  <c r="ER59" i="1"/>
  <c r="ET59" i="1" s="1"/>
  <c r="FG59" i="1"/>
  <c r="FI59" i="1" s="1"/>
  <c r="EI59" i="1"/>
  <c r="EU59" i="1"/>
  <c r="EW59" i="1" s="1"/>
  <c r="EO59" i="1"/>
  <c r="EQ59" i="1" s="1"/>
  <c r="EH59" i="1"/>
  <c r="FD59" i="1"/>
  <c r="FF59" i="1" s="1"/>
  <c r="EX59" i="1"/>
  <c r="EZ59" i="1" s="1"/>
  <c r="GB14" i="1"/>
  <c r="FT14" i="1"/>
  <c r="GH14" i="1"/>
  <c r="FZ14" i="1"/>
  <c r="FR14" i="1"/>
  <c r="GG14" i="1"/>
  <c r="FY14" i="1"/>
  <c r="FQ14" i="1"/>
  <c r="GE14" i="1"/>
  <c r="FW14" i="1"/>
  <c r="GF14" i="1"/>
  <c r="FP14" i="1"/>
  <c r="GD14" i="1"/>
  <c r="GC14" i="1"/>
  <c r="GA14" i="1"/>
  <c r="FX14" i="1"/>
  <c r="FV14" i="1"/>
  <c r="Y15" i="1"/>
  <c r="GI14" i="1"/>
  <c r="FS14" i="1"/>
  <c r="FU14" i="1"/>
  <c r="FJ28" i="1"/>
  <c r="FL28" i="1" s="1"/>
  <c r="EL28" i="1"/>
  <c r="EN28" i="1" s="1"/>
  <c r="FA28" i="1"/>
  <c r="FC28" i="1" s="1"/>
  <c r="ER28" i="1"/>
  <c r="ET28" i="1" s="1"/>
  <c r="FG28" i="1"/>
  <c r="FI28" i="1" s="1"/>
  <c r="EI28" i="1"/>
  <c r="EK28" i="1" s="1"/>
  <c r="EX28" i="1"/>
  <c r="EZ28" i="1" s="1"/>
  <c r="EH28" i="1"/>
  <c r="EU28" i="1"/>
  <c r="EW28" i="1" s="1"/>
  <c r="FD28" i="1"/>
  <c r="FF28" i="1" s="1"/>
  <c r="EO28" i="1"/>
  <c r="EQ28" i="1" s="1"/>
  <c r="FJ22" i="1"/>
  <c r="FL22" i="1" s="1"/>
  <c r="EL22" i="1"/>
  <c r="EN22" i="1" s="1"/>
  <c r="FA22" i="1"/>
  <c r="FC22" i="1" s="1"/>
  <c r="ER22" i="1"/>
  <c r="ET22" i="1" s="1"/>
  <c r="FG22" i="1"/>
  <c r="FI22" i="1" s="1"/>
  <c r="EI22" i="1"/>
  <c r="EX22" i="1"/>
  <c r="EZ22" i="1" s="1"/>
  <c r="EH22" i="1"/>
  <c r="EO22" i="1"/>
  <c r="EQ22" i="1" s="1"/>
  <c r="FD22" i="1"/>
  <c r="FF22" i="1" s="1"/>
  <c r="EU22" i="1"/>
  <c r="EW22" i="1" s="1"/>
  <c r="ER49" i="1"/>
  <c r="ET49" i="1" s="1"/>
  <c r="FG49" i="1"/>
  <c r="FI49" i="1" s="1"/>
  <c r="EI49" i="1"/>
  <c r="EK49" i="1" s="1"/>
  <c r="EX49" i="1"/>
  <c r="EZ49" i="1" s="1"/>
  <c r="EH49" i="1"/>
  <c r="EO49" i="1"/>
  <c r="EQ49" i="1" s="1"/>
  <c r="FA49" i="1"/>
  <c r="FC49" i="1" s="1"/>
  <c r="FJ49" i="1"/>
  <c r="FL49" i="1" s="1"/>
  <c r="FD49" i="1"/>
  <c r="FF49" i="1" s="1"/>
  <c r="EL49" i="1"/>
  <c r="EN49" i="1" s="1"/>
  <c r="EU49" i="1"/>
  <c r="EW49" i="1" s="1"/>
  <c r="ER61" i="1"/>
  <c r="ET61" i="1" s="1"/>
  <c r="FD61" i="1"/>
  <c r="FF61" i="1" s="1"/>
  <c r="EU61" i="1"/>
  <c r="EW61" i="1" s="1"/>
  <c r="EL61" i="1"/>
  <c r="EN61" i="1" s="1"/>
  <c r="FJ61" i="1"/>
  <c r="FL61" i="1" s="1"/>
  <c r="FA61" i="1"/>
  <c r="FC61" i="1" s="1"/>
  <c r="EH61" i="1"/>
  <c r="FG61" i="1"/>
  <c r="FI61" i="1" s="1"/>
  <c r="EX61" i="1"/>
  <c r="EZ61" i="1" s="1"/>
  <c r="EO61" i="1"/>
  <c r="EQ61" i="1" s="1"/>
  <c r="EI61" i="1"/>
  <c r="EK61" i="1" s="1"/>
  <c r="EX8" i="1"/>
  <c r="EZ8" i="1" s="1"/>
  <c r="EH8" i="1"/>
  <c r="EO8" i="1"/>
  <c r="EQ8" i="1" s="1"/>
  <c r="FD8" i="1"/>
  <c r="FF8" i="1" s="1"/>
  <c r="EU8" i="1"/>
  <c r="EW8" i="1" s="1"/>
  <c r="FJ8" i="1"/>
  <c r="FL8" i="1" s="1"/>
  <c r="EL8" i="1"/>
  <c r="EN8" i="1" s="1"/>
  <c r="FA8" i="1"/>
  <c r="FC8" i="1" s="1"/>
  <c r="FG8" i="1"/>
  <c r="FI8" i="1" s="1"/>
  <c r="EI8" i="1"/>
  <c r="ER8" i="1"/>
  <c r="ET8" i="1" s="1"/>
  <c r="S11" i="1"/>
  <c r="EK55" i="1"/>
  <c r="S55" i="1"/>
  <c r="EX26" i="1"/>
  <c r="EZ26" i="1" s="1"/>
  <c r="EH26" i="1"/>
  <c r="EO26" i="1"/>
  <c r="EQ26" i="1" s="1"/>
  <c r="FD26" i="1"/>
  <c r="FF26" i="1" s="1"/>
  <c r="EU26" i="1"/>
  <c r="EW26" i="1" s="1"/>
  <c r="FJ26" i="1"/>
  <c r="FL26" i="1" s="1"/>
  <c r="EL26" i="1"/>
  <c r="EN26" i="1" s="1"/>
  <c r="FG26" i="1"/>
  <c r="FI26" i="1" s="1"/>
  <c r="EI26" i="1"/>
  <c r="EK26" i="1" s="1"/>
  <c r="FA26" i="1"/>
  <c r="FC26" i="1" s="1"/>
  <c r="ER26" i="1"/>
  <c r="ET26" i="1" s="1"/>
  <c r="P14" i="1"/>
  <c r="CK15" i="1"/>
  <c r="CM14" i="1"/>
  <c r="CN14" i="1" s="1"/>
  <c r="CO14" i="1" s="1"/>
  <c r="CL14" i="1"/>
  <c r="EK9" i="1"/>
  <c r="S9" i="1"/>
  <c r="S62" i="1"/>
  <c r="EX57" i="1"/>
  <c r="EZ57" i="1" s="1"/>
  <c r="EH57" i="1"/>
  <c r="FD57" i="1"/>
  <c r="FF57" i="1" s="1"/>
  <c r="EU57" i="1"/>
  <c r="EW57" i="1" s="1"/>
  <c r="FG57" i="1"/>
  <c r="FI57" i="1" s="1"/>
  <c r="EI57" i="1"/>
  <c r="EK57" i="1" s="1"/>
  <c r="EO57" i="1"/>
  <c r="EQ57" i="1" s="1"/>
  <c r="EL57" i="1"/>
  <c r="EN57" i="1" s="1"/>
  <c r="FA57" i="1"/>
  <c r="FC57" i="1" s="1"/>
  <c r="ER57" i="1"/>
  <c r="ET57" i="1" s="1"/>
  <c r="FJ57" i="1"/>
  <c r="FL57" i="1" s="1"/>
  <c r="S44" i="1"/>
  <c r="S34" i="1"/>
  <c r="FJ30" i="1"/>
  <c r="FL30" i="1" s="1"/>
  <c r="EL30" i="1"/>
  <c r="EN30" i="1" s="1"/>
  <c r="FA30" i="1"/>
  <c r="FC30" i="1" s="1"/>
  <c r="ER30" i="1"/>
  <c r="ET30" i="1" s="1"/>
  <c r="FG30" i="1"/>
  <c r="FI30" i="1" s="1"/>
  <c r="EI30" i="1"/>
  <c r="EK30" i="1" s="1"/>
  <c r="EX30" i="1"/>
  <c r="EZ30" i="1" s="1"/>
  <c r="EH30" i="1"/>
  <c r="EU30" i="1"/>
  <c r="EW30" i="1" s="1"/>
  <c r="EO30" i="1"/>
  <c r="EQ30" i="1" s="1"/>
  <c r="FD30" i="1"/>
  <c r="FF30" i="1" s="1"/>
  <c r="S42" i="1"/>
  <c r="S5" i="1"/>
  <c r="EX52" i="1"/>
  <c r="EZ52" i="1" s="1"/>
  <c r="EH52" i="1"/>
  <c r="EO52" i="1"/>
  <c r="EQ52" i="1" s="1"/>
  <c r="FD52" i="1"/>
  <c r="FF52" i="1" s="1"/>
  <c r="EU52" i="1"/>
  <c r="EW52" i="1" s="1"/>
  <c r="FG52" i="1"/>
  <c r="FI52" i="1" s="1"/>
  <c r="EI52" i="1"/>
  <c r="EK52" i="1" s="1"/>
  <c r="FJ52" i="1"/>
  <c r="FL52" i="1" s="1"/>
  <c r="ER52" i="1"/>
  <c r="ET52" i="1" s="1"/>
  <c r="EL52" i="1"/>
  <c r="EN52" i="1" s="1"/>
  <c r="FA52" i="1"/>
  <c r="FC52" i="1" s="1"/>
  <c r="BA38" i="1"/>
  <c r="BB38" i="1" s="1"/>
  <c r="BI38" i="1"/>
  <c r="EK7" i="1"/>
  <c r="S7" i="1"/>
  <c r="ER60" i="1"/>
  <c r="ET60" i="1" s="1"/>
  <c r="FG60" i="1"/>
  <c r="FI60" i="1" s="1"/>
  <c r="EI60" i="1"/>
  <c r="EK60" i="1" s="1"/>
  <c r="EX60" i="1"/>
  <c r="EZ60" i="1" s="1"/>
  <c r="EH60" i="1"/>
  <c r="EO60" i="1"/>
  <c r="EQ60" i="1" s="1"/>
  <c r="FA60" i="1"/>
  <c r="FC60" i="1" s="1"/>
  <c r="EU60" i="1"/>
  <c r="EW60" i="1" s="1"/>
  <c r="FJ60" i="1"/>
  <c r="FL60" i="1" s="1"/>
  <c r="FD60" i="1"/>
  <c r="FF60" i="1" s="1"/>
  <c r="EL60" i="1"/>
  <c r="EN60" i="1" s="1"/>
  <c r="EK18" i="1"/>
  <c r="S18" i="1"/>
  <c r="EK35" i="1"/>
  <c r="S35" i="1"/>
  <c r="CK59" i="1"/>
  <c r="CM58" i="1"/>
  <c r="CN58" i="1" s="1"/>
  <c r="CO58" i="1" s="1"/>
  <c r="CL58" i="1"/>
  <c r="P58" i="1"/>
  <c r="EK48" i="1"/>
  <c r="S48" i="1"/>
  <c r="EK41" i="1"/>
  <c r="S41" i="1"/>
  <c r="ER56" i="1"/>
  <c r="ET56" i="1" s="1"/>
  <c r="EX56" i="1"/>
  <c r="EZ56" i="1" s="1"/>
  <c r="EH56" i="1"/>
  <c r="EO56" i="1"/>
  <c r="EQ56" i="1" s="1"/>
  <c r="FA56" i="1"/>
  <c r="FC56" i="1" s="1"/>
  <c r="FG56" i="1"/>
  <c r="FI56" i="1" s="1"/>
  <c r="FD56" i="1"/>
  <c r="FF56" i="1" s="1"/>
  <c r="EL56" i="1"/>
  <c r="EN56" i="1" s="1"/>
  <c r="EI56" i="1"/>
  <c r="FJ56" i="1"/>
  <c r="FL56" i="1" s="1"/>
  <c r="EU56" i="1"/>
  <c r="EW56" i="1" s="1"/>
  <c r="EK29" i="1"/>
  <c r="S29" i="1"/>
  <c r="FJ32" i="1"/>
  <c r="FL32" i="1" s="1"/>
  <c r="EL32" i="1"/>
  <c r="EN32" i="1" s="1"/>
  <c r="FA32" i="1"/>
  <c r="FC32" i="1" s="1"/>
  <c r="ER32" i="1"/>
  <c r="ET32" i="1" s="1"/>
  <c r="FG32" i="1"/>
  <c r="FI32" i="1" s="1"/>
  <c r="EI32" i="1"/>
  <c r="EK32" i="1" s="1"/>
  <c r="EX32" i="1"/>
  <c r="EZ32" i="1" s="1"/>
  <c r="EH32" i="1"/>
  <c r="EU32" i="1"/>
  <c r="EW32" i="1" s="1"/>
  <c r="FD32" i="1"/>
  <c r="FF32" i="1" s="1"/>
  <c r="EO32" i="1"/>
  <c r="EQ32" i="1" s="1"/>
  <c r="FJ12" i="1"/>
  <c r="FL12" i="1" s="1"/>
  <c r="EL12" i="1"/>
  <c r="EN12" i="1" s="1"/>
  <c r="FA12" i="1"/>
  <c r="FC12" i="1" s="1"/>
  <c r="ER12" i="1"/>
  <c r="ET12" i="1" s="1"/>
  <c r="FG12" i="1"/>
  <c r="FI12" i="1" s="1"/>
  <c r="EI12" i="1"/>
  <c r="EK12" i="1" s="1"/>
  <c r="EX12" i="1"/>
  <c r="EZ12" i="1" s="1"/>
  <c r="EH12" i="1"/>
  <c r="EO12" i="1"/>
  <c r="EQ12" i="1" s="1"/>
  <c r="EU12" i="1"/>
  <c r="EW12" i="1" s="1"/>
  <c r="FD12" i="1"/>
  <c r="FF12" i="1" s="1"/>
  <c r="FJ24" i="1"/>
  <c r="FL24" i="1" s="1"/>
  <c r="EL24" i="1"/>
  <c r="EN24" i="1" s="1"/>
  <c r="FA24" i="1"/>
  <c r="FC24" i="1" s="1"/>
  <c r="ER24" i="1"/>
  <c r="ET24" i="1" s="1"/>
  <c r="FG24" i="1"/>
  <c r="FI24" i="1" s="1"/>
  <c r="EI24" i="1"/>
  <c r="EU24" i="1"/>
  <c r="EW24" i="1" s="1"/>
  <c r="EO24" i="1"/>
  <c r="EQ24" i="1" s="1"/>
  <c r="EH24" i="1"/>
  <c r="FD24" i="1"/>
  <c r="FF24" i="1" s="1"/>
  <c r="EX24" i="1"/>
  <c r="EZ24" i="1" s="1"/>
  <c r="EK58" i="1"/>
  <c r="S58" i="1"/>
  <c r="BU15" i="1"/>
  <c r="X14" i="1"/>
  <c r="CF14" i="1"/>
  <c r="CD14" i="1"/>
  <c r="CH14" i="1"/>
  <c r="EK53" i="1"/>
  <c r="S53" i="1"/>
  <c r="EK25" i="1"/>
  <c r="S25" i="1"/>
  <c r="FA43" i="1"/>
  <c r="FC43" i="1" s="1"/>
  <c r="ER43" i="1"/>
  <c r="ET43" i="1" s="1"/>
  <c r="FG43" i="1"/>
  <c r="FI43" i="1" s="1"/>
  <c r="EI43" i="1"/>
  <c r="EK43" i="1" s="1"/>
  <c r="EX43" i="1"/>
  <c r="EZ43" i="1" s="1"/>
  <c r="EH43" i="1"/>
  <c r="FJ43" i="1"/>
  <c r="FL43" i="1" s="1"/>
  <c r="EL43" i="1"/>
  <c r="EN43" i="1" s="1"/>
  <c r="FD43" i="1"/>
  <c r="FF43" i="1" s="1"/>
  <c r="EU43" i="1"/>
  <c r="EW43" i="1" s="1"/>
  <c r="EO43" i="1"/>
  <c r="EQ43" i="1" s="1"/>
  <c r="EX36" i="1"/>
  <c r="EZ36" i="1" s="1"/>
  <c r="EU36" i="1"/>
  <c r="EW36" i="1" s="1"/>
  <c r="FD36" i="1"/>
  <c r="FF36" i="1" s="1"/>
  <c r="ER36" i="1"/>
  <c r="ET36" i="1" s="1"/>
  <c r="FA36" i="1"/>
  <c r="FC36" i="1" s="1"/>
  <c r="EI36" i="1"/>
  <c r="EK36" i="1" s="1"/>
  <c r="FJ36" i="1"/>
  <c r="FL36" i="1" s="1"/>
  <c r="EH36" i="1"/>
  <c r="EO36" i="1"/>
  <c r="EQ36" i="1" s="1"/>
  <c r="EL36" i="1"/>
  <c r="EN36" i="1" s="1"/>
  <c r="FG36" i="1"/>
  <c r="FI36" i="1" s="1"/>
  <c r="S38" i="1"/>
  <c r="CP57" i="1"/>
  <c r="CQ57" i="1" s="1"/>
  <c r="CR57" i="1" s="1"/>
  <c r="EX31" i="1"/>
  <c r="EZ31" i="1" s="1"/>
  <c r="EH31" i="1"/>
  <c r="EO31" i="1"/>
  <c r="EQ31" i="1" s="1"/>
  <c r="FD31" i="1"/>
  <c r="FF31" i="1" s="1"/>
  <c r="EU31" i="1"/>
  <c r="EW31" i="1" s="1"/>
  <c r="FJ31" i="1"/>
  <c r="FL31" i="1" s="1"/>
  <c r="EL31" i="1"/>
  <c r="EN31" i="1" s="1"/>
  <c r="FG31" i="1"/>
  <c r="FI31" i="1" s="1"/>
  <c r="EI31" i="1"/>
  <c r="EK31" i="1" s="1"/>
  <c r="ER31" i="1"/>
  <c r="ET31" i="1" s="1"/>
  <c r="FA31" i="1"/>
  <c r="FC31" i="1" s="1"/>
  <c r="EX50" i="1"/>
  <c r="EZ50" i="1" s="1"/>
  <c r="EH50" i="1"/>
  <c r="EO50" i="1"/>
  <c r="EQ50" i="1" s="1"/>
  <c r="FD50" i="1"/>
  <c r="FF50" i="1" s="1"/>
  <c r="EU50" i="1"/>
  <c r="EW50" i="1" s="1"/>
  <c r="FG50" i="1"/>
  <c r="FI50" i="1" s="1"/>
  <c r="EI50" i="1"/>
  <c r="EK50" i="1" s="1"/>
  <c r="FJ50" i="1"/>
  <c r="FL50" i="1" s="1"/>
  <c r="ER50" i="1"/>
  <c r="ET50" i="1" s="1"/>
  <c r="EL50" i="1"/>
  <c r="EN50" i="1" s="1"/>
  <c r="FA50" i="1"/>
  <c r="FC50" i="1" s="1"/>
  <c r="CP13" i="1"/>
  <c r="CQ13" i="1" s="1"/>
  <c r="CR13" i="1" s="1"/>
  <c r="S51" i="1"/>
  <c r="S14" i="1"/>
  <c r="O32" i="46"/>
  <c r="T31" i="46"/>
  <c r="EK6" i="1" l="1"/>
  <c r="S6" i="1"/>
  <c r="EK54" i="1"/>
  <c r="S54" i="1"/>
  <c r="BU16" i="1"/>
  <c r="X15" i="1"/>
  <c r="CH15" i="1"/>
  <c r="CF15" i="1"/>
  <c r="CD15" i="1"/>
  <c r="AA15" i="1" s="1"/>
  <c r="EK24" i="1"/>
  <c r="S24" i="1"/>
  <c r="CR58" i="1"/>
  <c r="CP58" i="1"/>
  <c r="CQ58" i="1" s="1"/>
  <c r="EK56" i="1"/>
  <c r="S56" i="1"/>
  <c r="S31" i="1"/>
  <c r="CM15" i="1"/>
  <c r="CN15" i="1" s="1"/>
  <c r="CO15" i="1" s="1"/>
  <c r="P15" i="1"/>
  <c r="CK16" i="1"/>
  <c r="CL15" i="1"/>
  <c r="EK59" i="1"/>
  <c r="S59" i="1"/>
  <c r="O33" i="46"/>
  <c r="T32" i="46"/>
  <c r="GD15" i="1"/>
  <c r="FV15" i="1"/>
  <c r="GB15" i="1"/>
  <c r="FT15" i="1"/>
  <c r="GI15" i="1"/>
  <c r="GA15" i="1"/>
  <c r="FS15" i="1"/>
  <c r="GG15" i="1"/>
  <c r="FY15" i="1"/>
  <c r="FQ15" i="1"/>
  <c r="FZ15" i="1"/>
  <c r="FX15" i="1"/>
  <c r="FW15" i="1"/>
  <c r="FU15" i="1"/>
  <c r="GH15" i="1"/>
  <c r="FR15" i="1"/>
  <c r="Y16" i="1"/>
  <c r="GF15" i="1"/>
  <c r="FP15" i="1"/>
  <c r="GC15" i="1"/>
  <c r="GE15" i="1"/>
  <c r="S15" i="1"/>
  <c r="S43" i="1"/>
  <c r="EK8" i="1"/>
  <c r="S8" i="1"/>
  <c r="AA14" i="1"/>
  <c r="S23" i="1"/>
  <c r="S12" i="1"/>
  <c r="S60" i="1"/>
  <c r="S52" i="1"/>
  <c r="S28" i="1"/>
  <c r="S61" i="1"/>
  <c r="EK22" i="1"/>
  <c r="S22" i="1"/>
  <c r="S30" i="1"/>
  <c r="S36" i="1"/>
  <c r="CL59" i="1"/>
  <c r="CK60" i="1"/>
  <c r="CM59" i="1"/>
  <c r="CN59" i="1" s="1"/>
  <c r="CO59" i="1" s="1"/>
  <c r="P59" i="1"/>
  <c r="S57" i="1"/>
  <c r="CP14" i="1"/>
  <c r="CQ14" i="1" s="1"/>
  <c r="CR14" i="1"/>
  <c r="S49" i="1"/>
  <c r="S50" i="1"/>
  <c r="S32" i="1"/>
  <c r="CM16" i="1" l="1"/>
  <c r="CN16" i="1" s="1"/>
  <c r="CO16" i="1" s="1"/>
  <c r="CL16" i="1"/>
  <c r="P16" i="1"/>
  <c r="CK17" i="1"/>
  <c r="Y17" i="1"/>
  <c r="GE16" i="1"/>
  <c r="FW16" i="1"/>
  <c r="GD16" i="1"/>
  <c r="FV16" i="1"/>
  <c r="GC16" i="1"/>
  <c r="FU16" i="1"/>
  <c r="GB16" i="1"/>
  <c r="FT16" i="1"/>
  <c r="GH16" i="1"/>
  <c r="FZ16" i="1"/>
  <c r="FR16" i="1"/>
  <c r="FX16" i="1"/>
  <c r="FS16" i="1"/>
  <c r="FQ16" i="1"/>
  <c r="GI16" i="1"/>
  <c r="FP16" i="1"/>
  <c r="GG16" i="1"/>
  <c r="GF16" i="1"/>
  <c r="FY16" i="1"/>
  <c r="GA16" i="1"/>
  <c r="CP15" i="1"/>
  <c r="CQ15" i="1" s="1"/>
  <c r="CR15" i="1" s="1"/>
  <c r="CP59" i="1"/>
  <c r="CQ59" i="1" s="1"/>
  <c r="CR59" i="1" s="1"/>
  <c r="O34" i="46"/>
  <c r="T33" i="46"/>
  <c r="CK61" i="1"/>
  <c r="P60" i="1"/>
  <c r="CL60" i="1"/>
  <c r="CM60" i="1"/>
  <c r="CN60" i="1" s="1"/>
  <c r="CO60" i="1" s="1"/>
  <c r="X16" i="1"/>
  <c r="BU17" i="1"/>
  <c r="CD16" i="1"/>
  <c r="CH16" i="1"/>
  <c r="CF16" i="1"/>
  <c r="O35" i="46" l="1"/>
  <c r="O36" i="46" s="1"/>
  <c r="O37" i="46" s="1"/>
  <c r="O38" i="46" s="1"/>
  <c r="O39" i="46" s="1"/>
  <c r="O40" i="46" s="1"/>
  <c r="T34" i="46"/>
  <c r="T42" i="46" s="1"/>
  <c r="CM17" i="1"/>
  <c r="CN17" i="1" s="1"/>
  <c r="CO17" i="1" s="1"/>
  <c r="CL17" i="1"/>
  <c r="CK18" i="1"/>
  <c r="P17" i="1"/>
  <c r="X17" i="1"/>
  <c r="BU18" i="1"/>
  <c r="CF17" i="1"/>
  <c r="CD17" i="1"/>
  <c r="CH17" i="1"/>
  <c r="AA16" i="1"/>
  <c r="CR60" i="1"/>
  <c r="CP60" i="1"/>
  <c r="CQ60" i="1" s="1"/>
  <c r="CK62" i="1"/>
  <c r="P61" i="1"/>
  <c r="CL61" i="1"/>
  <c r="CM61" i="1"/>
  <c r="CN61" i="1" s="1"/>
  <c r="CO61" i="1" s="1"/>
  <c r="GF17" i="1"/>
  <c r="FX17" i="1"/>
  <c r="FP17" i="1"/>
  <c r="Y18" i="1"/>
  <c r="GE17" i="1"/>
  <c r="FW17" i="1"/>
  <c r="GD17" i="1"/>
  <c r="FV17" i="1"/>
  <c r="GC17" i="1"/>
  <c r="FU17" i="1"/>
  <c r="GI17" i="1"/>
  <c r="GA17" i="1"/>
  <c r="FS17" i="1"/>
  <c r="GH17" i="1"/>
  <c r="GG17" i="1"/>
  <c r="GB17" i="1"/>
  <c r="FZ17" i="1"/>
  <c r="FY17" i="1"/>
  <c r="FT17" i="1"/>
  <c r="FQ17" i="1"/>
  <c r="FR17" i="1"/>
  <c r="CR16" i="1"/>
  <c r="CP16" i="1"/>
  <c r="CQ16" i="1" s="1"/>
  <c r="X18" i="1" l="1"/>
  <c r="BU19" i="1"/>
  <c r="CF18" i="1"/>
  <c r="CD18" i="1"/>
  <c r="CH18" i="1"/>
  <c r="GG18" i="1"/>
  <c r="FY18" i="1"/>
  <c r="FQ18" i="1"/>
  <c r="GF18" i="1"/>
  <c r="FX18" i="1"/>
  <c r="FP18" i="1"/>
  <c r="Y19" i="1"/>
  <c r="GE18" i="1"/>
  <c r="FW18" i="1"/>
  <c r="GD18" i="1"/>
  <c r="FV18" i="1"/>
  <c r="GB18" i="1"/>
  <c r="FT18" i="1"/>
  <c r="GI18" i="1"/>
  <c r="GH18" i="1"/>
  <c r="GC18" i="1"/>
  <c r="GA18" i="1"/>
  <c r="FZ18" i="1"/>
  <c r="FU18" i="1"/>
  <c r="FR18" i="1"/>
  <c r="FS18" i="1"/>
  <c r="CM18" i="1"/>
  <c r="CN18" i="1" s="1"/>
  <c r="CO18" i="1" s="1"/>
  <c r="P18" i="1"/>
  <c r="CK19" i="1"/>
  <c r="CL18" i="1"/>
  <c r="CP17" i="1"/>
  <c r="CQ17" i="1" s="1"/>
  <c r="CR17" i="1" s="1"/>
  <c r="AA17" i="1"/>
  <c r="T45" i="46"/>
  <c r="U42" i="46"/>
  <c r="U45" i="46" s="1"/>
  <c r="V45" i="46" s="1"/>
  <c r="CM62" i="1"/>
  <c r="CN62" i="1" s="1"/>
  <c r="CO62" i="1" s="1"/>
  <c r="CL62" i="1"/>
  <c r="P62" i="1"/>
  <c r="CP61" i="1"/>
  <c r="CQ61" i="1" s="1"/>
  <c r="CR61" i="1" s="1"/>
  <c r="CP62" i="1" l="1"/>
  <c r="CQ62" i="1" s="1"/>
  <c r="CR62" i="1"/>
  <c r="GH19" i="1"/>
  <c r="FZ19" i="1"/>
  <c r="FR19" i="1"/>
  <c r="GG19" i="1"/>
  <c r="FY19" i="1"/>
  <c r="FQ19" i="1"/>
  <c r="GF19" i="1"/>
  <c r="FX19" i="1"/>
  <c r="FP19" i="1"/>
  <c r="Y20" i="1"/>
  <c r="GE19" i="1"/>
  <c r="FW19" i="1"/>
  <c r="GD19" i="1"/>
  <c r="FV19" i="1"/>
  <c r="GC19" i="1"/>
  <c r="FU19" i="1"/>
  <c r="FS19" i="1"/>
  <c r="GI19" i="1"/>
  <c r="GB19" i="1"/>
  <c r="FT19" i="1"/>
  <c r="GA19" i="1"/>
  <c r="AA18" i="1"/>
  <c r="CP18" i="1"/>
  <c r="CQ18" i="1" s="1"/>
  <c r="CR18" i="1"/>
  <c r="X19" i="1"/>
  <c r="BU20" i="1"/>
  <c r="CH19" i="1"/>
  <c r="CF19" i="1"/>
  <c r="CD19" i="1"/>
  <c r="AA19" i="1" s="1"/>
  <c r="CL19" i="1"/>
  <c r="CK20" i="1"/>
  <c r="CM19" i="1"/>
  <c r="CN19" i="1" s="1"/>
  <c r="CO19" i="1" s="1"/>
  <c r="P19" i="1"/>
  <c r="BU21" i="1" l="1"/>
  <c r="CH20" i="1"/>
  <c r="CF20" i="1"/>
  <c r="CD20" i="1"/>
  <c r="AA20" i="1" s="1"/>
  <c r="X20" i="1"/>
  <c r="GI20" i="1"/>
  <c r="GA20" i="1"/>
  <c r="FS20" i="1"/>
  <c r="GH20" i="1"/>
  <c r="FZ20" i="1"/>
  <c r="FR20" i="1"/>
  <c r="GG20" i="1"/>
  <c r="FY20" i="1"/>
  <c r="FQ20" i="1"/>
  <c r="GF20" i="1"/>
  <c r="FX20" i="1"/>
  <c r="FP20" i="1"/>
  <c r="Y21" i="1"/>
  <c r="GE20" i="1"/>
  <c r="FW20" i="1"/>
  <c r="GD20" i="1"/>
  <c r="FV20" i="1"/>
  <c r="GC20" i="1"/>
  <c r="GB20" i="1"/>
  <c r="FU20" i="1"/>
  <c r="FT20" i="1"/>
  <c r="CP19" i="1"/>
  <c r="CQ19" i="1" s="1"/>
  <c r="CR19" i="1"/>
  <c r="CK21" i="1"/>
  <c r="CM20" i="1"/>
  <c r="CN20" i="1" s="1"/>
  <c r="CO20" i="1" s="1"/>
  <c r="CL20" i="1"/>
  <c r="P20" i="1"/>
  <c r="CP20" i="1" l="1"/>
  <c r="CQ20" i="1" s="1"/>
  <c r="CR20" i="1" s="1"/>
  <c r="P21" i="1"/>
  <c r="CK22" i="1"/>
  <c r="CL21" i="1"/>
  <c r="CM21" i="1"/>
  <c r="CN21" i="1" s="1"/>
  <c r="CO21" i="1" s="1"/>
  <c r="GB21" i="1"/>
  <c r="FT21" i="1"/>
  <c r="GI21" i="1"/>
  <c r="GA21" i="1"/>
  <c r="FS21" i="1"/>
  <c r="GH21" i="1"/>
  <c r="FZ21" i="1"/>
  <c r="FR21" i="1"/>
  <c r="GG21" i="1"/>
  <c r="FY21" i="1"/>
  <c r="FQ21" i="1"/>
  <c r="GF21" i="1"/>
  <c r="FX21" i="1"/>
  <c r="FP21" i="1"/>
  <c r="Y22" i="1"/>
  <c r="GE21" i="1"/>
  <c r="FW21" i="1"/>
  <c r="FV21" i="1"/>
  <c r="FU21" i="1"/>
  <c r="GC21" i="1"/>
  <c r="GD21" i="1"/>
  <c r="BU22" i="1"/>
  <c r="CH21" i="1"/>
  <c r="CF21" i="1"/>
  <c r="CD21" i="1"/>
  <c r="AA21" i="1" s="1"/>
  <c r="X21" i="1"/>
  <c r="BU23" i="1" l="1"/>
  <c r="CH22" i="1"/>
  <c r="CF22" i="1"/>
  <c r="X22" i="1"/>
  <c r="CD22" i="1"/>
  <c r="AA22" i="1" s="1"/>
  <c r="CL22" i="1"/>
  <c r="P22" i="1"/>
  <c r="CK23" i="1"/>
  <c r="CM22" i="1"/>
  <c r="CN22" i="1" s="1"/>
  <c r="CO22" i="1" s="1"/>
  <c r="CP21" i="1"/>
  <c r="CQ21" i="1" s="1"/>
  <c r="CR21" i="1" s="1"/>
  <c r="GC22" i="1"/>
  <c r="FU22" i="1"/>
  <c r="GB22" i="1"/>
  <c r="FT22" i="1"/>
  <c r="GI22" i="1"/>
  <c r="GA22" i="1"/>
  <c r="FS22" i="1"/>
  <c r="GH22" i="1"/>
  <c r="FZ22" i="1"/>
  <c r="FR22" i="1"/>
  <c r="GG22" i="1"/>
  <c r="FY22" i="1"/>
  <c r="FQ22" i="1"/>
  <c r="GF22" i="1"/>
  <c r="FX22" i="1"/>
  <c r="FP22" i="1"/>
  <c r="GE22" i="1"/>
  <c r="Y23" i="1"/>
  <c r="GD22" i="1"/>
  <c r="FW22" i="1"/>
  <c r="FV22" i="1"/>
  <c r="CK24" i="1" l="1"/>
  <c r="CM23" i="1"/>
  <c r="CN23" i="1" s="1"/>
  <c r="CO23" i="1" s="1"/>
  <c r="CL23" i="1"/>
  <c r="P23" i="1"/>
  <c r="GI23" i="1"/>
  <c r="GA23" i="1"/>
  <c r="FS23" i="1"/>
  <c r="GH23" i="1"/>
  <c r="FZ23" i="1"/>
  <c r="FR23" i="1"/>
  <c r="GG23" i="1"/>
  <c r="GB23" i="1"/>
  <c r="FT23" i="1"/>
  <c r="GF23" i="1"/>
  <c r="FU23" i="1"/>
  <c r="GE23" i="1"/>
  <c r="FQ23" i="1"/>
  <c r="GD23" i="1"/>
  <c r="FP23" i="1"/>
  <c r="GC23" i="1"/>
  <c r="FY23" i="1"/>
  <c r="FX23" i="1"/>
  <c r="FW23" i="1"/>
  <c r="Y24" i="1"/>
  <c r="FV23" i="1"/>
  <c r="CR22" i="1"/>
  <c r="CP22" i="1"/>
  <c r="CQ22" i="1" s="1"/>
  <c r="BU24" i="1"/>
  <c r="CH23" i="1"/>
  <c r="CF23" i="1"/>
  <c r="CD23" i="1"/>
  <c r="AA23" i="1" s="1"/>
  <c r="X23" i="1"/>
  <c r="GC24" i="1" l="1"/>
  <c r="FU24" i="1"/>
  <c r="GB24" i="1"/>
  <c r="FT24" i="1"/>
  <c r="GI24" i="1"/>
  <c r="GA24" i="1"/>
  <c r="FS24" i="1"/>
  <c r="GH24" i="1"/>
  <c r="FZ24" i="1"/>
  <c r="FR24" i="1"/>
  <c r="GD24" i="1"/>
  <c r="FV24" i="1"/>
  <c r="Y25" i="1"/>
  <c r="GG24" i="1"/>
  <c r="GF24" i="1"/>
  <c r="GE24" i="1"/>
  <c r="FY24" i="1"/>
  <c r="FX24" i="1"/>
  <c r="FW24" i="1"/>
  <c r="FQ24" i="1"/>
  <c r="FP24" i="1"/>
  <c r="CH24" i="1"/>
  <c r="BU25" i="1"/>
  <c r="X24" i="1"/>
  <c r="CF24" i="1"/>
  <c r="CD24" i="1"/>
  <c r="CP23" i="1"/>
  <c r="CQ23" i="1" s="1"/>
  <c r="CR23" i="1" s="1"/>
  <c r="CL24" i="1"/>
  <c r="P24" i="1"/>
  <c r="CK25" i="1"/>
  <c r="CM24" i="1"/>
  <c r="CN24" i="1" s="1"/>
  <c r="CO24" i="1" s="1"/>
  <c r="CR24" i="1" l="1"/>
  <c r="CP24" i="1"/>
  <c r="CQ24" i="1" s="1"/>
  <c r="GE25" i="1"/>
  <c r="FW25" i="1"/>
  <c r="GD25" i="1"/>
  <c r="FV25" i="1"/>
  <c r="GC25" i="1"/>
  <c r="FU25" i="1"/>
  <c r="GB25" i="1"/>
  <c r="FT25" i="1"/>
  <c r="Y26" i="1"/>
  <c r="GF25" i="1"/>
  <c r="FX25" i="1"/>
  <c r="FP25" i="1"/>
  <c r="GG25" i="1"/>
  <c r="GA25" i="1"/>
  <c r="FZ25" i="1"/>
  <c r="FY25" i="1"/>
  <c r="FS25" i="1"/>
  <c r="FR25" i="1"/>
  <c r="GI25" i="1"/>
  <c r="GH25" i="1"/>
  <c r="FQ25" i="1"/>
  <c r="CM25" i="1"/>
  <c r="CN25" i="1" s="1"/>
  <c r="CO25" i="1" s="1"/>
  <c r="CL25" i="1"/>
  <c r="P25" i="1"/>
  <c r="CK26" i="1"/>
  <c r="CD25" i="1"/>
  <c r="X25" i="1"/>
  <c r="CH25" i="1"/>
  <c r="CF25" i="1"/>
  <c r="BU26" i="1"/>
  <c r="AA24" i="1"/>
  <c r="CR25" i="1" l="1"/>
  <c r="CP25" i="1"/>
  <c r="CQ25" i="1" s="1"/>
  <c r="BU27" i="1"/>
  <c r="CF26" i="1"/>
  <c r="CD26" i="1"/>
  <c r="CH26" i="1"/>
  <c r="AA25" i="1"/>
  <c r="CM26" i="1"/>
  <c r="CN26" i="1" s="1"/>
  <c r="CO26" i="1" s="1"/>
  <c r="CK27" i="1"/>
  <c r="CL26" i="1"/>
  <c r="GG26" i="1"/>
  <c r="FY26" i="1"/>
  <c r="FQ26" i="1"/>
  <c r="GF26" i="1"/>
  <c r="FX26" i="1"/>
  <c r="FP26" i="1"/>
  <c r="Y27" i="1"/>
  <c r="GE26" i="1"/>
  <c r="FW26" i="1"/>
  <c r="GD26" i="1"/>
  <c r="FV26" i="1"/>
  <c r="GC26" i="1"/>
  <c r="FU26" i="1"/>
  <c r="GH26" i="1"/>
  <c r="FZ26" i="1"/>
  <c r="FR26" i="1"/>
  <c r="GI26" i="1"/>
  <c r="GB26" i="1"/>
  <c r="GA26" i="1"/>
  <c r="FT26" i="1"/>
  <c r="FS26" i="1"/>
  <c r="CP26" i="1" l="1"/>
  <c r="CQ26" i="1" s="1"/>
  <c r="CR26" i="1" s="1"/>
  <c r="CH27" i="1"/>
  <c r="BU28" i="1"/>
  <c r="CF27" i="1"/>
  <c r="X27" i="1"/>
  <c r="CD27" i="1"/>
  <c r="AA27" i="1" s="1"/>
  <c r="GI27" i="1"/>
  <c r="GA27" i="1"/>
  <c r="FS27" i="1"/>
  <c r="GH27" i="1"/>
  <c r="FZ27" i="1"/>
  <c r="FR27" i="1"/>
  <c r="GG27" i="1"/>
  <c r="FY27" i="1"/>
  <c r="FQ27" i="1"/>
  <c r="GF27" i="1"/>
  <c r="FX27" i="1"/>
  <c r="FP27" i="1"/>
  <c r="Y28" i="1"/>
  <c r="GE27" i="1"/>
  <c r="FW27" i="1"/>
  <c r="GB27" i="1"/>
  <c r="FT27" i="1"/>
  <c r="FV27" i="1"/>
  <c r="FU27" i="1"/>
  <c r="GC27" i="1"/>
  <c r="GD27" i="1"/>
  <c r="CK28" i="1"/>
  <c r="P27" i="1"/>
  <c r="CM27" i="1"/>
  <c r="CN27" i="1" s="1"/>
  <c r="CO27" i="1" s="1"/>
  <c r="CL27" i="1"/>
  <c r="CP27" i="1" l="1"/>
  <c r="CQ27" i="1" s="1"/>
  <c r="CR27" i="1" s="1"/>
  <c r="GC28" i="1"/>
  <c r="FU28" i="1"/>
  <c r="GB28" i="1"/>
  <c r="FT28" i="1"/>
  <c r="GI28" i="1"/>
  <c r="GA28" i="1"/>
  <c r="FS28" i="1"/>
  <c r="GH28" i="1"/>
  <c r="FZ28" i="1"/>
  <c r="FR28" i="1"/>
  <c r="GG28" i="1"/>
  <c r="FY28" i="1"/>
  <c r="FQ28" i="1"/>
  <c r="GD28" i="1"/>
  <c r="FV28" i="1"/>
  <c r="FW28" i="1"/>
  <c r="FP28" i="1"/>
  <c r="GF28" i="1"/>
  <c r="FX28" i="1"/>
  <c r="Y29" i="1"/>
  <c r="GE28" i="1"/>
  <c r="CH28" i="1"/>
  <c r="BU29" i="1"/>
  <c r="CF28" i="1"/>
  <c r="CD28" i="1"/>
  <c r="X28" i="1"/>
  <c r="CL28" i="1"/>
  <c r="P28" i="1"/>
  <c r="CK29" i="1"/>
  <c r="CM28" i="1"/>
  <c r="CN28" i="1" s="1"/>
  <c r="CO28" i="1" s="1"/>
  <c r="Y30" i="1" l="1"/>
  <c r="GE29" i="1"/>
  <c r="FW29" i="1"/>
  <c r="GD29" i="1"/>
  <c r="FV29" i="1"/>
  <c r="GC29" i="1"/>
  <c r="FU29" i="1"/>
  <c r="GB29" i="1"/>
  <c r="FT29" i="1"/>
  <c r="GI29" i="1"/>
  <c r="GA29" i="1"/>
  <c r="FS29" i="1"/>
  <c r="GF29" i="1"/>
  <c r="FX29" i="1"/>
  <c r="FP29" i="1"/>
  <c r="GH29" i="1"/>
  <c r="GG29" i="1"/>
  <c r="FZ29" i="1"/>
  <c r="FY29" i="1"/>
  <c r="FR29" i="1"/>
  <c r="FQ29" i="1"/>
  <c r="CP28" i="1"/>
  <c r="CQ28" i="1" s="1"/>
  <c r="CR28" i="1" s="1"/>
  <c r="AA28" i="1"/>
  <c r="CK30" i="1"/>
  <c r="CM29" i="1"/>
  <c r="CN29" i="1" s="1"/>
  <c r="CO29" i="1" s="1"/>
  <c r="CL29" i="1"/>
  <c r="P29" i="1"/>
  <c r="CD29" i="1"/>
  <c r="AA29" i="1" s="1"/>
  <c r="BU30" i="1"/>
  <c r="CH29" i="1"/>
  <c r="X29" i="1"/>
  <c r="CF29" i="1"/>
  <c r="X30" i="1" l="1"/>
  <c r="BU31" i="1"/>
  <c r="CF30" i="1"/>
  <c r="CD30" i="1"/>
  <c r="CH30" i="1"/>
  <c r="CP29" i="1"/>
  <c r="CQ29" i="1" s="1"/>
  <c r="CR29" i="1" s="1"/>
  <c r="P30" i="1"/>
  <c r="CK31" i="1"/>
  <c r="CL30" i="1"/>
  <c r="CM30" i="1"/>
  <c r="CN30" i="1" s="1"/>
  <c r="CO30" i="1" s="1"/>
  <c r="GC30" i="1"/>
  <c r="FU30" i="1"/>
  <c r="GB30" i="1"/>
  <c r="FT30" i="1"/>
  <c r="GI30" i="1"/>
  <c r="GA30" i="1"/>
  <c r="FS30" i="1"/>
  <c r="GH30" i="1"/>
  <c r="FZ30" i="1"/>
  <c r="FR30" i="1"/>
  <c r="Y31" i="1"/>
  <c r="GG30" i="1"/>
  <c r="FY30" i="1"/>
  <c r="FQ30" i="1"/>
  <c r="GD30" i="1"/>
  <c r="FV30" i="1"/>
  <c r="FX30" i="1"/>
  <c r="FW30" i="1"/>
  <c r="FP30" i="1"/>
  <c r="GE30" i="1"/>
  <c r="GF30" i="1"/>
  <c r="AA30" i="1" l="1"/>
  <c r="CP30" i="1"/>
  <c r="CQ30" i="1" s="1"/>
  <c r="CR30" i="1"/>
  <c r="Y32" i="1"/>
  <c r="GG31" i="1"/>
  <c r="FY31" i="1"/>
  <c r="FQ31" i="1"/>
  <c r="GF31" i="1"/>
  <c r="FX31" i="1"/>
  <c r="FP31" i="1"/>
  <c r="GE31" i="1"/>
  <c r="FW31" i="1"/>
  <c r="GD31" i="1"/>
  <c r="FV31" i="1"/>
  <c r="GC31" i="1"/>
  <c r="FU31" i="1"/>
  <c r="GH31" i="1"/>
  <c r="FZ31" i="1"/>
  <c r="FR31" i="1"/>
  <c r="GB31" i="1"/>
  <c r="GA31" i="1"/>
  <c r="FT31" i="1"/>
  <c r="FS31" i="1"/>
  <c r="GI31" i="1"/>
  <c r="BU32" i="1"/>
  <c r="CD31" i="1"/>
  <c r="CH31" i="1"/>
  <c r="X31" i="1"/>
  <c r="CF31" i="1"/>
  <c r="P31" i="1"/>
  <c r="CK32" i="1"/>
  <c r="CL31" i="1"/>
  <c r="CM31" i="1"/>
  <c r="CN31" i="1" s="1"/>
  <c r="CO31" i="1" s="1"/>
  <c r="X32" i="1" l="1"/>
  <c r="BU33" i="1"/>
  <c r="CD32" i="1"/>
  <c r="CF32" i="1"/>
  <c r="CH32" i="1"/>
  <c r="CP31" i="1"/>
  <c r="CQ31" i="1" s="1"/>
  <c r="CR31" i="1" s="1"/>
  <c r="GH32" i="1"/>
  <c r="GC32" i="1"/>
  <c r="FU32" i="1"/>
  <c r="GB32" i="1"/>
  <c r="FT32" i="1"/>
  <c r="GA32" i="1"/>
  <c r="FS32" i="1"/>
  <c r="GI32" i="1"/>
  <c r="FZ32" i="1"/>
  <c r="FR32" i="1"/>
  <c r="GG32" i="1"/>
  <c r="FY32" i="1"/>
  <c r="FQ32" i="1"/>
  <c r="Y33" i="1"/>
  <c r="GD32" i="1"/>
  <c r="FV32" i="1"/>
  <c r="FW32" i="1"/>
  <c r="FP32" i="1"/>
  <c r="GF32" i="1"/>
  <c r="FX32" i="1"/>
  <c r="GE32" i="1"/>
  <c r="CK33" i="1"/>
  <c r="P32" i="1"/>
  <c r="CL32" i="1"/>
  <c r="CM32" i="1"/>
  <c r="CN32" i="1" s="1"/>
  <c r="CO32" i="1" s="1"/>
  <c r="AA31" i="1"/>
  <c r="CP32" i="1" l="1"/>
  <c r="CQ32" i="1" s="1"/>
  <c r="CR32" i="1"/>
  <c r="GD33" i="1"/>
  <c r="FV33" i="1"/>
  <c r="GI33" i="1"/>
  <c r="GA33" i="1"/>
  <c r="FS33" i="1"/>
  <c r="Y34" i="1"/>
  <c r="GB33" i="1"/>
  <c r="FQ33" i="1"/>
  <c r="FZ33" i="1"/>
  <c r="FP33" i="1"/>
  <c r="FY33" i="1"/>
  <c r="GH33" i="1"/>
  <c r="FX33" i="1"/>
  <c r="GG33" i="1"/>
  <c r="FW33" i="1"/>
  <c r="GC33" i="1"/>
  <c r="FR33" i="1"/>
  <c r="GF33" i="1"/>
  <c r="GE33" i="1"/>
  <c r="FU33" i="1"/>
  <c r="FT33" i="1"/>
  <c r="P33" i="1"/>
  <c r="CK34" i="1"/>
  <c r="CM33" i="1"/>
  <c r="CN33" i="1" s="1"/>
  <c r="CO33" i="1" s="1"/>
  <c r="CL33" i="1"/>
  <c r="AA32" i="1"/>
  <c r="X33" i="1"/>
  <c r="BU34" i="1"/>
  <c r="CF33" i="1"/>
  <c r="CH33" i="1"/>
  <c r="CD33" i="1"/>
  <c r="BU35" i="1" l="1"/>
  <c r="CF34" i="1"/>
  <c r="X34" i="1"/>
  <c r="CH34" i="1"/>
  <c r="CD34" i="1"/>
  <c r="AA34" i="1" s="1"/>
  <c r="GH34" i="1"/>
  <c r="FZ34" i="1"/>
  <c r="FR34" i="1"/>
  <c r="GE34" i="1"/>
  <c r="FW34" i="1"/>
  <c r="GI34" i="1"/>
  <c r="GC34" i="1"/>
  <c r="FS34" i="1"/>
  <c r="GB34" i="1"/>
  <c r="FQ34" i="1"/>
  <c r="Y35" i="1"/>
  <c r="GA34" i="1"/>
  <c r="FP34" i="1"/>
  <c r="FY34" i="1"/>
  <c r="FX34" i="1"/>
  <c r="GD34" i="1"/>
  <c r="FT34" i="1"/>
  <c r="GG34" i="1"/>
  <c r="GF34" i="1"/>
  <c r="FU34" i="1"/>
  <c r="FV34" i="1"/>
  <c r="CP33" i="1"/>
  <c r="CQ33" i="1" s="1"/>
  <c r="CR33" i="1" s="1"/>
  <c r="AA33" i="1"/>
  <c r="CK35" i="1"/>
  <c r="P34" i="1"/>
  <c r="CM34" i="1"/>
  <c r="CN34" i="1" s="1"/>
  <c r="CO34" i="1" s="1"/>
  <c r="CL34" i="1"/>
  <c r="GE35" i="1" l="1"/>
  <c r="FW35" i="1"/>
  <c r="GD35" i="1"/>
  <c r="FV35" i="1"/>
  <c r="GC35" i="1"/>
  <c r="FU35" i="1"/>
  <c r="GB35" i="1"/>
  <c r="FT35" i="1"/>
  <c r="GI35" i="1"/>
  <c r="GA35" i="1"/>
  <c r="FS35" i="1"/>
  <c r="GF35" i="1"/>
  <c r="FX35" i="1"/>
  <c r="FP35" i="1"/>
  <c r="GH35" i="1"/>
  <c r="GG35" i="1"/>
  <c r="FZ35" i="1"/>
  <c r="FQ35" i="1"/>
  <c r="FR35" i="1"/>
  <c r="Y36" i="1"/>
  <c r="FY35" i="1"/>
  <c r="CP34" i="1"/>
  <c r="CQ34" i="1" s="1"/>
  <c r="CR34" i="1"/>
  <c r="CK36" i="1"/>
  <c r="P35" i="1"/>
  <c r="CL35" i="1"/>
  <c r="CM35" i="1"/>
  <c r="CN35" i="1" s="1"/>
  <c r="CO35" i="1" s="1"/>
  <c r="BU36" i="1"/>
  <c r="X35" i="1"/>
  <c r="CD35" i="1"/>
  <c r="CF35" i="1"/>
  <c r="CH35" i="1"/>
  <c r="X36" i="1" l="1"/>
  <c r="BU37" i="1"/>
  <c r="CF36" i="1"/>
  <c r="CD36" i="1"/>
  <c r="CH36" i="1"/>
  <c r="CP35" i="1"/>
  <c r="CQ35" i="1" s="1"/>
  <c r="CR35" i="1" s="1"/>
  <c r="P36" i="1"/>
  <c r="CK37" i="1"/>
  <c r="CL36" i="1"/>
  <c r="CM36" i="1"/>
  <c r="CN36" i="1" s="1"/>
  <c r="CO36" i="1" s="1"/>
  <c r="AA35" i="1"/>
  <c r="Y37" i="1"/>
  <c r="GG36" i="1"/>
  <c r="FY36" i="1"/>
  <c r="FQ36" i="1"/>
  <c r="GD36" i="1"/>
  <c r="FV36" i="1"/>
  <c r="GB36" i="1"/>
  <c r="FR36" i="1"/>
  <c r="GA36" i="1"/>
  <c r="FP36" i="1"/>
  <c r="FZ36" i="1"/>
  <c r="GI36" i="1"/>
  <c r="FX36" i="1"/>
  <c r="GH36" i="1"/>
  <c r="FW36" i="1"/>
  <c r="GC36" i="1"/>
  <c r="FS36" i="1"/>
  <c r="GF36" i="1"/>
  <c r="GE36" i="1"/>
  <c r="FU36" i="1"/>
  <c r="FT36" i="1"/>
  <c r="CK38" i="1" l="1"/>
  <c r="P37" i="1"/>
  <c r="CL37" i="1"/>
  <c r="CM37" i="1"/>
  <c r="CN37" i="1" s="1"/>
  <c r="CO37" i="1" s="1"/>
  <c r="GD37" i="1"/>
  <c r="FV37" i="1"/>
  <c r="GI37" i="1"/>
  <c r="GA37" i="1"/>
  <c r="FS37" i="1"/>
  <c r="GF37" i="1"/>
  <c r="FU37" i="1"/>
  <c r="GE37" i="1"/>
  <c r="FT37" i="1"/>
  <c r="GC37" i="1"/>
  <c r="FR37" i="1"/>
  <c r="Y38" i="1"/>
  <c r="GB37" i="1"/>
  <c r="FQ37" i="1"/>
  <c r="FZ37" i="1"/>
  <c r="FP37" i="1"/>
  <c r="GG37" i="1"/>
  <c r="FW37" i="1"/>
  <c r="GH37" i="1"/>
  <c r="FY37" i="1"/>
  <c r="FX37" i="1"/>
  <c r="AA36" i="1"/>
  <c r="CP36" i="1"/>
  <c r="CQ36" i="1" s="1"/>
  <c r="CR36" i="1" s="1"/>
  <c r="BU38" i="1"/>
  <c r="X37" i="1"/>
  <c r="CH37" i="1"/>
  <c r="CD37" i="1"/>
  <c r="CF37" i="1"/>
  <c r="AA37" i="1" l="1"/>
  <c r="GI38" i="1"/>
  <c r="GA38" i="1"/>
  <c r="FS38" i="1"/>
  <c r="GF38" i="1"/>
  <c r="FX38" i="1"/>
  <c r="FP38" i="1"/>
  <c r="GG38" i="1"/>
  <c r="FV38" i="1"/>
  <c r="GE38" i="1"/>
  <c r="FU38" i="1"/>
  <c r="GD38" i="1"/>
  <c r="FT38" i="1"/>
  <c r="GC38" i="1"/>
  <c r="FR38" i="1"/>
  <c r="GB38" i="1"/>
  <c r="FQ38" i="1"/>
  <c r="GH38" i="1"/>
  <c r="FW38" i="1"/>
  <c r="Y39" i="1"/>
  <c r="FZ38" i="1"/>
  <c r="FY38" i="1"/>
  <c r="CP37" i="1"/>
  <c r="CQ37" i="1" s="1"/>
  <c r="CR37" i="1" s="1"/>
  <c r="CK39" i="1"/>
  <c r="P38" i="1"/>
  <c r="CL38" i="1"/>
  <c r="CM38" i="1"/>
  <c r="CN38" i="1" s="1"/>
  <c r="CO38" i="1" s="1"/>
  <c r="X38" i="1"/>
  <c r="BU39" i="1"/>
  <c r="CD38" i="1"/>
  <c r="AA38" i="1" s="1"/>
  <c r="CF38" i="1"/>
  <c r="CH38" i="1"/>
  <c r="CF39" i="1" l="1"/>
  <c r="X39" i="1"/>
  <c r="BU40" i="1"/>
  <c r="CH39" i="1"/>
  <c r="CD39" i="1"/>
  <c r="AA39" i="1" s="1"/>
  <c r="CP38" i="1"/>
  <c r="CQ38" i="1" s="1"/>
  <c r="CR38" i="1"/>
  <c r="GD39" i="1"/>
  <c r="FV39" i="1"/>
  <c r="GC39" i="1"/>
  <c r="FU39" i="1"/>
  <c r="GI39" i="1"/>
  <c r="GA39" i="1"/>
  <c r="FS39" i="1"/>
  <c r="Y40" i="1"/>
  <c r="GE39" i="1"/>
  <c r="FW39" i="1"/>
  <c r="GG39" i="1"/>
  <c r="FQ39" i="1"/>
  <c r="GF39" i="1"/>
  <c r="FP39" i="1"/>
  <c r="GB39" i="1"/>
  <c r="FZ39" i="1"/>
  <c r="FY39" i="1"/>
  <c r="GH39" i="1"/>
  <c r="FR39" i="1"/>
  <c r="FX39" i="1"/>
  <c r="FT39" i="1"/>
  <c r="P39" i="1"/>
  <c r="CK40" i="1"/>
  <c r="CL39" i="1"/>
  <c r="CM39" i="1"/>
  <c r="CN39" i="1" s="1"/>
  <c r="CO39" i="1" s="1"/>
  <c r="BU41" i="1" l="1"/>
  <c r="X40" i="1"/>
  <c r="CD40" i="1"/>
  <c r="CF40" i="1"/>
  <c r="CH40" i="1"/>
  <c r="CP39" i="1"/>
  <c r="CQ39" i="1" s="1"/>
  <c r="CR39" i="1" s="1"/>
  <c r="GF40" i="1"/>
  <c r="FX40" i="1"/>
  <c r="FP40" i="1"/>
  <c r="GE40" i="1"/>
  <c r="FW40" i="1"/>
  <c r="GC40" i="1"/>
  <c r="FU40" i="1"/>
  <c r="GG40" i="1"/>
  <c r="FY40" i="1"/>
  <c r="FQ40" i="1"/>
  <c r="FV40" i="1"/>
  <c r="FT40" i="1"/>
  <c r="Y41" i="1"/>
  <c r="GI40" i="1"/>
  <c r="FS40" i="1"/>
  <c r="GH40" i="1"/>
  <c r="FR40" i="1"/>
  <c r="GD40" i="1"/>
  <c r="FZ40" i="1"/>
  <c r="GB40" i="1"/>
  <c r="GA40" i="1"/>
  <c r="CK41" i="1"/>
  <c r="CL40" i="1"/>
  <c r="P40" i="1"/>
  <c r="CM40" i="1"/>
  <c r="CN40" i="1" s="1"/>
  <c r="CO40" i="1" s="1"/>
  <c r="CP40" i="1" l="1"/>
  <c r="CQ40" i="1" s="1"/>
  <c r="CR40" i="1"/>
  <c r="GB41" i="1"/>
  <c r="FT41" i="1"/>
  <c r="GI41" i="1"/>
  <c r="GA41" i="1"/>
  <c r="FS41" i="1"/>
  <c r="GH41" i="1"/>
  <c r="FZ41" i="1"/>
  <c r="FR41" i="1"/>
  <c r="GG41" i="1"/>
  <c r="FY41" i="1"/>
  <c r="FQ41" i="1"/>
  <c r="GC41" i="1"/>
  <c r="FU41" i="1"/>
  <c r="GF41" i="1"/>
  <c r="Y42" i="1"/>
  <c r="GE41" i="1"/>
  <c r="GD41" i="1"/>
  <c r="FX41" i="1"/>
  <c r="FP41" i="1"/>
  <c r="FV41" i="1"/>
  <c r="FW41" i="1"/>
  <c r="CL41" i="1"/>
  <c r="CM41" i="1"/>
  <c r="CN41" i="1" s="1"/>
  <c r="CO41" i="1" s="1"/>
  <c r="P41" i="1"/>
  <c r="CK42" i="1"/>
  <c r="AA40" i="1"/>
  <c r="CH41" i="1"/>
  <c r="CF41" i="1"/>
  <c r="X41" i="1"/>
  <c r="CD41" i="1"/>
  <c r="AA41" i="1" s="1"/>
  <c r="BU42" i="1"/>
  <c r="CK43" i="1" l="1"/>
  <c r="CM42" i="1"/>
  <c r="CN42" i="1" s="1"/>
  <c r="CO42" i="1" s="1"/>
  <c r="P42" i="1"/>
  <c r="CL42" i="1"/>
  <c r="BU43" i="1"/>
  <c r="CD42" i="1"/>
  <c r="CF42" i="1"/>
  <c r="X42" i="1"/>
  <c r="CH42" i="1"/>
  <c r="CP41" i="1"/>
  <c r="CQ41" i="1" s="1"/>
  <c r="CR41" i="1" s="1"/>
  <c r="GF42" i="1"/>
  <c r="FX42" i="1"/>
  <c r="FP42" i="1"/>
  <c r="GE42" i="1"/>
  <c r="FW42" i="1"/>
  <c r="Y43" i="1"/>
  <c r="GD42" i="1"/>
  <c r="FV42" i="1"/>
  <c r="GC42" i="1"/>
  <c r="FU42" i="1"/>
  <c r="GG42" i="1"/>
  <c r="FY42" i="1"/>
  <c r="FQ42" i="1"/>
  <c r="FT42" i="1"/>
  <c r="FS42" i="1"/>
  <c r="FR42" i="1"/>
  <c r="GI42" i="1"/>
  <c r="GH42" i="1"/>
  <c r="FZ42" i="1"/>
  <c r="GB42" i="1"/>
  <c r="GA42" i="1"/>
  <c r="CH43" i="1" l="1"/>
  <c r="CF43" i="1"/>
  <c r="X43" i="1"/>
  <c r="BU44" i="1"/>
  <c r="CD43" i="1"/>
  <c r="AA43" i="1" s="1"/>
  <c r="AA42" i="1"/>
  <c r="CP42" i="1"/>
  <c r="CQ42" i="1" s="1"/>
  <c r="CR42" i="1"/>
  <c r="GB43" i="1"/>
  <c r="FT43" i="1"/>
  <c r="GI43" i="1"/>
  <c r="GA43" i="1"/>
  <c r="FS43" i="1"/>
  <c r="GH43" i="1"/>
  <c r="FZ43" i="1"/>
  <c r="FR43" i="1"/>
  <c r="GG43" i="1"/>
  <c r="FY43" i="1"/>
  <c r="FQ43" i="1"/>
  <c r="GC43" i="1"/>
  <c r="FU43" i="1"/>
  <c r="Y44" i="1"/>
  <c r="GE43" i="1"/>
  <c r="GD43" i="1"/>
  <c r="FX43" i="1"/>
  <c r="FW43" i="1"/>
  <c r="FV43" i="1"/>
  <c r="GF43" i="1"/>
  <c r="FP43" i="1"/>
  <c r="CL43" i="1"/>
  <c r="CM43" i="1"/>
  <c r="CN43" i="1" s="1"/>
  <c r="CO43" i="1" s="1"/>
  <c r="CK44" i="1"/>
  <c r="P43" i="1"/>
  <c r="CM44" i="1" l="1"/>
  <c r="CN44" i="1" s="1"/>
  <c r="CO44" i="1" s="1"/>
  <c r="P44" i="1"/>
  <c r="CL44" i="1"/>
  <c r="BU45" i="1"/>
  <c r="CD44" i="1"/>
  <c r="CF44" i="1"/>
  <c r="X44" i="1"/>
  <c r="CH44" i="1"/>
  <c r="CP43" i="1"/>
  <c r="CQ43" i="1" s="1"/>
  <c r="CR43" i="1" s="1"/>
  <c r="GI44" i="1"/>
  <c r="GA44" i="1"/>
  <c r="FS44" i="1"/>
  <c r="GF44" i="1"/>
  <c r="FX44" i="1"/>
  <c r="FZ44" i="1"/>
  <c r="FP44" i="1"/>
  <c r="Y45" i="1"/>
  <c r="FY44" i="1"/>
  <c r="GH44" i="1"/>
  <c r="FW44" i="1"/>
  <c r="GG44" i="1"/>
  <c r="FV44" i="1"/>
  <c r="GB44" i="1"/>
  <c r="FQ44" i="1"/>
  <c r="FR44" i="1"/>
  <c r="GE44" i="1"/>
  <c r="GD44" i="1"/>
  <c r="FT44" i="1"/>
  <c r="FU44" i="1"/>
  <c r="GC44" i="1"/>
  <c r="CD45" i="1" l="1"/>
  <c r="X45" i="1"/>
  <c r="CH45" i="1"/>
  <c r="CF45" i="1"/>
  <c r="AA44" i="1"/>
  <c r="GF45" i="1"/>
  <c r="FX45" i="1"/>
  <c r="FP45" i="1"/>
  <c r="GC45" i="1"/>
  <c r="FU45" i="1"/>
  <c r="GH45" i="1"/>
  <c r="FW45" i="1"/>
  <c r="GG45" i="1"/>
  <c r="FV45" i="1"/>
  <c r="GE45" i="1"/>
  <c r="FT45" i="1"/>
  <c r="GD45" i="1"/>
  <c r="FS45" i="1"/>
  <c r="GI45" i="1"/>
  <c r="FY45" i="1"/>
  <c r="FZ45" i="1"/>
  <c r="FR45" i="1"/>
  <c r="FQ45" i="1"/>
  <c r="GA45" i="1"/>
  <c r="GB45" i="1"/>
  <c r="CP44" i="1"/>
  <c r="CQ44" i="1" s="1"/>
  <c r="CR44" i="1"/>
  <c r="AA45" i="1" l="1"/>
</calcChain>
</file>

<file path=xl/comments1.xml><?xml version="1.0" encoding="utf-8"?>
<comments xmlns="http://schemas.openxmlformats.org/spreadsheetml/2006/main">
  <authors>
    <author>jianlong wo</author>
  </authors>
  <commentList>
    <comment ref="CN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暂时不掉落弹头</t>
        </r>
      </text>
    </comment>
    <comment ref="H4" authorId="0" shapeId="0">
      <text>
        <r>
          <rPr>
            <sz val="9"/>
            <rFont val="宋体"/>
            <family val="3"/>
            <charset val="134"/>
          </rPr>
          <t>龙舟每次被捕获时根据score减少血量，伤害=score*炮倍系数</t>
        </r>
      </text>
    </comment>
    <comment ref="AF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AZ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</commentList>
</comments>
</file>

<file path=xl/comments10.xml><?xml version="1.0" encoding="utf-8"?>
<comments xmlns="http://schemas.openxmlformats.org/spreadsheetml/2006/main">
  <authors>
    <author>作者</author>
    <author>jianlong wo</author>
  </authors>
  <commentList>
    <comment ref="A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奖券资源，图片和名字的多语言暂时没用到</t>
        </r>
      </text>
    </comment>
    <comment ref="A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VIPEXP</t>
        </r>
      </text>
    </comment>
    <comment ref="A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竞技场</t>
        </r>
      </text>
    </comment>
    <comment ref="A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</t>
        </r>
      </text>
    </comment>
    <comment ref="K1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K2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E2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T2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E2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T2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</commentList>
</comments>
</file>

<file path=xl/comments11.xml><?xml version="1.0" encoding="utf-8"?>
<comments xmlns="http://schemas.openxmlformats.org/spreadsheetml/2006/main">
  <authors>
    <author>user</author>
  </authors>
  <commentList>
    <comment ref="K6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小额话费券标准价值10～100之间
炮倍不同小额话费的金额不同</t>
        </r>
      </text>
    </comment>
  </commentList>
</comments>
</file>

<file path=xl/comments12.xml><?xml version="1.0" encoding="utf-8"?>
<comments xmlns="http://schemas.openxmlformats.org/spreadsheetml/2006/main">
  <authors>
    <author>作者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例如下面数据，表示话费赛开始后20s出现热气球track，90s后移除track</t>
        </r>
      </text>
    </comment>
    <comment ref="E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200次破罩子，</t>
        </r>
      </text>
    </comment>
  </commentList>
</comments>
</file>

<file path=xl/comments13.xml><?xml version="1.0" encoding="utf-8"?>
<comments xmlns="http://schemas.openxmlformats.org/spreadsheetml/2006/main">
  <authors>
    <author>user</author>
  </authors>
  <commentList>
    <comment ref="D4" authorId="0" shapeId="0">
      <text>
        <r>
          <rPr>
            <b/>
            <sz val="9"/>
            <rFont val="宋体"/>
            <family val="3"/>
            <charset val="134"/>
          </rPr>
          <t>user:
按照当前等级得积分，然后升级</t>
        </r>
      </text>
    </comment>
  </commentList>
</comments>
</file>

<file path=xl/comments2.xml><?xml version="1.0" encoding="utf-8"?>
<comments xmlns="http://schemas.openxmlformats.org/spreadsheetml/2006/main">
  <authors>
    <author>jianlong wo</author>
    <author>作者</author>
    <author>user</author>
    <author>龙江</author>
  </authors>
  <commentList>
    <comment ref="B6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现在逻辑坐标是10000*10000</t>
        </r>
      </text>
    </comment>
    <comment ref="B4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客户端专用
服务器不允许小数</t>
        </r>
      </text>
    </comment>
    <comment ref="I65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比赛时间+积分动画持续时间</t>
        </r>
      </text>
    </comment>
    <comment ref="B83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85/100算随机数</t>
        </r>
      </text>
    </comment>
    <comment ref="B9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开火和锁定共用一个等级</t>
        </r>
      </text>
    </comment>
    <comment ref="B105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0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C=50/100</t>
        </r>
      </text>
    </comment>
    <comment ref="B12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C=N/100</t>
        </r>
      </text>
    </comment>
    <comment ref="B122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300炮倍率</t>
        </r>
      </text>
    </comment>
    <comment ref="B134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35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48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["2|1001|200",10],最后一个10表示10/100，在现有概率上衰减为10%</t>
        </r>
      </text>
    </comment>
    <comment ref="A219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248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功能开启做在了客户端
现在是按照账号创建时间算起的</t>
        </r>
      </text>
    </comment>
    <comment ref="D262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D263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B266" authorId="0" shapeId="0">
      <text>
        <r>
          <rPr>
            <b/>
            <sz val="9"/>
            <rFont val="宋体"/>
            <family val="3"/>
            <charset val="134"/>
          </rPr>
          <t>档位，该档位购买第n次，必中的档位编号
{"1101":{"2":1,"2":2},"1103":{"1":1}}</t>
        </r>
      </text>
    </comment>
  </commentList>
</comments>
</file>

<file path=xl/comments3.xml><?xml version="1.0" encoding="utf-8"?>
<comments xmlns="http://schemas.openxmlformats.org/spreadsheetml/2006/main">
  <authors>
    <author>User</author>
    <author>user</author>
    <author>AutoBVT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99.高级贵族享有低级贵族特权
0.永久解锁【金刚王座】炮台
1.每日首次登陆将道具补足至10个
2.每日首次登陆将金币补足至300万
3.每日领取n次发财金
4.每次领取发财金额外获得n金币
5.解锁狂暴等级
6.开启道具赠送功能
7.充值金币额外赠送 5% 
8.邮件上限增加至60
9.竞技场积分加成3%
10.每日提现次数上限增加至（红包版专用）
11.存钱罐金币存储上限增加至
12.签到获得的金币翻n倍
13.幸运金币使用星钻普通翻倍次数上限N次
14.幸运金币使用星钻超级翻倍次数上限N次
</t>
        </r>
      </text>
    </commen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0.永久解锁【金刚王座】炮台
1.每日首次登陆将道具补足至10个
2.每日首次登陆将金币补足至300万
3. 每日多领取1次发财金
4.每次领取发财金+1000金币
5.解锁狂暴等级
6.开启道具赠送功能
7.充值金币额外赠送 5% 
8.邮件上限增加至60
9.竞技场积分加成3%</t>
        </r>
      </text>
    </comment>
    <comment ref="E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当前VIP+1+该列数据后，表示最后一个显示金额的VIP等级</t>
        </r>
      </text>
    </comment>
    <comment ref="N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svn://192.168.8.190/fruit/tech/json/DataTable/发财金CompenGold.xlsx</t>
        </r>
      </text>
    </comment>
    <comment ref="P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待狂暴文档确认后，再添加狂暴等级解锁的数据</t>
        </r>
      </text>
    </comment>
    <comment ref="Q4" authorId="2" shapeId="0">
      <text>
        <r>
          <rPr>
            <sz val="9"/>
            <rFont val="宋体"/>
            <family val="3"/>
            <charset val="134"/>
          </rPr>
          <t xml:space="preserve">修改了注意修改全局表上开启狂暴2级的vip等级
</t>
        </r>
      </text>
    </comment>
    <comment ref="R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T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2|1001|X，X表示捕鱼最大掉落数量</t>
        </r>
      </text>
    </comment>
    <comment ref="AH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当玩家于注册之日起的前7天登录,若玩家为VIPN且持有金币小于等于G，则能量E增加，直到玩家金币大于G</t>
        </r>
      </text>
    </comment>
    <comment ref="AN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AO5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炮相关VIP查看
svn://192.168.8.190/fruit/tech/json/DataTable/炮Weapon.xlsx</t>
        </r>
      </text>
    </comment>
  </commentList>
</comments>
</file>

<file path=xl/comments4.xml><?xml version="1.0" encoding="utf-8"?>
<comments xmlns="http://schemas.openxmlformats.org/spreadsheetml/2006/main">
  <authors>
    <author>jianlong wo</author>
    <author>86177</author>
  </authors>
  <commentList>
    <comment ref="P4" authorId="0" shapeId="0">
      <text>
        <r>
          <rPr>
            <b/>
            <sz val="9"/>
            <rFont val="宋体"/>
            <family val="3"/>
            <charset val="134"/>
          </rPr>
          <t>阶段五结束条件</t>
        </r>
        <r>
          <rPr>
            <sz val="9"/>
            <rFont val="宋体"/>
            <family val="3"/>
            <charset val="134"/>
          </rPr>
          <t xml:space="preserve">
当玩家持有金币 - 房间最大炮倍*屏幕子弹最大数量20满足进入下一个高级房间金币范围</t>
        </r>
      </text>
    </comment>
    <comment ref="L7" authorId="1" shapeId="0">
      <text>
        <r>
          <rPr>
            <b/>
            <sz val="9"/>
            <rFont val="宋体"/>
            <family val="3"/>
            <charset val="134"/>
          </rPr>
          <t>修改前为:</t>
        </r>
        <r>
          <rPr>
            <sz val="9"/>
            <rFont val="宋体"/>
            <family val="3"/>
            <charset val="134"/>
          </rPr>
          <t xml:space="preserve">
3301,3302,3303</t>
        </r>
      </text>
    </comment>
  </commentList>
</comments>
</file>

<file path=xl/comments5.xml><?xml version="1.0" encoding="utf-8"?>
<comments xmlns="http://schemas.openxmlformats.org/spreadsheetml/2006/main">
  <authors>
    <author>jianlong wo</author>
  </authors>
  <commentList>
    <comment ref="M2" authorId="0" shapeId="0">
      <text>
        <r>
          <rPr>
            <b/>
            <sz val="9"/>
            <rFont val="宋体"/>
            <family val="3"/>
            <charset val="134"/>
          </rPr>
          <t>1天按照4小时游戏时长计算</t>
        </r>
      </text>
    </comment>
  </commentList>
</comments>
</file>

<file path=xl/comments6.xml><?xml version="1.0" encoding="utf-8"?>
<comments xmlns="http://schemas.openxmlformats.org/spreadsheetml/2006/main">
  <authors>
    <author>jianlong wo</author>
    <author>User</author>
    <author>user</author>
    <author>作者</author>
    <author>燕</author>
  </authors>
  <commentList>
    <comment ref="V1" authorId="0" shapeId="0">
      <text>
        <r>
          <rPr>
            <sz val="9"/>
            <rFont val="宋体"/>
            <family val="3"/>
            <charset val="134"/>
          </rPr>
          <t>捕鱼掉落话费券占比为计算值</t>
        </r>
      </text>
    </comment>
    <comment ref="AF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添加新的小精灵需要跟美术确认</t>
        </r>
      </text>
    </comment>
    <comment ref="AV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W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X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Y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Z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BD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目前参考的是闪电鱼的</t>
        </r>
      </text>
    </comment>
    <comment ref="BN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在鱼的价值的基础上，额外拿出10%，作为小游戏奖励</t>
        </r>
      </text>
    </comment>
    <comment ref="CW1" authorId="0" shapeId="0">
      <text>
        <r>
          <rPr>
            <sz val="9"/>
            <rFont val="宋体"/>
            <family val="3"/>
            <charset val="134"/>
          </rPr>
          <t>捕鱼掉落、抽奖、每日任务、话费鱼潮上限GM中配置；
话费券金币价值GM配置</t>
        </r>
      </text>
    </comment>
    <comment ref="CL2" authorId="3" shapeId="0">
      <text>
        <r>
          <rPr>
            <b/>
            <sz val="9"/>
            <rFont val="宋体"/>
            <family val="3"/>
            <charset val="134"/>
          </rPr>
          <t>话费券金币价值:</t>
        </r>
        <r>
          <rPr>
            <sz val="9"/>
            <rFont val="宋体"/>
            <family val="3"/>
            <charset val="134"/>
          </rPr>
          <t xml:space="preserve">
通过乐缤纷捕鱼净消耗金币和(玩家充值-消耗话费券）的比例大致确定值
此值为标准值，GM可配置方便调整</t>
        </r>
      </text>
    </comment>
    <comment ref="CV3" authorId="3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小于1000炮，按照1000炮的来计算</t>
        </r>
      </text>
    </comment>
    <comment ref="A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为了提高运算效率
id是写死的，策划注意一下，fishid和行号一一对应</t>
        </r>
      </text>
    </comment>
    <comment ref="B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里面有些名字是没有鱼对应的小精灵的，暂时用鱼的代替</t>
        </r>
      </text>
    </comment>
    <comment ref="C4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5特殊鱼都不掉金币，特殊鱼都是单独处理的</t>
        </r>
      </text>
    </comment>
    <comment ref="T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普通鱼掉落，锁定、冰送、召唤，按照开炮次数来计算，出现的物品的价值，还没配置</t>
        </r>
      </text>
    </comment>
    <comment ref="AN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冰晶跟着缩放比一起走</t>
        </r>
      </text>
    </comment>
    <comment ref="AP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fruit\art\pokemon\Effect\底座 小精灵脚下原盘提交</t>
        </r>
      </text>
    </comment>
    <comment ref="AW4" authorId="4" shapeId="0">
      <text>
        <r>
          <rPr>
            <sz val="9"/>
            <rFont val="宋体"/>
            <family val="3"/>
            <charset val="134"/>
          </rPr>
          <t xml:space="preserve">
泡泡捕鱼当前使用版本</t>
        </r>
      </text>
    </comment>
    <comment ref="CY4" authorId="0" shapeId="0">
      <text>
        <r>
          <rPr>
            <b/>
            <sz val="9"/>
            <rFont val="宋体"/>
            <family val="3"/>
            <charset val="134"/>
          </rPr>
          <t>基础值是个固定值</t>
        </r>
      </text>
    </comment>
    <comment ref="DG4" authorId="0" shapeId="0">
      <text>
        <r>
          <rPr>
            <b/>
            <sz val="9"/>
            <rFont val="宋体"/>
            <family val="3"/>
            <charset val="134"/>
          </rPr>
          <t xml:space="preserve">鱼被捕获情况下掉落概率
按照分值计算出的大致概率
</t>
        </r>
      </text>
    </comment>
    <comment ref="DA5" authorId="0" shapeId="0">
      <text>
        <r>
          <rPr>
            <b/>
            <sz val="9"/>
            <rFont val="宋体"/>
            <family val="3"/>
            <charset val="134"/>
          </rPr>
          <t>鱼被捕获概率*鱼被捕获下掉落概率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J6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5分钟出现一个红包，20分钟出完</t>
        </r>
      </text>
    </comment>
    <comment ref="E30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从【黄金鱼分值设计】score不能为float类型</t>
        </r>
      </text>
    </comment>
    <comment ref="AF33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动作改成序列帧有点大，所以改回spine</t>
        </r>
      </text>
    </comment>
    <comment ref="AF35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动作改成序列帧有点大，所以改回spine</t>
        </r>
      </text>
    </comment>
    <comment ref="B3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图鉴占位配置，book_Num填写就表示需要展示，哪怕为空</t>
        </r>
      </text>
    </comment>
    <comment ref="O39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不掉小游戏卡牌</t>
        </r>
      </text>
    </comment>
    <comment ref="DE4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冰海精灵、玄龙鲸鱼、艾莎技能触发一刻不掉福卡</t>
        </r>
      </text>
    </comment>
    <comment ref="O46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B47" authorId="0" shapeId="0">
      <text>
        <r>
          <rPr>
            <sz val="9"/>
            <rFont val="宋体"/>
            <family val="3"/>
            <charset val="134"/>
          </rPr>
          <t xml:space="preserve">
彩金boss
不掉抽奖券、小游戏卡牌、福卡、免费开火增加时间、</t>
        </r>
      </text>
    </comment>
    <comment ref="O47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DE47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彩金boss
不掉抽奖券、小游戏卡牌、福卡、免费开火增加时间、</t>
        </r>
      </text>
    </comment>
    <comment ref="O48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V48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特殊鱼、龙舟、福卡不掉抽奖券、小游戏卡牌、免费开火增加时间</t>
        </r>
      </text>
    </comment>
    <comment ref="AE48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皮卡丘特有动画</t>
        </r>
      </text>
    </comment>
    <comment ref="O50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AE50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可达鸭特有动画</t>
        </r>
      </text>
    </comment>
    <comment ref="E5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卡牌鱼价值和不掉卡牌鱼的分值是一样的</t>
        </r>
      </text>
    </comment>
    <comment ref="W51" authorId="0" shapeId="0">
      <text>
        <r>
          <rPr>
            <b/>
            <sz val="9"/>
            <rFont val="宋体"/>
            <family val="3"/>
            <charset val="134"/>
          </rPr>
          <t>海豚特殊处理，捕获必掉卡牌，额外掉落为0%</t>
        </r>
      </text>
    </comment>
    <comment ref="C53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</t>
        </r>
      </text>
    </comment>
    <comment ref="O53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DG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J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M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P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S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V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Y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B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E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H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K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N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Q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T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W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Z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C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F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I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L53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K56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小额话费券标准价值1～10、10~100、100~1000之间
炮倍不同小额话费的金额不同</t>
        </r>
      </text>
    </comment>
    <comment ref="O56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</commentList>
</comments>
</file>

<file path=xl/comments7.xml><?xml version="1.0" encoding="utf-8"?>
<comments xmlns="http://schemas.openxmlformats.org/spreadsheetml/2006/main">
  <authors>
    <author>user</author>
    <author>作者</author>
    <author>86177</author>
    <author>jianlong wo</author>
  </authors>
  <commentList>
    <comment ref="F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按账号算：玩家抽奖从来没有得过话费券,在抽奖时,第一档和第二档的话费券价值降低
玩家拥有话费券数量&lt;=220时，按照配置的来，否则不掉了话费券（参考服务器控制值）</t>
        </r>
      </text>
    </comment>
    <comment ref="G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K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BI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BM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BR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BV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CA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CE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CJ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CN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D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物品触发分享的概率是客户端算得，计算价值是不需要关注分享概率，只需关注本次能不能双倍</t>
        </r>
      </text>
    </comment>
    <comment ref="CT5" authorId="2" shapeId="0">
      <text>
        <r>
          <rPr>
            <b/>
            <sz val="9"/>
            <rFont val="宋体"/>
            <family val="3"/>
            <charset val="134"/>
          </rPr>
          <t>86177:</t>
        </r>
        <r>
          <rPr>
            <sz val="9"/>
            <rFont val="宋体"/>
            <family val="3"/>
            <charset val="134"/>
          </rPr>
          <t xml:space="preserve">
档位奖励需要有这个区间之外的最大值和最小值</t>
        </r>
      </text>
    </comment>
    <comment ref="DP1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其钻石价值可以比标准值高</t>
        </r>
      </text>
    </comment>
    <comment ref="DO17" authorId="3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话费卡的价值与话费券对应
5元=5000话费券</t>
        </r>
      </text>
    </comment>
  </commentList>
</comments>
</file>

<file path=xl/comments8.xml><?xml version="1.0" encoding="utf-8"?>
<comments xmlns="http://schemas.openxmlformats.org/spreadsheetml/2006/main">
  <authors>
    <author>user</author>
    <author>作者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3,配置一个掉落组,每次安装权重从里面随机一个物品，当该物品不能再掉落时，从掉落组移除，但是可掉落物品的总概率保持不变</t>
        </r>
      </text>
    </comment>
    <comment ref="A39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根据鱼的分值分配掉落组
1200炮必掉一个道具</t>
        </r>
      </text>
    </comment>
  </commentList>
</comments>
</file>

<file path=xl/comments9.xml><?xml version="1.0" encoding="utf-8"?>
<comments xmlns="http://schemas.openxmlformats.org/spreadsheetml/2006/main">
  <authors>
    <author>jianlong wo</author>
    <author>user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xianlai1---海南
xianlai2---广西
xianlai3---贵州
xianlai4---陕西
xianlai5---广东
xianlai6---福建
xianlai7---湖南
xianlai8---云南</t>
        </r>
      </text>
    </comment>
    <comment ref="J5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兑换商城没有用到该字段</t>
        </r>
      </text>
    </comment>
    <comment ref="J1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兑换商城没有用到该字段</t>
        </r>
      </text>
    </comment>
    <comment ref="W20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  <comment ref="C21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提审状态下不配置渠道
暂时需要配置，每加一个渠道添加一个</t>
        </r>
      </text>
    </comment>
    <comment ref="I2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你游戏我买单
没有用到该字段</t>
        </r>
      </text>
    </comment>
    <comment ref="I3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你游戏我买单
没有用到该字段</t>
        </r>
      </text>
    </comment>
    <comment ref="C3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提审状态下不配置渠道</t>
        </r>
      </text>
    </comment>
    <comment ref="C40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提审状态下不配置渠道</t>
        </r>
      </text>
    </comment>
    <comment ref="C41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提审状态下不配置渠道</t>
        </r>
      </text>
    </comment>
    <comment ref="C4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提审状态下不配置渠道</t>
        </r>
      </text>
    </comment>
    <comment ref="C4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提审状态下不配置渠道</t>
        </r>
      </text>
    </comment>
  </commentList>
</comments>
</file>

<file path=xl/sharedStrings.xml><?xml version="1.0" encoding="utf-8"?>
<sst xmlns="http://schemas.openxmlformats.org/spreadsheetml/2006/main" count="4634" uniqueCount="2101">
  <si>
    <t>cs</t>
  </si>
  <si>
    <t>s</t>
  </si>
  <si>
    <t>演出节奏</t>
  </si>
  <si>
    <t>新手</t>
  </si>
  <si>
    <t>阶段1
金币池子</t>
  </si>
  <si>
    <t>阶段2
金币池子</t>
  </si>
  <si>
    <t>阶段3
金币池子</t>
  </si>
  <si>
    <t>阶段4
金币池子</t>
  </si>
  <si>
    <t>阶段5
无池子概念，结束点为跳转房间</t>
  </si>
  <si>
    <t>龙舟分值第1阶段</t>
  </si>
  <si>
    <t>（第3阶段按照正常鱼被捕获情况下掉落2500金币对应1福卡）</t>
  </si>
  <si>
    <t>int</t>
  </si>
  <si>
    <t>String</t>
  </si>
  <si>
    <t>float</t>
  </si>
  <si>
    <t>string</t>
  </si>
  <si>
    <t>初级</t>
  </si>
  <si>
    <t>龙舟分值第2阶段</t>
  </si>
  <si>
    <t>经典场</t>
  </si>
  <si>
    <t>核弹专场3个阶段掉弹头，2000炮倍起</t>
  </si>
  <si>
    <t>cannonLevel</t>
  </si>
  <si>
    <t>unlockMethod</t>
  </si>
  <si>
    <t>billMultiple</t>
  </si>
  <si>
    <t>rmbType5Pro</t>
  </si>
  <si>
    <t>rmbType6</t>
  </si>
  <si>
    <t>lgDantouId</t>
  </si>
  <si>
    <t>eggNeedGold</t>
  </si>
  <si>
    <t>harmC</t>
  </si>
  <si>
    <t>jjcC</t>
  </si>
  <si>
    <t>perC</t>
  </si>
  <si>
    <t>use</t>
  </si>
  <si>
    <t>reward</t>
  </si>
  <si>
    <t>isBCannonLevel</t>
  </si>
  <si>
    <t>paoNum</t>
  </si>
  <si>
    <t>use_B</t>
  </si>
  <si>
    <t>reward_B</t>
  </si>
  <si>
    <t>growup</t>
  </si>
  <si>
    <t>vipgrowup</t>
  </si>
  <si>
    <t>vipgrade</t>
  </si>
  <si>
    <t>EA</t>
  </si>
  <si>
    <t>EB</t>
  </si>
  <si>
    <t>ENobroke</t>
  </si>
  <si>
    <t>diamondDrop</t>
  </si>
  <si>
    <t>fukaDrop</t>
  </si>
  <si>
    <t>dantouDrop</t>
  </si>
  <si>
    <t>中级</t>
  </si>
  <si>
    <t>龙舟分值第3阶段</t>
  </si>
  <si>
    <t>第2阶段(鱼被捕获情况下)</t>
  </si>
  <si>
    <t>第1阶段：金币</t>
  </si>
  <si>
    <r>
      <rPr>
        <sz val="11"/>
        <color theme="1"/>
        <rFont val="微软雅黑"/>
        <family val="2"/>
        <charset val="134"/>
      </rPr>
      <t>第2阶段：金币/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+钻石</t>
    </r>
  </si>
  <si>
    <r>
      <rPr>
        <sz val="11"/>
        <color theme="1"/>
        <rFont val="微软雅黑"/>
        <family val="2"/>
        <charset val="134"/>
      </rPr>
      <t>第3阶段：金币/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+福卡</t>
    </r>
  </si>
  <si>
    <t>炮解锁炮倍率
1，2,5...代表炮将要解锁的倍率</t>
  </si>
  <si>
    <r>
      <rPr>
        <sz val="8"/>
        <color theme="1"/>
        <rFont val="微软雅黑"/>
        <family val="2"/>
        <charset val="134"/>
      </rPr>
      <t xml:space="preserve">解锁方式
0是自动炮解；1手动炮解锁
从当前等级到下一级的解锁方式
</t>
    </r>
    <r>
      <rPr>
        <sz val="8"/>
        <color rgb="FFFF0000"/>
        <rFont val="微软雅黑"/>
        <family val="2"/>
        <charset val="134"/>
      </rPr>
      <t>暂时废弃</t>
    </r>
  </si>
  <si>
    <t xml:space="preserve">话费鱼潮
小额福卡倍数
鱼属性表基础值10的倍数
话费鱼潮S值改变后需要调整
</t>
  </si>
  <si>
    <t>50x,喜从天降
玩家最大炮倍率对应的出现喜从天降的概率</t>
  </si>
  <si>
    <r>
      <rPr>
        <sz val="10"/>
        <color theme="1"/>
        <rFont val="微软雅黑"/>
        <family val="2"/>
        <charset val="134"/>
      </rPr>
      <t xml:space="preserve">最大炮倍率对应的直升N炮档位(6xx)
</t>
    </r>
    <r>
      <rPr>
        <sz val="8"/>
        <color theme="1"/>
        <rFont val="微软雅黑"/>
        <family val="2"/>
        <charset val="134"/>
      </rPr>
      <t xml:space="preserve">-1表示此类没有直升N炮充值
</t>
    </r>
    <r>
      <rPr>
        <sz val="8"/>
        <color rgb="FFFF0000"/>
        <rFont val="微软雅黑"/>
        <family val="2"/>
        <charset val="134"/>
      </rPr>
      <t>暂时废弃</t>
    </r>
  </si>
  <si>
    <r>
      <rPr>
        <b/>
        <i/>
        <sz val="10"/>
        <color theme="1"/>
        <rFont val="微软雅黑"/>
        <family val="2"/>
        <charset val="134"/>
      </rPr>
      <t xml:space="preserve">当前炮倍率对应的龙龟掉弹头类型
</t>
    </r>
    <r>
      <rPr>
        <b/>
        <i/>
        <sz val="10"/>
        <color rgb="FFFF0000"/>
        <rFont val="微软雅黑"/>
        <family val="2"/>
        <charset val="134"/>
      </rPr>
      <t>暂时废弃</t>
    </r>
  </si>
  <si>
    <t>砸金蛋，捕鱼获得金币任务的金币需求</t>
  </si>
  <si>
    <t>炮倍对龙舟的伤害系数
150表示150%</t>
  </si>
  <si>
    <t>竞技场积分加成系数
150表示150%</t>
  </si>
  <si>
    <t>勇者斗恶龙
闪电占鱼score
表中值/10000为需求系数
10000表示1</t>
  </si>
  <si>
    <r>
      <rPr>
        <sz val="8"/>
        <color rgb="FFFF0000"/>
        <rFont val="微软雅黑"/>
        <family val="2"/>
        <charset val="134"/>
      </rPr>
      <t xml:space="preserve">解锁消耗
格式：x1|y1|z1,x2|y2|z2|
type：消耗类型；：1货币，2道具
id：物品id，1钻石，2金币 ，其他的物品还没定义
value：具体数量
不填代表没有奖励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</si>
  <si>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rgb="FFFF0000"/>
        <rFont val="微软雅黑"/>
        <family val="2"/>
        <charset val="134"/>
      </rPr>
      <t xml:space="preserve">解锁奖励
与解锁配置方式一样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</si>
  <si>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跳档位升级是否有该过度档
第1档和最后1档必须都要有
1是，0否
</t>
    </r>
    <r>
      <rPr>
        <sz val="8"/>
        <color rgb="FFFF0000"/>
        <rFont val="微软雅黑"/>
        <family val="2"/>
        <charset val="134"/>
      </rPr>
      <t>暂时废弃</t>
    </r>
    <r>
      <rPr>
        <sz val="8"/>
        <color theme="1"/>
        <rFont val="微软雅黑"/>
        <family val="2"/>
        <charset val="134"/>
      </rPr>
      <t xml:space="preserve">
</t>
    </r>
  </si>
  <si>
    <t>第N档炮</t>
  </si>
  <si>
    <r>
      <rPr>
        <sz val="8"/>
        <color theme="1"/>
        <rFont val="微软雅黑"/>
        <family val="2"/>
        <charset val="134"/>
      </rPr>
      <t>跳档解锁消耗（目前有开关）
格式：</t>
    </r>
    <r>
      <rPr>
        <sz val="8"/>
        <color rgb="FFFF0000"/>
        <rFont val="微软雅黑"/>
        <family val="2"/>
        <charset val="134"/>
      </rPr>
      <t>x1|y1|z1,x2|y2|z2|</t>
    </r>
    <r>
      <rPr>
        <sz val="8"/>
        <color theme="1"/>
        <rFont val="微软雅黑"/>
        <family val="2"/>
        <charset val="134"/>
      </rPr>
      <t xml:space="preserve">
type：消耗类型；：1货币，2道具
id：物品id，1钻石，2金币 ，其他的物品还没定义
value：具体数量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</si>
  <si>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跳档解锁奖励
与解锁配置方式一样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</si>
  <si>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普通成长奖励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</si>
  <si>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vip成长奖励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</si>
  <si>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可以领取奖励的vip等级
不填代表没有可对应的领取等级
</t>
    </r>
    <r>
      <rPr>
        <sz val="8"/>
        <color rgb="FFFF0000"/>
        <rFont val="微软雅黑"/>
        <family val="2"/>
        <charset val="134"/>
      </rPr>
      <t>暂时废弃</t>
    </r>
  </si>
  <si>
    <t>演出阶段
A计算方式能量
新手能量，各个阶段能量</t>
  </si>
  <si>
    <t>演出阶段
B计算方式能量
新手能量</t>
  </si>
  <si>
    <t>不破产礼包5个阶段能量</t>
  </si>
  <si>
    <r>
      <rPr>
        <sz val="8"/>
        <color theme="1"/>
        <rFont val="微软雅黑"/>
        <family val="2"/>
        <charset val="134"/>
      </rPr>
      <t xml:space="preserve">龙舟经典场
第2阶段掉落钻石
</t>
    </r>
    <r>
      <rPr>
        <sz val="8"/>
        <color rgb="FFFF0000"/>
        <rFont val="微软雅黑"/>
        <family val="2"/>
        <charset val="134"/>
      </rPr>
      <t>"掉落数量,面额,概率"</t>
    </r>
  </si>
  <si>
    <r>
      <rPr>
        <sz val="8"/>
        <color theme="1"/>
        <rFont val="微软雅黑"/>
        <family val="2"/>
        <charset val="134"/>
      </rPr>
      <t xml:space="preserve">龙舟经典场
第3阶段掉落福卡
</t>
    </r>
    <r>
      <rPr>
        <sz val="8"/>
        <color rgb="FFFF0000"/>
        <rFont val="微软雅黑"/>
        <family val="2"/>
        <charset val="134"/>
      </rPr>
      <t>"掉落数量,面额,概率"
暂时废弃</t>
    </r>
  </si>
  <si>
    <t>核弹专场掉落弹头
第1、2、3阶段
[id，数量，概率],[id，数量，概率],[id，数量，概率]</t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</si>
  <si>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0</t>
    </r>
  </si>
  <si>
    <t>产出速率/s</t>
  </si>
  <si>
    <t>需要多久到下级房间或破产（开火时间/分钟）</t>
  </si>
  <si>
    <t>EA生效的开火次数范围</t>
  </si>
  <si>
    <t>阶段N</t>
  </si>
  <si>
    <t>演出金币
阶段n计算所用金币值</t>
  </si>
  <si>
    <t>阶段终结条件</t>
  </si>
  <si>
    <t>炮倍对应
总时间</t>
  </si>
  <si>
    <r>
      <rPr>
        <sz val="11"/>
        <color theme="1"/>
        <rFont val="微软雅黑"/>
        <family val="2"/>
        <charset val="134"/>
      </rPr>
      <t>E2</t>
    </r>
    <r>
      <rPr>
        <sz val="6"/>
        <color theme="1"/>
        <rFont val="微软雅黑"/>
        <family val="2"/>
        <charset val="134"/>
      </rPr>
      <t>1</t>
    </r>
  </si>
  <si>
    <t>能量&gt;1
开火次数</t>
  </si>
  <si>
    <r>
      <rPr>
        <sz val="11"/>
        <color theme="1"/>
        <rFont val="微软雅黑"/>
        <family val="2"/>
        <charset val="134"/>
      </rPr>
      <t>E2</t>
    </r>
    <r>
      <rPr>
        <sz val="9"/>
        <color theme="1"/>
        <rFont val="微软雅黑"/>
        <family val="2"/>
        <charset val="134"/>
      </rPr>
      <t>2</t>
    </r>
  </si>
  <si>
    <t>速率</t>
  </si>
  <si>
    <t>能量&lt;1
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</si>
  <si>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3</t>
    </r>
  </si>
  <si>
    <t>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</si>
  <si>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</si>
  <si>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5</t>
    </r>
  </si>
  <si>
    <t>跳转需要的
开火次数</t>
  </si>
  <si>
    <t>掉落1钻石概率</t>
  </si>
  <si>
    <t>掉落数量</t>
  </si>
  <si>
    <t>面额</t>
  </si>
  <si>
    <t>掉落概率</t>
  </si>
  <si>
    <t>金币价值</t>
  </si>
  <si>
    <t>id</t>
  </si>
  <si>
    <t>数量</t>
  </si>
  <si>
    <t>概率</t>
  </si>
  <si>
    <t>阶段1</t>
  </si>
  <si>
    <t>新手跳转到初级房</t>
  </si>
  <si>
    <t>演出结束时间</t>
  </si>
  <si>
    <t>钻石占比</t>
  </si>
  <si>
    <t>阶段2</t>
  </si>
  <si>
    <t>初级跳转到中级房</t>
  </si>
  <si>
    <t>到高级房时间</t>
  </si>
  <si>
    <t>钻石金币价值</t>
  </si>
  <si>
    <t>阶段3</t>
  </si>
  <si>
    <t>中级跳转到高级房</t>
  </si>
  <si>
    <t>福卡占比</t>
  </si>
  <si>
    <t>阶段4.1</t>
  </si>
  <si>
    <t>高级房：演出金币首次达到1200万</t>
  </si>
  <si>
    <t>福卡金币价值</t>
  </si>
  <si>
    <t>阶段4.2</t>
  </si>
  <si>
    <t>高级房：4.1基础上演出金币首次达到600万</t>
  </si>
  <si>
    <t>阶段4.3</t>
  </si>
  <si>
    <t>高级房：4.2基础上演出金币首次达到800万</t>
  </si>
  <si>
    <t>弹头id</t>
  </si>
  <si>
    <t>阶段4.4</t>
  </si>
  <si>
    <t>高级房：4.3基础上演出金币首次达到200万</t>
  </si>
  <si>
    <t>阶段4.5</t>
  </si>
  <si>
    <t>高级房：4.4基础上演出金币首次达到400万</t>
  </si>
  <si>
    <t>阶段4.6</t>
  </si>
  <si>
    <t>高级房：4.5基础上演出金币首次达到0万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</si>
  <si>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1</t>
    </r>
  </si>
  <si>
    <t>开火时间/分钟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</si>
  <si>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2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</si>
  <si>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3</t>
    </r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</si>
  <si>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</si>
  <si>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5</t>
    </r>
  </si>
  <si>
    <t>阶段1-4，5+1，结束条件为池子，阶段5为跳转房间</t>
  </si>
  <si>
    <t>key-value</t>
  </si>
  <si>
    <t>key</t>
  </si>
  <si>
    <t>value</t>
  </si>
  <si>
    <t>参数名称</t>
  </si>
  <si>
    <t>参数值，可以是各种数据类型的数字或字符串，程序来转化，一般都是值，不能填小数</t>
  </si>
  <si>
    <t>备注</t>
  </si>
  <si>
    <t>BulletsPerSecond</t>
  </si>
  <si>
    <t>每秒发射子弹数量（未生效）</t>
  </si>
  <si>
    <t>BulletV0</t>
  </si>
  <si>
    <t>子弹速度（标准1280*720，只在x或y轴移动的）</t>
  </si>
  <si>
    <t>BulletV0Per</t>
  </si>
  <si>
    <t>龙鲸武器第1阶段速度比例，在标准速度下的比例</t>
  </si>
  <si>
    <t>BulletV0DownPer</t>
  </si>
  <si>
    <t>龙鲸第2阶段速度，每帧衰减比例，1s60帧</t>
  </si>
  <si>
    <t>freeFire</t>
  </si>
  <si>
    <t>1,2</t>
  </si>
  <si>
    <t>冰海精灵免费开火能寄存的房间</t>
  </si>
  <si>
    <t>freeFireHz</t>
  </si>
  <si>
    <t>9</t>
  </si>
  <si>
    <t>冰海精灵期间开火频率，1秒钟N发子弹</t>
  </si>
  <si>
    <t>xuanlongjing</t>
  </si>
  <si>
    <t>3,4,6</t>
  </si>
  <si>
    <t>玄龙鲸鱼能寄存的房间</t>
  </si>
  <si>
    <t>CompenGold_UpLimit</t>
  </si>
  <si>
    <t>100000</t>
  </si>
  <si>
    <t>发财金上限</t>
  </si>
  <si>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=A+MIN(UpLimit,B+当前解锁最高炮倍率*C)</t>
    </r>
  </si>
  <si>
    <t>CompenGold_B</t>
  </si>
  <si>
    <t>B表示发财金系数常量，暂定1000，填表控制</t>
  </si>
  <si>
    <t>A表示当前vip（从vip0开始到vip9）对应的发财金提升值，填表控制</t>
  </si>
  <si>
    <t>CompenGold_C</t>
  </si>
  <si>
    <t>0</t>
  </si>
  <si>
    <t>C表示炮倍率的乘法系数，暂定20，填表控制，</t>
  </si>
  <si>
    <t>VIP X</t>
  </si>
  <si>
    <t>A</t>
  </si>
  <si>
    <t>炮倍率档位</t>
  </si>
  <si>
    <t>金币</t>
  </si>
  <si>
    <t>Mission_Offer_Interval_limitfire</t>
  </si>
  <si>
    <t>300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</si>
  <si>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，需要的房间开炮次数</t>
    </r>
  </si>
  <si>
    <t>Mission_Offer_Interval</t>
  </si>
  <si>
    <t>720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</si>
  <si>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，需要的时间间隔/秒</t>
    </r>
  </si>
  <si>
    <t>Mission_Offer_FireTimes</t>
  </si>
  <si>
    <t>7500</t>
  </si>
  <si>
    <r>
      <rPr>
        <sz val="11"/>
        <color theme="1"/>
        <rFont val="微软雅黑"/>
        <family val="2"/>
        <charset val="134"/>
      </rPr>
      <t>按照房间开炮总次数出现的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，需要的开炮总次数</t>
    </r>
  </si>
  <si>
    <t>weaponEnergy</t>
  </si>
  <si>
    <t>武器的初始能量=weaponEnergy/10000</t>
  </si>
  <si>
    <t>weaponEnergyjjc</t>
  </si>
  <si>
    <t>竞技场武器的初始能量=weaponEnergyjjc/10000</t>
  </si>
  <si>
    <t>kingMultiple</t>
  </si>
  <si>
    <t>国王的悬赏转盘奖励倍数</t>
  </si>
  <si>
    <t>gameCardMax</t>
  </si>
  <si>
    <t>500000</t>
  </si>
  <si>
    <t>小游戏卡牌的倍率临界值，用来校验下次是否掉落小游戏卡牌的</t>
  </si>
  <si>
    <t>gameEndfishPro</t>
  </si>
  <si>
    <t>3500</t>
  </si>
  <si>
    <t>小游戏结束后，有概率出海豚，该值/10000</t>
  </si>
  <si>
    <t>userHeadImage</t>
  </si>
  <si>
    <t>ic_tx_01,ic_tx_02,ic_tx_03,ic_tx_04,ic_tx_05,ic_tx_06,ic_tx_07,ic_tx_08</t>
  </si>
  <si>
    <t>用户头像（为了节省配置，就放在这里拼接一个字符串了）</t>
  </si>
  <si>
    <t>BlessNeedElves</t>
  </si>
  <si>
    <t>5,10</t>
  </si>
  <si>
    <t>月神赐福需要的小精灵数量</t>
  </si>
  <si>
    <t>pikaqiuBaodi</t>
  </si>
  <si>
    <r>
      <rPr>
        <sz val="11"/>
        <color theme="1"/>
        <rFont val="微软雅黑"/>
        <family val="2"/>
        <charset val="134"/>
      </rPr>
      <t>皮卡丘闪电保底值，</t>
    </r>
    <r>
      <rPr>
        <sz val="11"/>
        <color rgb="FFFF0000"/>
        <rFont val="微软雅黑"/>
        <family val="2"/>
        <charset val="134"/>
      </rPr>
      <t>算闪电能量时需要闪电鱼value减去该值</t>
    </r>
    <r>
      <rPr>
        <b/>
        <sz val="11"/>
        <color rgb="FFFF0000"/>
        <rFont val="微软雅黑"/>
        <family val="2"/>
        <charset val="134"/>
      </rPr>
      <t>(暂时去掉)</t>
    </r>
  </si>
  <si>
    <t>zhadanFishRangeC</t>
  </si>
  <si>
    <t>9000,11000</t>
  </si>
  <si>
    <r>
      <rPr>
        <sz val="11"/>
        <color theme="1"/>
        <rFont val="微软雅黑"/>
        <family val="2"/>
        <charset val="134"/>
      </rPr>
      <t>炸弹蟹、闪电鱼分值浮动范围9000，表示0.9</t>
    </r>
    <r>
      <rPr>
        <sz val="11"/>
        <color rgb="FFFF0000"/>
        <rFont val="微软雅黑"/>
        <family val="2"/>
        <charset val="134"/>
      </rPr>
      <t>(暂时是写死的,待调整时拆开)</t>
    </r>
  </si>
  <si>
    <t>aishaSkillBaodi</t>
  </si>
  <si>
    <t>50,75</t>
  </si>
  <si>
    <r>
      <rPr>
        <sz val="11"/>
        <color theme="1"/>
        <rFont val="微软雅黑"/>
        <family val="2"/>
        <charset val="134"/>
      </rPr>
      <t>艾莎技能保底值，</t>
    </r>
    <r>
      <rPr>
        <sz val="11"/>
        <color rgb="FFFF0000"/>
        <rFont val="微软雅黑"/>
        <family val="2"/>
        <charset val="134"/>
      </rPr>
      <t>算闪电能量时需要技能value减去该值</t>
    </r>
  </si>
  <si>
    <t>aishaSkillValue</t>
  </si>
  <si>
    <t>200,300</t>
  </si>
  <si>
    <t>艾莎的技能value</t>
  </si>
  <si>
    <r>
      <rPr>
        <b/>
        <sz val="11"/>
        <color rgb="FF7030A0"/>
        <rFont val="微软雅黑"/>
        <family val="2"/>
        <charset val="134"/>
      </rPr>
      <t>longjing</t>
    </r>
    <r>
      <rPr>
        <b/>
        <sz val="11"/>
        <color rgb="FF7030A0"/>
        <rFont val="微软雅黑"/>
        <family val="2"/>
        <charset val="134"/>
      </rPr>
      <t>Score</t>
    </r>
  </si>
  <si>
    <t>裂海玄龙鲸score</t>
  </si>
  <si>
    <t>longjingE1st</t>
  </si>
  <si>
    <t>400</t>
  </si>
  <si>
    <t>裂海玄龙鲸第一阶段最大能量</t>
  </si>
  <si>
    <t>longjingTime1st</t>
  </si>
  <si>
    <t>15</t>
  </si>
  <si>
    <t>裂海玄龙鲸第一阶段最大持续时间</t>
  </si>
  <si>
    <t>longjingBaodi</t>
  </si>
  <si>
    <t>100</t>
  </si>
  <si>
    <t>裂海玄龙鲸保底值</t>
  </si>
  <si>
    <t>BHjinglingScore</t>
  </si>
  <si>
    <t>冰海精灵boss分值</t>
  </si>
  <si>
    <t>BHjinglingIndex</t>
  </si>
  <si>
    <t>[[10,10,1,75],[10,10,2,150],[10,10,3,225]]</t>
  </si>
  <si>
    <t>冰海精灵阶段对应得[时间/秒，增加时间上限，倍数，分值]</t>
  </si>
  <si>
    <t>qiantingzhaoziValue</t>
  </si>
  <si>
    <t>80</t>
  </si>
  <si>
    <t>潜艇罩子的积分</t>
  </si>
  <si>
    <t>qiantingBoxScore</t>
  </si>
  <si>
    <t>20</t>
  </si>
  <si>
    <t>潜艇宝箱的value，与分值score一样</t>
  </si>
  <si>
    <t>龙舟</t>
  </si>
  <si>
    <t>初级Hp</t>
  </si>
  <si>
    <t>中级Hp</t>
  </si>
  <si>
    <t>高级Hp</t>
  </si>
  <si>
    <t>longzhouScore</t>
  </si>
  <si>
    <t>龙舟第1、2、3阶段score</t>
  </si>
  <si>
    <t>longzhouHP</t>
  </si>
  <si>
    <t>25,33</t>
  </si>
  <si>
    <t>龙舟前两个阶段血量占总血量百分比（25表示25%），最后结果向下取整10万，第3阶段为总血量-前两个阶段血量</t>
  </si>
  <si>
    <t>longzhouST</t>
  </si>
  <si>
    <t>龙舟标准时间</t>
  </si>
  <si>
    <t>longzhouZuanPer</t>
  </si>
  <si>
    <t>第2阶段概率掉落的钻石占score比例，500表示5%，分母为10000</t>
  </si>
  <si>
    <t>longzhouFukaPer</t>
  </si>
  <si>
    <t>第3阶段概率掉落的福卡占score比例，福卡掉落走捕鱼掉落池子，当达到上限后per=0</t>
  </si>
  <si>
    <t>BonusNeedDamage</t>
  </si>
  <si>
    <t>龙舟赛额外奖励需达到的伤害：2000,每个房间都一样</t>
  </si>
  <si>
    <t>longguiFanbei</t>
  </si>
  <si>
    <t>3</t>
  </si>
  <si>
    <t>龙龟每次翻倍时间/s，用来控制龙龟boss播放led的延时时间</t>
  </si>
  <si>
    <t>lzTrackLeave</t>
  </si>
  <si>
    <t>龙舟及福卡争夺赛相关track快速游出屏幕需要时间/秒</t>
  </si>
  <si>
    <t>initItems</t>
  </si>
  <si>
    <t>玩家初始数据，启航礼包：福卡、锁定、金币</t>
  </si>
  <si>
    <t>initItems_iostishen</t>
  </si>
  <si>
    <t>2|1001|2,2|1002|2,1|2|5000</t>
  </si>
  <si>
    <t>ios提审状态下玩家初始数据，启航礼包：冰冻、锁定、金币</t>
  </si>
  <si>
    <t>initItems_show</t>
  </si>
  <si>
    <t>1</t>
  </si>
  <si>
    <t>玩家初始数据，启航礼包：哪个物品需要提示贵重物品,1表示第1个物品为贵重物品,"1,3"表示为第1和第3个物品为贵重物品</t>
  </si>
  <si>
    <t>shopFreeGoldCD</t>
  </si>
  <si>
    <t>商城金币页签-免费礼包冷却时间/分钟</t>
  </si>
  <si>
    <t>shopFreeDiamondCD</t>
  </si>
  <si>
    <t>商城钻石页签-免费礼包冷却时间/分钟</t>
  </si>
  <si>
    <t>globalMailInItem</t>
  </si>
  <si>
    <r>
      <rPr>
        <sz val="11"/>
        <color theme="1"/>
        <rFont val="微软雅黑"/>
        <family val="2"/>
        <charset val="134"/>
      </rPr>
      <t>全局系统邮件有效期/天（</t>
    </r>
    <r>
      <rPr>
        <sz val="11"/>
        <color rgb="FFFF0000"/>
        <rFont val="微软雅黑"/>
        <family val="2"/>
        <charset val="134"/>
      </rPr>
      <t>有</t>
    </r>
    <r>
      <rPr>
        <sz val="11"/>
        <color theme="1"/>
        <rFont val="微软雅黑"/>
        <family val="2"/>
        <charset val="134"/>
      </rPr>
      <t>附件的）</t>
    </r>
  </si>
  <si>
    <t>globalMailNothing</t>
  </si>
  <si>
    <t>全局系统邮件有效期/天（无附件的）</t>
  </si>
  <si>
    <t>otherMailInItem</t>
  </si>
  <si>
    <t>其他系统邮件有效期/天（有附件的）</t>
  </si>
  <si>
    <t>otherMailNothing</t>
  </si>
  <si>
    <t>其他系统邮件有效期/天（无附件的）</t>
  </si>
  <si>
    <t>ziDan_kuangBao1</t>
  </si>
  <si>
    <t>0,45,20,20</t>
  </si>
  <si>
    <t>狂暴1级子弹的碰撞区</t>
  </si>
  <si>
    <t>ziDan_kuangBao2</t>
  </si>
  <si>
    <t>狂暴2级子弹的碰撞区</t>
  </si>
  <si>
    <t>ziDan_kuangBao3</t>
  </si>
  <si>
    <t>狂暴3级子弹的碰撞区</t>
  </si>
  <si>
    <t>arenaOpenTime</t>
  </si>
  <si>
    <t>00:00:00</t>
  </si>
  <si>
    <r>
      <rPr>
        <sz val="11"/>
        <color theme="1"/>
        <rFont val="微软雅黑"/>
        <family val="2"/>
        <charset val="134"/>
      </rPr>
      <t>竞技场开启时间,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</si>
  <si>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arenaDeadLine</t>
  </si>
  <si>
    <t>23:00:00</t>
  </si>
  <si>
    <r>
      <rPr>
        <sz val="11"/>
        <color theme="1"/>
        <rFont val="微软雅黑"/>
        <family val="2"/>
        <charset val="134"/>
      </rPr>
      <t>竞技场报名截止时间,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</si>
  <si>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arenaCloseTime</t>
  </si>
  <si>
    <t>23:30:00</t>
  </si>
  <si>
    <r>
      <rPr>
        <sz val="11"/>
        <color theme="1"/>
        <rFont val="微软雅黑"/>
        <family val="2"/>
        <charset val="134"/>
      </rPr>
      <t>竞技场结束时间,</t>
    </r>
    <r>
      <rPr>
        <sz val="11"/>
        <color rgb="FFFF0000"/>
        <rFont val="微软雅黑"/>
        <family val="2"/>
        <charset val="134"/>
      </rPr>
      <t>改时间要跟服务器说一下</t>
    </r>
  </si>
  <si>
    <t>Day_Ranking_RewardTime</t>
  </si>
  <si>
    <t>24:00:00</t>
  </si>
  <si>
    <r>
      <rPr>
        <sz val="11"/>
        <color theme="1"/>
        <rFont val="微软雅黑"/>
        <family val="2"/>
        <charset val="134"/>
      </rPr>
      <t>竞技场日排行奖励发放时间,</t>
    </r>
    <r>
      <rPr>
        <sz val="11"/>
        <color rgb="FFFF0000"/>
        <rFont val="微软雅黑"/>
        <family val="2"/>
        <charset val="134"/>
      </rPr>
      <t>改时间要跟服务器说一下</t>
    </r>
  </si>
  <si>
    <t>Week_Ranking_RewardTime</t>
  </si>
  <si>
    <t>09:00:00</t>
  </si>
  <si>
    <r>
      <rPr>
        <sz val="11"/>
        <color theme="1"/>
        <rFont val="微软雅黑"/>
        <family val="2"/>
        <charset val="134"/>
      </rPr>
      <t>竞技场周冠军奖励发放时间，每周一早上9点,</t>
    </r>
    <r>
      <rPr>
        <sz val="11"/>
        <color rgb="FFFF0000"/>
        <rFont val="微软雅黑"/>
        <family val="2"/>
        <charset val="134"/>
      </rPr>
      <t>改时间要跟服务器说一下</t>
    </r>
  </si>
  <si>
    <t>FirstArenaDiamond</t>
  </si>
  <si>
    <t>[0,2,5,10,15,20,30]</t>
  </si>
  <si>
    <t>进入竞技场消耗钻石，次数对应的消耗，最后一个值表示后续都是这个消耗值</t>
  </si>
  <si>
    <t>[0,10,20,30,50,100,200,300,400,500,600]</t>
  </si>
  <si>
    <t>ArenaDiamond_A</t>
  </si>
  <si>
    <t>废弃</t>
  </si>
  <si>
    <t>(废弃)A再次进入竞技场的消耗钻石系数，暂定2，填表控制</t>
  </si>
  <si>
    <r>
      <rPr>
        <b/>
        <sz val="11"/>
        <color theme="1"/>
        <rFont val="微软雅黑"/>
        <family val="2"/>
        <charset val="134"/>
      </rPr>
      <t>竞技场进入钻石数量=MIN（A</t>
    </r>
    <r>
      <rPr>
        <b/>
        <vertAlign val="superscript"/>
        <sz val="11"/>
        <color theme="1"/>
        <rFont val="微软雅黑"/>
        <family val="2"/>
        <charset val="134"/>
      </rPr>
      <t>(n+B)</t>
    </r>
    <r>
      <rPr>
        <b/>
        <sz val="11"/>
        <color theme="1"/>
        <rFont val="微软雅黑"/>
        <family val="2"/>
        <charset val="134"/>
      </rPr>
      <t>,C）（n≥2）</t>
    </r>
  </si>
  <si>
    <t>潜艇频率验算</t>
  </si>
  <si>
    <t>ArenaDiamond_B</t>
  </si>
  <si>
    <t>(废弃)B再次进入竞技场的消耗钻石系数，暂定-2，填表控制</t>
  </si>
  <si>
    <t>ArenaDiamond_C</t>
  </si>
  <si>
    <t>(废弃)C再次进入竞技场的消耗钻石上限</t>
  </si>
  <si>
    <t>ArenaUseBulletNum</t>
  </si>
  <si>
    <t>1400,700</t>
  </si>
  <si>
    <t>竞技场任务触发需消耗的子弹数量</t>
  </si>
  <si>
    <t>Violent2OpenVip</t>
  </si>
  <si>
    <r>
      <rPr>
        <sz val="11"/>
        <color theme="1"/>
        <rFont val="微软雅黑"/>
        <family val="2"/>
        <charset val="134"/>
      </rPr>
      <t>狂暴2级开启需要的VIP等级（这个参数和vip表的参数对应，只是前段用到vip表修改记得在这里修改）</t>
    </r>
    <r>
      <rPr>
        <sz val="11"/>
        <color rgb="FFFF0000"/>
        <rFont val="微软雅黑"/>
        <family val="2"/>
        <charset val="134"/>
      </rPr>
      <t>暂时没用到</t>
    </r>
  </si>
  <si>
    <t>Arena_TaskMark</t>
  </si>
  <si>
    <t>5000,7500,10000</t>
  </si>
  <si>
    <t>竞技场每天首次完成竞技任务需要的积分；x,y,z表示3个档位</t>
  </si>
  <si>
    <t>Arena_TaskReward</t>
  </si>
  <si>
    <r>
      <rPr>
        <b/>
        <sz val="11"/>
        <color rgb="FFFF0000"/>
        <rFont val="微软雅黑"/>
        <family val="2"/>
        <charset val="134"/>
      </rPr>
      <t>[['1|1|10'],['1|1|20']</t>
    </r>
    <r>
      <rPr>
        <sz val="11"/>
        <color theme="1"/>
        <rFont val="微软雅黑"/>
        <family val="2"/>
        <charset val="134"/>
      </rPr>
      <t>,['1|2|</t>
    </r>
    <r>
      <rPr>
        <b/>
        <sz val="11"/>
        <color theme="1"/>
        <rFont val="微软雅黑"/>
        <family val="2"/>
        <charset val="134"/>
      </rPr>
      <t>500000</t>
    </r>
    <r>
      <rPr>
        <sz val="11"/>
        <color theme="1"/>
        <rFont val="微软雅黑"/>
        <family val="2"/>
        <charset val="134"/>
      </rPr>
      <t>']]</t>
    </r>
  </si>
  <si>
    <t>竞技场每天首次完成竞技任务奖励的道具：[],[]两个档位对应的奖励</t>
  </si>
  <si>
    <t>ArenaBullet</t>
  </si>
  <si>
    <t>竞技场参赛子弹限制</t>
  </si>
  <si>
    <t>ArenaPhaseN</t>
  </si>
  <si>
    <t>[[1500,1],[1000,2],[500,3]]</t>
  </si>
  <si>
    <t>竞技场每个阶段子弹数量及对应的倍数</t>
  </si>
  <si>
    <t>ArenakuangbaoP</t>
  </si>
  <si>
    <t>80,60,50</t>
  </si>
  <si>
    <t>竞技场狂暴积分百分比</t>
  </si>
  <si>
    <t>ArenaAdjustGunGrade</t>
  </si>
  <si>
    <t>10000</t>
  </si>
  <si>
    <t>竞技场炮倍率大于10000可以手动调整炮倍率，小于等于1000不能手动调整炮倍率</t>
  </si>
  <si>
    <t>Bill_1</t>
  </si>
  <si>
    <t>60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</si>
  <si>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当前比赛结束且距离下一场比赛还有30分钟时：距下一场【话费争夺赛】开始\n还有:30:00，</t>
    </r>
  </si>
  <si>
    <t>Bill_2</t>
  </si>
  <si>
    <t>5,3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</si>
  <si>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在渔场外（大厅中），每场话费赛开始还有5分钟、3分钟、开始时，跑马灯各提示一次:距下一场30（300）倍房的【话费争夺赛】还有5分钟开始，请各位精灵捕手做好准备，加油哦</t>
    </r>
  </si>
  <si>
    <t>Bill_3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</si>
  <si>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渔场中开赛前提示，距开始还有5分钟，3分钟时，飘横幅提示“距【2元话费争夺赛】开赛还有n（5/3）分钟”</t>
    </r>
  </si>
  <si>
    <t>Bill_4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</si>
  <si>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渔场中开赛前提示，还有1分钟开始的时候，飘横幅提示“话费争夺赛马上就要开始了，请做好准备哟~”</t>
    </r>
  </si>
  <si>
    <t>Bill_5</t>
  </si>
  <si>
    <t>0,40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</si>
  <si>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本场30（300）倍房的【话费争夺赛】正式开始，请各位精灵捕手抓紧进入</t>
    </r>
  </si>
  <si>
    <t>Bill_6</t>
  </si>
  <si>
    <t>30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</si>
  <si>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进入渔场显示距下次比赛开启的剩余时间，提示时机：距离下场比赛还剩30分钟时</t>
    </r>
  </si>
  <si>
    <t>Bill_7</t>
  </si>
  <si>
    <t>5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</si>
  <si>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进入渔场后在距比赛开始前5分钟内每次退出都弹二次确认弹窗：“【话费争夺赛】马上就要开启了，真的要退出吗？”取消/确定</t>
    </r>
  </si>
  <si>
    <t>Bill_8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</si>
  <si>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距比赛结束1分钟内进入赛场的玩家不显示比赛相关内容</t>
    </r>
  </si>
  <si>
    <t>Bill_9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</si>
  <si>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比赛结束前提示，距比赛结束还有1分钟时，再次飘横幅提示【距离比赛结束还有1分钟，各位捕手不要松懈呀】</t>
    </r>
  </si>
  <si>
    <t>randomMin</t>
  </si>
  <si>
    <t>90</t>
  </si>
  <si>
    <t>随机数，=85/100</t>
  </si>
  <si>
    <r>
      <rPr>
        <b/>
        <sz val="10.5"/>
        <color theme="1"/>
        <rFont val="微软雅黑"/>
        <family val="2"/>
        <charset val="134"/>
      </rPr>
      <t>轰炸机金币获得G</t>
    </r>
    <r>
      <rPr>
        <sz val="10.5"/>
        <color theme="1"/>
        <rFont val="微软雅黑"/>
        <family val="2"/>
        <charset val="134"/>
      </rPr>
      <t>=int（等级系数*random（0.85,1.15）），</t>
    </r>
  </si>
  <si>
    <t>randomMax</t>
  </si>
  <si>
    <t>110</t>
  </si>
  <si>
    <r>
      <rPr>
        <sz val="10.5"/>
        <color rgb="FF333333"/>
        <rFont val="微软雅黑"/>
        <family val="2"/>
        <charset val="134"/>
      </rPr>
      <t>hongzhaji_C,Ⅰ、Ⅱ、Ⅲ、Ⅳ</t>
    </r>
    <r>
      <rPr>
        <sz val="10.5"/>
        <color theme="1"/>
        <rFont val="微软雅黑"/>
        <family val="2"/>
        <charset val="134"/>
      </rPr>
      <t>系数分别等于150000、250000、500000、1000000，可配置。</t>
    </r>
  </si>
  <si>
    <t>hongzhaji_C</t>
  </si>
  <si>
    <t>hongzhaji_Z</t>
  </si>
  <si>
    <t>4,6,8,10</t>
  </si>
  <si>
    <t>轰炸范围内鱼的最小数量保底，如果轰炸范围炸鱼数量小于这个值，则从范围外面找鱼</t>
  </si>
  <si>
    <t>hongzhaji_zidanNum</t>
  </si>
  <si>
    <t>6,8,10,12</t>
  </si>
  <si>
    <t>该等级轰炸机子弹数量</t>
  </si>
  <si>
    <t>zhenlongxia_P</t>
  </si>
  <si>
    <t>BOSS玩法，捕获真身龙虾的概率=zhenlongxia_P/100</t>
  </si>
  <si>
    <t>loadingStopTips</t>
  </si>
  <si>
    <t>10,20,30</t>
  </si>
  <si>
    <t>loading卡死弹出弹窗出现频率，第一次10s，第二次20s，后续的都是30s</t>
  </si>
  <si>
    <t>loadingStopRefresh</t>
  </si>
  <si>
    <t>12</t>
  </si>
  <si>
    <t>loading卡死刷新出现时机/单位秒</t>
  </si>
  <si>
    <t>Efire_lvN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</si>
  <si>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一、开火能量调整，玩家等级小于等于N时能量公式：E=min（A，默认E*（B+C*(fire_lvN-玩家等级)））</t>
    </r>
  </si>
  <si>
    <t>Efire_pochan_lvN</t>
  </si>
  <si>
    <t>7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</si>
  <si>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2、当玩家lvl小于等于N级时，若某次开火未能捕获将导致玩家破产，则该次开火必定捕获目标。</t>
    </r>
    <r>
      <rPr>
        <sz val="11"/>
        <color rgb="FFFF0000"/>
        <rFont val="微软雅黑"/>
        <family val="2"/>
        <charset val="134"/>
      </rPr>
      <t>玩家1级以上金币小于等于</t>
    </r>
    <r>
      <rPr>
        <b/>
        <sz val="11"/>
        <color rgb="FFFF0000"/>
        <rFont val="微软雅黑"/>
        <family val="2"/>
        <charset val="134"/>
      </rPr>
      <t>400</t>
    </r>
    <r>
      <rPr>
        <sz val="11"/>
        <color rgb="FFFF0000"/>
        <rFont val="微软雅黑"/>
        <family val="2"/>
        <charset val="134"/>
      </rPr>
      <t>必命中</t>
    </r>
  </si>
  <si>
    <t>Efire_A</t>
  </si>
  <si>
    <t>实际取值除以了10000</t>
  </si>
  <si>
    <t>Efire_B</t>
  </si>
  <si>
    <t>Efire_C</t>
  </si>
  <si>
    <t>Esuoding_A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</si>
  <si>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二、锁定能量调整，玩家等级小于等于N时能量公式：E= min(A,B/C/multiple+默认E)</t>
    </r>
  </si>
  <si>
    <t>Esuoding_B</t>
  </si>
  <si>
    <t>multiple当前玩家使用炮倍率</t>
  </si>
  <si>
    <t>Esuoding_C</t>
  </si>
  <si>
    <t>注：每天限2次，当玩家等级大于7级且玩家在触发过当天第一次破产后进行锁定时即可触发，中途切换武器倍率E跟随变化</t>
  </si>
  <si>
    <t>xiaoyouxi_minLv</t>
  </si>
  <si>
    <t>10</t>
  </si>
  <si>
    <t>三、小游戏卡牌：玩家使用武器小于等于N时，不掉小游戏，捕鱼按照不掉小游戏概率走</t>
  </si>
  <si>
    <t>xiaoyouxi_user_minLv</t>
  </si>
  <si>
    <t>服务器优化玩家命中体验效果处理,玩家等级大于等于8级</t>
  </si>
  <si>
    <t>xiaoyouxi_user_fireTime</t>
  </si>
  <si>
    <t>玩家本次房间内连续未命中开火次数</t>
  </si>
  <si>
    <t>xiaoyouxi_biDropLv</t>
  </si>
  <si>
    <t>当玩家等级等于10级，炮等级大于等于30时，若玩家从来没有掉落过小游戏卡片，则下次捕获鱼的时候必然掉落一次。</t>
  </si>
  <si>
    <t>xiaoyouxi_biDropPaoLv</t>
  </si>
  <si>
    <t>Rechange_Ratio</t>
  </si>
  <si>
    <t>200000</t>
  </si>
  <si>
    <t>四、充值,充值额度与充值池比例，1人民币=xxx金币</t>
  </si>
  <si>
    <t>ERechange_A</t>
  </si>
  <si>
    <t>2</t>
  </si>
  <si>
    <t>暂时废弃</t>
  </si>
  <si>
    <t>choujiang_huafeiquan</t>
  </si>
  <si>
    <t>[[120,1],[150,1.2],[180,1.3],[280,1.5]]</t>
  </si>
  <si>
    <t>五、抽奖,福卡价值变动,x,y：x表示当前福卡要求，y表示同金币价值的倍数，y=-1表示超过对应的x则不掉福卡</t>
  </si>
  <si>
    <t>Diamonds_lvN</t>
  </si>
  <si>
    <t>六、钻石调整，当玩家等级大于等于N时，钻石掉落衰减</t>
  </si>
  <si>
    <t>Diamonds_currentweapon</t>
  </si>
  <si>
    <t>玩家当前使用炮倍率折点(用于处理掉了的概率)</t>
  </si>
  <si>
    <t>Diamonds_A</t>
  </si>
  <si>
    <t>当前使用炮倍率小于折点时，P=默认p*（A/10000）*（当前使用炮倍率/min（500，已解锁的最高炮倍率））</t>
  </si>
  <si>
    <t>Diamonds_B</t>
  </si>
  <si>
    <t>当前使用炮倍率大于等于折点时，P=默认p*（B/10000）</t>
  </si>
  <si>
    <t>Diamonds_C</t>
  </si>
  <si>
    <t>P=默认p*0.034,0.034=340/10000</t>
  </si>
  <si>
    <t>Diamonds_unlockweapon</t>
  </si>
  <si>
    <t>unlockweapon：玩家已解锁的最高炮倍率</t>
  </si>
  <si>
    <t>itemDrop_lvN</t>
  </si>
  <si>
    <r>
      <rPr>
        <sz val="11"/>
        <color theme="1"/>
        <rFont val="微软雅黑"/>
        <family val="2"/>
        <charset val="134"/>
      </rPr>
      <t>七、</t>
    </r>
    <r>
      <rPr>
        <b/>
        <sz val="11"/>
        <color rgb="FFFF0000"/>
        <rFont val="微软雅黑"/>
        <family val="2"/>
        <charset val="134"/>
      </rPr>
      <t>（道具衰减干掉）</t>
    </r>
  </si>
  <si>
    <t>itemDrop_currentweapon</t>
  </si>
  <si>
    <t>itemDrop_A</t>
  </si>
  <si>
    <t>dropHongBao_minLv</t>
  </si>
  <si>
    <t>当玩家lv大于等于5级时，掉落红包</t>
  </si>
  <si>
    <t>dropHongBao_currentweapon</t>
  </si>
  <si>
    <t>P=默认p*（currentweapon/min（600，unlockweapon）），玩家当前使用炮倍率折点(用于处理掉了的概率)</t>
  </si>
  <si>
    <t>firstRecharge_Per</t>
  </si>
  <si>
    <t>5000</t>
  </si>
  <si>
    <t>首次充值返还福卡%（1福卡=0.1元），值=5000/10000</t>
  </si>
  <si>
    <t>Recharge_Per</t>
  </si>
  <si>
    <t>2500</t>
  </si>
  <si>
    <t>充值返还福卡%，值=2500/10000</t>
  </si>
  <si>
    <t>huafeiquanDrop_C</t>
  </si>
  <si>
    <t>捕鱼掉落福卡概率P=P0-[P0*（当前房间已掉落福卡/当前允许掉落的上限）]*C，P0=quanPro</t>
  </si>
  <si>
    <t>huafeiquanDrop_RechargeC</t>
  </si>
  <si>
    <t>充值影响捕鱼掉落福卡概率P=P0-[P0*（充值掉落数量/奖池上限）]*C，P0=quanProRecharge</t>
  </si>
  <si>
    <t>huafeiquanP0_A</t>
  </si>
  <si>
    <t>P=默认P0（见fish表）*（currentweapon/min（300，unlockweapon）），currentweapon为当前使用炮倍率，unlockweapon已解锁的炮倍率</t>
  </si>
  <si>
    <t>quanBili</t>
  </si>
  <si>
    <t>福卡显示，服务器：客户端=10</t>
  </si>
  <si>
    <t>quanValue</t>
  </si>
  <si>
    <t>[[0,5000,0.6],[5000,10000,0.8],[10000,15000,1],[15000,20000,1],[20000,25000,1.2],[25000,30000,1.4]]</t>
  </si>
  <si>
    <t>玩家持有福卡和金币价值之间的关系，未填写进来得范围，系数为1</t>
  </si>
  <si>
    <t>NumfishTime</t>
  </si>
  <si>
    <t>[[8,12],[17,23]]</t>
  </si>
  <si>
    <t>新手引导结束后，第8~12次捕获鱼和17~23次分别有概率掉落1次</t>
  </si>
  <si>
    <t>dropQuanPmax</t>
  </si>
  <si>
    <t>捕获鱼后掉落福卡概率上限</t>
  </si>
  <si>
    <t>shareEverday_TimesAfter</t>
  </si>
  <si>
    <t>每日分享次数达到N次后（不包含N次），分享有50%的概率分享失败(因不足4秒导致的分享失败不触发下次必成功)</t>
  </si>
  <si>
    <t>shareSucessNeedTime</t>
  </si>
  <si>
    <t>分享成功需要的停留时间/s</t>
  </si>
  <si>
    <t>shareTimesAfter_losePro</t>
  </si>
  <si>
    <t>N次后，分享失败的概率，概率=50/100</t>
  </si>
  <si>
    <t>shareFirst_reward</t>
  </si>
  <si>
    <t>1|1|20</t>
  </si>
  <si>
    <t>首次分享奖励</t>
  </si>
  <si>
    <t>videoFirst_reward</t>
  </si>
  <si>
    <t>首次看广告奖励</t>
  </si>
  <si>
    <t>shareBoss_paoLvMin</t>
  </si>
  <si>
    <t>50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</si>
  <si>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，出现分享需要的炮倍率最低限制</t>
    </r>
  </si>
  <si>
    <t>shareBoss_timesLimit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</si>
  <si>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，出现分享的次数上限，计算的成功次数</t>
    </r>
  </si>
  <si>
    <t>shareBoss_pro0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</si>
  <si>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，首次击杀BOSS出现分享的概率</t>
    </r>
  </si>
  <si>
    <t>shareBoss_pro1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</si>
  <si>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，如果点击分享后下次触发分享的概率</t>
    </r>
  </si>
  <si>
    <t>shareBoss_pro2</t>
  </si>
  <si>
    <t>玩家在BOSS模块中的分享，如果点击关闭后下次触发分享的概率</t>
  </si>
  <si>
    <t>shareBoss_rewardRange</t>
  </si>
  <si>
    <t>800,1200</t>
  </si>
  <si>
    <t>【炮倍率（击杀时的）*boss分值*随机系数（0.08~0.12）】,数据除以10000</t>
  </si>
  <si>
    <t>shareBoss_rewardPro</t>
  </si>
  <si>
    <t>1000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</si>
  <si>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返回的概率，1表示10000分之1</t>
    </r>
  </si>
  <si>
    <t>shareBoss_rewardTimesLimit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</si>
  <si>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返回奖励次数限制/每日，计算的成功次数</t>
    </r>
  </si>
  <si>
    <t>shareBroke_doublePro</t>
  </si>
  <si>
    <r>
      <rPr>
        <sz val="11"/>
        <color theme="1"/>
        <rFont val="微软雅黑"/>
        <family val="2"/>
        <charset val="134"/>
      </rPr>
      <t>破产后，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触发双倍的概率20，表示概率=20/100</t>
    </r>
  </si>
  <si>
    <t>shareBroke_rewardTimesLimit</t>
  </si>
  <si>
    <t>999</t>
  </si>
  <si>
    <r>
      <rPr>
        <sz val="11"/>
        <color theme="1"/>
        <rFont val="微软雅黑"/>
        <family val="2"/>
        <charset val="134"/>
      </rPr>
      <t>破产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成功双倍奖励次数限制/每日</t>
    </r>
  </si>
  <si>
    <t>shareBroke_shareAddTimes</t>
  </si>
  <si>
    <r>
      <rPr>
        <sz val="11"/>
        <color theme="1"/>
        <rFont val="微软雅黑"/>
        <family val="2"/>
        <charset val="134"/>
      </rPr>
      <t>破产中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获得的额外次数，其中N次是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成功所得,N&lt;=次数上限</t>
    </r>
  </si>
  <si>
    <t>shareDraw_timesLimit</t>
  </si>
  <si>
    <r>
      <rPr>
        <sz val="11"/>
        <color theme="1"/>
        <rFont val="微软雅黑"/>
        <family val="2"/>
        <charset val="134"/>
      </rPr>
      <t>玩家在抽奖模块中的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成功，出现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的次数上限</t>
    </r>
  </si>
  <si>
    <t>shareDraw_rewardTimesLimit</t>
  </si>
  <si>
    <r>
      <rPr>
        <sz val="11"/>
        <color rgb="FFFF0000"/>
        <rFont val="微软雅黑"/>
        <family val="2"/>
        <charset val="134"/>
      </rPr>
      <t>抽奖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rgb="FFFF0000"/>
        <rFont val="微软雅黑"/>
        <family val="2"/>
        <charset val="134"/>
      </rPr>
      <t>获得奖励的次数限制</t>
    </r>
  </si>
  <si>
    <t>fuli_collectReward</t>
  </si>
  <si>
    <t>1|2|500,2|1001|2,2|1002|2</t>
  </si>
  <si>
    <t>收藏有礼，从微信小程序启动游戏（微信小游戏暂时不用，用在大通服的360里了）</t>
  </si>
  <si>
    <t>billTideLimit</t>
  </si>
  <si>
    <r>
      <rPr>
        <sz val="11"/>
        <color theme="1"/>
        <rFont val="微软雅黑"/>
        <family val="2"/>
        <charset val="134"/>
      </rPr>
      <t>话费鱼潮每天全服的福卡产出上限</t>
    </r>
    <r>
      <rPr>
        <sz val="11"/>
        <color rgb="FFFF0000"/>
        <rFont val="微软雅黑"/>
        <family val="2"/>
        <charset val="134"/>
      </rPr>
      <t>（废弃）</t>
    </r>
  </si>
  <si>
    <t>ownBillLimit</t>
  </si>
  <si>
    <t>150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</si>
  <si>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玩家持有话费数量＞15元，则停止捕鱼和话费鱼潮掉落</t>
    </r>
  </si>
  <si>
    <t>dropProDecay</t>
  </si>
  <si>
    <t>[['2|1001|100',10],['2|1002|30',10],['2|1004|50',10]]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</si>
  <si>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根据玩家持有锁定、冰冻、召唤数量，概率做衰减</t>
    </r>
  </si>
  <si>
    <t>FreeGoldAdvTimes</t>
  </si>
  <si>
    <t>每天看广告免费金币次数</t>
  </si>
  <si>
    <t>FreeGoldProVIPN</t>
  </si>
  <si>
    <t>VIPN及其以后概率发生变化</t>
  </si>
  <si>
    <t>FreeGoldNoAdvVIPN</t>
  </si>
  <si>
    <t>VIP3免广告，客户端用到的数据</t>
  </si>
  <si>
    <t>quanPro1_lv</t>
  </si>
  <si>
    <t>用户等级&lt;=9时，福卡掉落概率</t>
  </si>
  <si>
    <t>paoUnlock_xiaoshou</t>
  </si>
  <si>
    <r>
      <rPr>
        <sz val="11"/>
        <color theme="1"/>
        <rFont val="微软雅黑"/>
        <family val="2"/>
        <charset val="134"/>
      </rPr>
      <t>解锁炮倍率时小手提示出现时间/s,客户端用，</t>
    </r>
    <r>
      <rPr>
        <sz val="11"/>
        <color rgb="FFFF0000"/>
        <rFont val="微软雅黑"/>
        <family val="2"/>
        <charset val="134"/>
      </rPr>
      <t>（最小只能填写5，弹板的调度时间是5s）</t>
    </r>
  </si>
  <si>
    <t>paoUnlock_meirenyu</t>
  </si>
  <si>
    <t>30,90</t>
  </si>
  <si>
    <r>
      <rPr>
        <sz val="11"/>
        <color theme="1"/>
        <rFont val="微软雅黑"/>
        <family val="2"/>
        <charset val="134"/>
      </rPr>
      <t>解锁炮倍率时美人鱼提示出现时间/s,客户端用</t>
    </r>
    <r>
      <rPr>
        <sz val="11"/>
        <color rgb="FFFF0000"/>
        <rFont val="微软雅黑"/>
        <family val="2"/>
        <charset val="134"/>
      </rPr>
      <t>（最小只能填写5，展开弹板的调度时间是5s）</t>
    </r>
  </si>
  <si>
    <t>zidongFireOpenlimit</t>
  </si>
  <si>
    <t>自动开火免费体验等级</t>
  </si>
  <si>
    <t>FreeGoldFowerlimit</t>
  </si>
  <si>
    <t>6</t>
  </si>
  <si>
    <t>【免费金币】模块的最低等级限制（即到表中等级才解锁该功能）</t>
  </si>
  <si>
    <t>vowOpenlimit</t>
  </si>
  <si>
    <t>4</t>
  </si>
  <si>
    <t>财神赐福开启等级（明日礼）</t>
  </si>
  <si>
    <t>fuliOpenlimit</t>
  </si>
  <si>
    <t>福利显示的开启等级</t>
  </si>
  <si>
    <t>rankShowlimit</t>
  </si>
  <si>
    <t>排行榜引导的开启等级</t>
  </si>
  <si>
    <t>luckyGoldlimit</t>
  </si>
  <si>
    <t>幸运金币开启等级</t>
  </si>
  <si>
    <t>RMBcardGoldlessEx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</si>
  <si>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低于平均值，则80%概率触发，概率=N/100</t>
    </r>
  </si>
  <si>
    <t>RMBcardGoldMoreEx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</si>
  <si>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高于平均值则50%概率触发，概率=N/100</t>
    </r>
  </si>
  <si>
    <t>RMBcardTreasureBox</t>
  </si>
  <si>
    <r>
      <rPr>
        <b/>
        <sz val="11"/>
        <color theme="1"/>
        <rFont val="微软雅黑"/>
        <family val="2"/>
        <charset val="134"/>
      </rPr>
      <t>卡牌大放送,寻宝鱼小游戏</t>
    </r>
    <r>
      <rPr>
        <sz val="11"/>
        <color theme="1"/>
        <rFont val="微软雅黑"/>
        <family val="2"/>
        <charset val="134"/>
      </rPr>
      <t>前N次必出宝箱</t>
    </r>
  </si>
  <si>
    <t>RMBcardUnbuyShowTimes</t>
  </si>
  <si>
    <t>卡牌大放送,如果玩家有N次不买，则今日不再触发/天</t>
  </si>
  <si>
    <t>RMBBOSSBuyTimes</t>
  </si>
  <si>
    <t>喜从天降,每日购买次数限制</t>
  </si>
  <si>
    <t>RMBBOSSAddShowTimes</t>
  </si>
  <si>
    <t>若触发后玩家有3次未购买则今日不在触发。</t>
  </si>
  <si>
    <t>RMBBOSSAddPro</t>
  </si>
  <si>
    <r>
      <rPr>
        <sz val="11"/>
        <color theme="1"/>
        <rFont val="微软雅黑"/>
        <family val="2"/>
        <charset val="134"/>
      </rPr>
      <t>玩家在没有</t>
    </r>
    <r>
      <rPr>
        <b/>
        <sz val="11"/>
        <color theme="1"/>
        <rFont val="微软雅黑"/>
        <family val="2"/>
        <charset val="134"/>
      </rPr>
      <t>喜从天降</t>
    </r>
    <r>
      <rPr>
        <sz val="11"/>
        <color theme="1"/>
        <rFont val="微软雅黑"/>
        <family val="2"/>
        <charset val="134"/>
      </rPr>
      <t>的情况下，如果本次概率为0则不增加，如果有概率时本次未触发，则下次触发的概率增加20%，概率=N/100</t>
    </r>
  </si>
  <si>
    <t>RMBPaoLvUpTimes</t>
  </si>
  <si>
    <t>依据升炮后的最大炮倍率触发，在升炮动画结束后，打开直升N炮界面（N为该充值档位能够直升的炮倍率的值，35倍开始配置），每天触发2次</t>
  </si>
  <si>
    <t>praiseTimes</t>
  </si>
  <si>
    <t>每天的点赞次数</t>
  </si>
  <si>
    <t>praiseAddMyGold</t>
  </si>
  <si>
    <t>500,1000</t>
  </si>
  <si>
    <t>我给别人点赞增加我的金币</t>
  </si>
  <si>
    <t>praiseAddOthPrest</t>
  </si>
  <si>
    <t>点赞增加对方的人气值</t>
  </si>
  <si>
    <t>chaiHongbaoTimes</t>
  </si>
  <si>
    <t>非周卡用户每天可以拆红包次数</t>
  </si>
  <si>
    <t>buyZhoucardAddTimes</t>
  </si>
  <si>
    <t>购买周卡可以提升每日上限，额外加5个</t>
  </si>
  <si>
    <t>buyYuecardAddTimes</t>
  </si>
  <si>
    <t>购买月卡可以提升每日上限，额外加10个</t>
  </si>
  <si>
    <t>daiChaiHongbaolimitNum</t>
  </si>
  <si>
    <t>玩家待拆红包终身累计上限为30个</t>
  </si>
  <si>
    <t>buyuDropHBTips</t>
  </si>
  <si>
    <t>1,3</t>
  </si>
  <si>
    <t>捕鱼掉落红包气泡和小手提示时机，在第1,3次掉落出现</t>
  </si>
  <si>
    <t>dropOrderOfHB</t>
  </si>
  <si>
    <t>1301,1302,1303,1304</t>
  </si>
  <si>
    <t>掉落红包的次序/天(目前是固定次序)，配置4个id表示就掉落4个</t>
  </si>
  <si>
    <t>dropHBMinLv</t>
  </si>
  <si>
    <t>dropHBProC</t>
  </si>
  <si>
    <t>600</t>
  </si>
  <si>
    <r>
      <rPr>
        <sz val="11"/>
        <color theme="1"/>
        <rFont val="微软雅黑"/>
        <family val="2"/>
        <charset val="134"/>
      </rPr>
      <t>红包掉落概率系数：&lt;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，P=默认p*（currentweapon/min（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，unlockweapon）），&gt;=600,p=默认p</t>
    </r>
  </si>
  <si>
    <t>lvRangeOfQQTips</t>
  </si>
  <si>
    <t>7,15</t>
  </si>
  <si>
    <t>玩家QQ群提示的等级范围</t>
  </si>
  <si>
    <t>QQshowTime</t>
  </si>
  <si>
    <t>120</t>
  </si>
  <si>
    <t>每天展示时间/秒</t>
  </si>
  <si>
    <t>changename</t>
  </si>
  <si>
    <t>vipn及以上可以改名字（小程序不需要此功能）</t>
  </si>
  <si>
    <t>HongBaoRange</t>
  </si>
  <si>
    <t>80,120</t>
  </si>
  <si>
    <t>互动红包随机范围,80,120,表示80%到120%之间随机</t>
  </si>
  <si>
    <t>zhuanpanup</t>
  </si>
  <si>
    <t>转盘奖池在1000倍炮后升级，此处控制提示文字</t>
  </si>
  <si>
    <t>friendpao</t>
  </si>
  <si>
    <t>[[1,500],[500,1000],[1000,5000],[5000,100000]]</t>
  </si>
  <si>
    <t>好友推荐，炮倍率的区间区分（前闭后开）</t>
  </si>
  <si>
    <t>friendvip</t>
  </si>
  <si>
    <t>[[0,3],[3,5],[5,7],[7,15]]</t>
  </si>
  <si>
    <t>好友推荐，vip的区间区分（前闭后开）</t>
  </si>
  <si>
    <t>friendrank</t>
  </si>
  <si>
    <t>[[0,8],[8,15],[15,30],[30,100]]</t>
  </si>
  <si>
    <t>好友推荐，玩家等级的区间区分（前闭后开）</t>
  </si>
  <si>
    <t>friendmax</t>
  </si>
  <si>
    <t>拥有好友上限</t>
  </si>
  <si>
    <t>friendask</t>
  </si>
  <si>
    <t>最多能发多少条好友申请</t>
  </si>
  <si>
    <t>firstpay1</t>
  </si>
  <si>
    <t>触发首充主动弹出的开火次数设置（客户端统计，只触发1元）</t>
  </si>
  <si>
    <t>firstpay2</t>
  </si>
  <si>
    <t>触发首充主动弹出的天数设置（只触发1元首充主动弹出）</t>
  </si>
  <si>
    <t>firstpay3</t>
  </si>
  <si>
    <t>大于该炮倍率时，1元首充奖品替换</t>
  </si>
  <si>
    <t>firstpay4</t>
  </si>
  <si>
    <t>3元首充礼包中随机福卡显示下限</t>
  </si>
  <si>
    <t>firstpay5</t>
  </si>
  <si>
    <t>3元首充礼包中随机福卡显示上限</t>
  </si>
  <si>
    <t>MaxPao</t>
  </si>
  <si>
    <t>游戏中的最大炮倍率</t>
  </si>
  <si>
    <t>activityopen</t>
  </si>
  <si>
    <t>2019-10-01 00:00:00</t>
  </si>
  <si>
    <t>充值活动，开始时间（当前为国庆7天乐活动）（后续活动改活动时间及备注即可）</t>
  </si>
  <si>
    <t>存储%</t>
  </si>
  <si>
    <t>暴击概率</t>
  </si>
  <si>
    <t>2倍暴击期望</t>
  </si>
  <si>
    <t>3倍暴击期望</t>
  </si>
  <si>
    <t>activityclose</t>
  </si>
  <si>
    <t>2019-10-08 00:00:00</t>
  </si>
  <si>
    <t>充值活动，结束时间（当前为国庆7天乐活动）（后续活动改活动时间及备注即可）</t>
  </si>
  <si>
    <t>paygift</t>
  </si>
  <si>
    <t>2000</t>
  </si>
  <si>
    <t>充值活动，充值额外赠送1万金币（每充1元赠送的金币，注意包含各种礼包）</t>
  </si>
  <si>
    <t>attestation</t>
  </si>
  <si>
    <t>身份认证奖励</t>
  </si>
  <si>
    <t>invitenew</t>
  </si>
  <si>
    <t>邀请任务-新玩家需要达到n等级后才算完成任务</t>
  </si>
  <si>
    <t>inviteold</t>
  </si>
  <si>
    <t>邀请任务-老玩家间隔n天后登陆才算老玩家（充值任意金额后才算完成任务）</t>
  </si>
  <si>
    <t>invitemax</t>
  </si>
  <si>
    <t>邀请任务-邀请刷新轮次上限</t>
  </si>
  <si>
    <t>zidongFireTime</t>
  </si>
  <si>
    <t>自动开火免费时间/秒</t>
  </si>
  <si>
    <t>PiggyBankOpenLevel</t>
  </si>
  <si>
    <t>存钱罐功能开启等级</t>
  </si>
  <si>
    <t>PiggyBankItem</t>
  </si>
  <si>
    <t>每次领取获得道具概率，n%（与金币量无关）</t>
  </si>
  <si>
    <t>PiggyBankCritWeekTimes</t>
  </si>
  <si>
    <t>每周暴击次数上限，3次</t>
  </si>
  <si>
    <t>AirBallMaxLv</t>
  </si>
  <si>
    <t>潜艇最高等级</t>
  </si>
  <si>
    <t>refreshgold</t>
  </si>
  <si>
    <t>刷新金蛋的概率=5000/10000</t>
  </si>
  <si>
    <t>refreshNeed</t>
  </si>
  <si>
    <t>刷新消耗钻石</t>
  </si>
  <si>
    <t>refreshTime</t>
  </si>
  <si>
    <t>刷新时间间隔/秒</t>
  </si>
  <si>
    <t>popup</t>
  </si>
  <si>
    <t>1800</t>
  </si>
  <si>
    <t>新手明日礼主动弹出弹窗，需要开火次数</t>
  </si>
  <si>
    <t>vowmax</t>
  </si>
  <si>
    <t>新手明日礼每日许愿次数上限</t>
  </si>
  <si>
    <t>vowinitial</t>
  </si>
  <si>
    <t>新手明日礼初始许愿次数</t>
  </si>
  <si>
    <t>vowtime</t>
  </si>
  <si>
    <t>新手明日礼间隔n分钟后恢复1个许愿次数</t>
  </si>
  <si>
    <t>vowaccumulation</t>
  </si>
  <si>
    <t>新手明日礼许愿次数累积最高限制</t>
  </si>
  <si>
    <t>vowduration</t>
  </si>
  <si>
    <t>新手明日礼总持续时间，注意有延期一天领取奖励的情况</t>
  </si>
  <si>
    <t>jackpotPer</t>
  </si>
  <si>
    <t>高级场中每次开火存储金币比例为p（暂定0.5%，可配置）,0.5%=50/10000，同时高级场默认能量E=基础默认能量E-jackpotPer</t>
  </si>
  <si>
    <t>jackpotShowA0</t>
  </si>
  <si>
    <t>120000000</t>
  </si>
  <si>
    <r>
      <rPr>
        <b/>
        <sz val="11"/>
        <color theme="1"/>
        <rFont val="微软雅黑"/>
        <family val="2"/>
        <charset val="134"/>
      </rPr>
      <t>展示奖池A初始值为</t>
    </r>
    <r>
      <rPr>
        <b/>
        <sz val="10.5"/>
        <color theme="1"/>
        <rFont val="Calibri"/>
        <family val="2"/>
      </rPr>
      <t>120000000</t>
    </r>
  </si>
  <si>
    <t>jackpotShowRange</t>
  </si>
  <si>
    <t>110000000,130000000</t>
  </si>
  <si>
    <t>5.1展示奖池A初始值</t>
  </si>
  <si>
    <t>jackpotAddInterval</t>
  </si>
  <si>
    <t>1,1667</t>
  </si>
  <si>
    <t>服务器每1s增加1667金币</t>
  </si>
  <si>
    <t>AaddChangeTime</t>
  </si>
  <si>
    <t>在范围内，每20秒随机1次</t>
  </si>
  <si>
    <t>AaddChangeNum</t>
  </si>
  <si>
    <r>
      <rPr>
        <sz val="11"/>
        <color theme="1"/>
        <rFont val="微软雅黑"/>
        <family val="2"/>
        <charset val="134"/>
      </rPr>
      <t>[[</t>
    </r>
    <r>
      <rPr>
        <b/>
        <sz val="11"/>
        <color theme="1"/>
        <rFont val="微软雅黑"/>
        <family val="2"/>
        <charset val="134"/>
      </rPr>
      <t>25</t>
    </r>
    <r>
      <rPr>
        <sz val="11"/>
        <color theme="1"/>
        <rFont val="微软雅黑"/>
        <family val="2"/>
        <charset val="134"/>
      </rPr>
      <t>,-16670,3334],[25,-166700,133360],[20,-3334000,3070614],[10,-5001000,4977662],[20,0,0]]</t>
    </r>
  </si>
  <si>
    <r>
      <rPr>
        <sz val="11"/>
        <color theme="1"/>
        <rFont val="微软雅黑"/>
        <family val="2"/>
        <charset val="134"/>
      </rPr>
      <t>5.1随机规则，</t>
    </r>
    <r>
      <rPr>
        <b/>
        <sz val="11"/>
        <color rgb="FFFF0000"/>
        <rFont val="微软雅黑"/>
        <family val="2"/>
        <charset val="134"/>
      </rPr>
      <t>50</t>
    </r>
    <r>
      <rPr>
        <sz val="11"/>
        <color theme="1"/>
        <rFont val="微软雅黑"/>
        <family val="2"/>
        <charset val="134"/>
      </rPr>
      <t>表示概率权重，1-概率部分为不变的情况</t>
    </r>
  </si>
  <si>
    <t>AaddChangeTime1</t>
  </si>
  <si>
    <t>A超过130000000，每10s随机1次</t>
  </si>
  <si>
    <t>AaddChangeNum1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</si>
  <si>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,-4167500,250050],[30,0,0]]</t>
    </r>
  </si>
  <si>
    <t>A超过130000000，随机范围</t>
  </si>
  <si>
    <t>AaddChangeTime2</t>
  </si>
  <si>
    <t>A小于110000000，每10s随机1次</t>
  </si>
  <si>
    <t>AaddChangeNum2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</si>
  <si>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,-250050,4167500],[30,0,0]]</t>
    </r>
  </si>
  <si>
    <t>A小于110000000，随机范围</t>
  </si>
  <si>
    <t>jackpotTrackXZtime</t>
  </si>
  <si>
    <t>1200</t>
  </si>
  <si>
    <t>奖金池修正时间间隔，秒</t>
  </si>
  <si>
    <t>jackpotTrackXZRange</t>
  </si>
  <si>
    <t>118000000,122000000</t>
  </si>
  <si>
    <t>15分钟后强制的修正范围</t>
  </si>
  <si>
    <t>jackpotTrack</t>
  </si>
  <si>
    <t>205</t>
  </si>
  <si>
    <t>彩金鱼track</t>
  </si>
  <si>
    <t>jackpotTrackFrequency</t>
  </si>
  <si>
    <t>彩金鱼出现频率 单位秒</t>
  </si>
  <si>
    <t>jackpotFishid</t>
  </si>
  <si>
    <t>43</t>
  </si>
  <si>
    <t>彩金鱼id</t>
  </si>
  <si>
    <t>fuli_collectReward1</t>
  </si>
  <si>
    <t>1|2|30000,1|1|20,2|1001|2</t>
  </si>
  <si>
    <t>360桌面放置图标，首次完成时领取的奖励</t>
  </si>
  <si>
    <t>CashbackDay</t>
  </si>
  <si>
    <t>你游戏我买单活动时间</t>
  </si>
  <si>
    <t>NumOfcalls</t>
  </si>
  <si>
    <t>BOSS召唤需要的普通召唤数量，钻石价格=数量*普通召唤钻石价格</t>
  </si>
  <si>
    <t>paobeiTipsN</t>
  </si>
  <si>
    <t>500</t>
  </si>
  <si>
    <t>新手引导结束后当玩家持有金币&gt;当前使用炮倍*N且当前使用炮倍不是房间最大时，出现气泡提示“炮倍越高，收益越高哦~”</t>
  </si>
  <si>
    <t>GaojiStart</t>
  </si>
  <si>
    <t>[12000000,6000000,8000000,2000000,4000000,0]</t>
  </si>
  <si>
    <t>高级场前期节奏阶段划分点,演出金币</t>
  </si>
  <si>
    <t>buyuJinguseG</t>
  </si>
  <si>
    <t>捕鱼净消耗5000金币=1福卡</t>
  </si>
  <si>
    <t>longzhouJinguseG</t>
  </si>
  <si>
    <t>打龙舟净消耗2500金币=1福卡</t>
  </si>
  <si>
    <t>SeniorWeapon</t>
  </si>
  <si>
    <t>大于等于此VIP等级时，玩家进入渔场会使用高级入场动画，炮落位动画</t>
  </si>
  <si>
    <t>bindnumber</t>
  </si>
  <si>
    <t>1|2|30000,1|1|20</t>
  </si>
  <si>
    <t>绑定手机号的奖励</t>
  </si>
  <si>
    <t>bindcard</t>
  </si>
  <si>
    <t>1|2|50000,1|1|50</t>
  </si>
  <si>
    <t>实名认证的奖励</t>
  </si>
  <si>
    <t>luckyBaseGold</t>
  </si>
  <si>
    <t>luckyGoldptPrice</t>
  </si>
  <si>
    <t>luckyGoldcjPrice</t>
  </si>
  <si>
    <t>180</t>
  </si>
  <si>
    <t>PTFreeCD</t>
  </si>
  <si>
    <t>45,120,1440,1440,1440,1440,1440</t>
  </si>
  <si>
    <t>幸运金币注册后第N次免费普通翻倍的冷却时间/分钟，配置了几个表示有几个免费</t>
  </si>
  <si>
    <t>CJFreeCD</t>
  </si>
  <si>
    <t>1440</t>
  </si>
  <si>
    <t>幸运金币注册后第N次免费超级翻倍的冷却时间/分钟，配置了几个表示有几个免费</t>
  </si>
  <si>
    <t>NobrokeInvalid</t>
  </si>
  <si>
    <t>不破产礼包购买后开火N次后，不破产礼包状态立即消失（防刷）</t>
  </si>
  <si>
    <t>NobrokeDiamond</t>
  </si>
  <si>
    <r>
      <rPr>
        <sz val="11"/>
        <color theme="1"/>
        <rFont val="微软雅黑"/>
        <family val="2"/>
        <charset val="134"/>
      </rPr>
      <t>不破产礼包购买后龙舟钻石掉落上限，rmb*N%</t>
    </r>
    <r>
      <rPr>
        <sz val="6"/>
        <color theme="1"/>
        <rFont val="微软雅黑"/>
        <family val="2"/>
        <charset val="134"/>
      </rPr>
      <t>00</t>
    </r>
    <r>
      <rPr>
        <sz val="11"/>
        <color theme="1"/>
        <rFont val="微软雅黑"/>
        <family val="2"/>
        <charset val="134"/>
      </rPr>
      <t>，N=10000表示100%</t>
    </r>
  </si>
  <si>
    <t>NobrokeFuka</t>
  </si>
  <si>
    <t>不破产礼包购买后该玩家捕鱼、福卡鱼潮、龙舟掉落福卡上限，rmb*N</t>
  </si>
  <si>
    <t>FacaiDoubling1</t>
  </si>
  <si>
    <t>306</t>
  </si>
  <si>
    <t>购买哪些档位的商品可以开启发财金领取翻n倍的功能</t>
  </si>
  <si>
    <t>FacaiDoubling2</t>
  </si>
  <si>
    <t>66</t>
  </si>
  <si>
    <t>发财金领取翻66倍</t>
  </si>
  <si>
    <t>ChangeNamePay</t>
  </si>
  <si>
    <t>1|1|200</t>
  </si>
  <si>
    <t>改昵称改名字需要话费的道具（每次）</t>
  </si>
  <si>
    <t>RMBpoolHitN</t>
  </si>
  <si>
    <t>充值池子，攻击必中鱼保底值，攻击必中鱼100次不中后必中</t>
  </si>
  <si>
    <t>RMBpoolHitP</t>
  </si>
  <si>
    <t>剩余池子&gt;本次捕获鱼value*炮倍*50%,50%可配置，5000表示50%，万分比</t>
  </si>
  <si>
    <t>RMBpoolEdown</t>
  </si>
  <si>
    <t>出现负值，然后降低玩家能量0.02（相当于每次开火填充池子0.02*炮倍率的数值），直到填平池子。，0.02可以配置</t>
  </si>
  <si>
    <t>恶龙HP</t>
  </si>
  <si>
    <t>Rechange_goldlimit</t>
  </si>
  <si>
    <t>充值池最高累积上限</t>
  </si>
  <si>
    <t>闪电金币价值</t>
  </si>
  <si>
    <t>DragonHp</t>
  </si>
  <si>
    <t>勇者斗恶龙</t>
  </si>
  <si>
    <t>星钻价格</t>
  </si>
  <si>
    <t>击杀奖励金币价值</t>
  </si>
  <si>
    <t>DragonShow</t>
  </si>
  <si>
    <t>[[1,0.8],[0.8,0.5],[0.5,0.2],[0.2,0]]</t>
  </si>
  <si>
    <t>恶龙状态表现阶段划分，依据百分比区分，例如100表示100%</t>
  </si>
  <si>
    <t>攻击1次</t>
  </si>
  <si>
    <t>攻击10次</t>
  </si>
  <si>
    <t>击杀需要次数</t>
  </si>
  <si>
    <t>消耗星钻</t>
  </si>
  <si>
    <t>4级核弹</t>
  </si>
  <si>
    <t>额外赠送比例</t>
  </si>
  <si>
    <t>hurt1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</si>
  <si>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攻击1次</t>
    </r>
    <r>
      <rPr>
        <sz val="11"/>
        <color theme="1"/>
        <rFont val="微软雅黑"/>
        <family val="2"/>
        <charset val="134"/>
      </rPr>
      <t>伤害</t>
    </r>
  </si>
  <si>
    <t>第N次</t>
  </si>
  <si>
    <t>最小</t>
  </si>
  <si>
    <t>最大</t>
  </si>
  <si>
    <t>期望</t>
  </si>
  <si>
    <t>hurt10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</si>
  <si>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攻击10次</t>
    </r>
    <r>
      <rPr>
        <sz val="11"/>
        <color theme="1"/>
        <rFont val="微软雅黑"/>
        <family val="2"/>
        <charset val="134"/>
      </rPr>
      <t>伤害</t>
    </r>
  </si>
  <si>
    <t>killDragonReward</t>
  </si>
  <si>
    <t>2|1008|1</t>
  </si>
  <si>
    <t>击杀恶龙奖励</t>
  </si>
  <si>
    <t>buyLimit1603</t>
  </si>
  <si>
    <t>闪电单次购买的上限值</t>
  </si>
  <si>
    <t>TurntableMustHit</t>
  </si>
  <si>
    <t>{"1101":{"2":1},"1103":{"1":1}}</t>
  </si>
  <si>
    <t>欢乐转转转必中设定，6元档第2次必中30倍（欢乐转转转表中的编号1）或者30元第1次必中30倍</t>
  </si>
  <si>
    <t>gengbaoTips1</t>
  </si>
  <si>
    <t>渔场停留实践/分钟</t>
  </si>
  <si>
    <t>更包提示，非强更提示逻辑之一：每天玩家在渔场捕鱼5分钟后且今日捕鱼总时间到达10分钟（30分钟、60分钟）时弹出）；</t>
  </si>
  <si>
    <t>gengbaoTips2</t>
  </si>
  <si>
    <t>10,30,60</t>
  </si>
  <si>
    <t>今日游戏总时间/分钟</t>
  </si>
  <si>
    <t>luckyBaseGoldks</t>
  </si>
  <si>
    <t>luckyGoldptPriceks</t>
  </si>
  <si>
    <t>luckyGoldcjPriceks</t>
  </si>
  <si>
    <t>c</t>
  </si>
  <si>
    <t>int[]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</si>
  <si>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2小时领取一次</t>
    </r>
  </si>
  <si>
    <t>VIPLevel</t>
  </si>
  <si>
    <t>VIPExp</t>
  </si>
  <si>
    <t>desVIP</t>
  </si>
  <si>
    <t>desVIPTs</t>
  </si>
  <si>
    <t>desRechange</t>
  </si>
  <si>
    <t>attackAdd</t>
  </si>
  <si>
    <t>freeGoldTimes</t>
  </si>
  <si>
    <t>oneTimeReward</t>
  </si>
  <si>
    <t>goldFreeGift</t>
  </si>
  <si>
    <t>diamondFreeGift</t>
  </si>
  <si>
    <t>PTfanbei</t>
  </si>
  <si>
    <t>CJfanbei</t>
  </si>
  <si>
    <t>goldAddedTo</t>
  </si>
  <si>
    <t>compenGoldTimes</t>
  </si>
  <si>
    <t>compenGoldNum</t>
  </si>
  <si>
    <t>buyRage</t>
  </si>
  <si>
    <t>unlockRageLv</t>
  </si>
  <si>
    <t>extraGoldRecharge</t>
  </si>
  <si>
    <t>mailAdd</t>
  </si>
  <si>
    <t>itemLimit</t>
  </si>
  <si>
    <t>shandianLimit</t>
  </si>
  <si>
    <t>arenaScoreAdd</t>
  </si>
  <si>
    <t>arenaRank1</t>
  </si>
  <si>
    <t>arenaReward1</t>
  </si>
  <si>
    <t>arenaRank2</t>
  </si>
  <si>
    <t>arenaReward2</t>
  </si>
  <si>
    <t>arenaRank3</t>
  </si>
  <si>
    <t>arenaReward3</t>
  </si>
  <si>
    <t>arenaRank4</t>
  </si>
  <si>
    <t>arenaReward4</t>
  </si>
  <si>
    <t>arenaRank5</t>
  </si>
  <si>
    <t>arenaReward5</t>
  </si>
  <si>
    <t>maxsave</t>
  </si>
  <si>
    <t>goldCritical</t>
  </si>
  <si>
    <t>criticalE</t>
  </si>
  <si>
    <t>defaultE</t>
  </si>
  <si>
    <t>goldUp</t>
  </si>
  <si>
    <t>goldUpPer</t>
  </si>
  <si>
    <t>商城免费领取金币</t>
  </si>
  <si>
    <t>商城免费领取钻石</t>
  </si>
  <si>
    <t>VIP等级</t>
  </si>
  <si>
    <t>升到当前级需要累计的经验</t>
  </si>
  <si>
    <t xml:space="preserve">VIP描述
</t>
  </si>
  <si>
    <t xml:space="preserve">VIP描述，ios提审状态
</t>
  </si>
  <si>
    <t>充值金额描述
当前vip后续哪些显示金额</t>
  </si>
  <si>
    <t>攻击力（能量）增加提示图片
当前版本没有，配空</t>
  </si>
  <si>
    <t>免费金币一等奖每天次数限制</t>
  </si>
  <si>
    <t>升级到某档VIP，可领取的一次性奖励（格式：x|y|z，x为类型，y为道具编号，z为数量）</t>
  </si>
  <si>
    <t>商城金币页签免费礼包奖励内容
从范围内随机，包含填写的最小和最大值</t>
  </si>
  <si>
    <t>商城钻石页签免费礼包奖励内容</t>
  </si>
  <si>
    <t>幸运金币
普通翻倍</t>
  </si>
  <si>
    <t>幸运金币
超级翻倍</t>
  </si>
  <si>
    <t>每日首次登陆将金币补足至300万</t>
  </si>
  <si>
    <t>每日领取N次发财金</t>
  </si>
  <si>
    <t>每次领取发财金+xxx金币</t>
  </si>
  <si>
    <t>开启狂暴购买
0否，1是</t>
  </si>
  <si>
    <t>当前VIP解锁的
狂暴等级</t>
  </si>
  <si>
    <t>充值金币额外赠送5%</t>
  </si>
  <si>
    <t>邮件接收上限</t>
  </si>
  <si>
    <t>每日捕鱼掉落
道具限制</t>
  </si>
  <si>
    <t>勇者斗恶龙闪电掉落上限/每天</t>
  </si>
  <si>
    <t>竞技场积分加成%</t>
  </si>
  <si>
    <t>排名范围1</t>
  </si>
  <si>
    <t>奖励1</t>
  </si>
  <si>
    <t>排名范围2</t>
  </si>
  <si>
    <t>奖励2</t>
  </si>
  <si>
    <t>排名范围3</t>
  </si>
  <si>
    <t>奖励3</t>
  </si>
  <si>
    <t>排名范围4</t>
  </si>
  <si>
    <t>奖励4</t>
  </si>
  <si>
    <t>排名范围5</t>
  </si>
  <si>
    <t>奖励5</t>
  </si>
  <si>
    <t>存钱罐vip可存储金币上限</t>
  </si>
  <si>
    <t>金币临界数量</t>
  </si>
  <si>
    <r>
      <rPr>
        <b/>
        <sz val="11"/>
        <color rgb="FFFF0000"/>
        <rFont val="微软雅黑"/>
        <family val="2"/>
        <charset val="134"/>
      </rPr>
      <t xml:space="preserve">临界时E
</t>
    </r>
    <r>
      <rPr>
        <b/>
        <sz val="11"/>
        <color rgb="FF00B0F0"/>
        <rFont val="微软雅黑"/>
        <family val="2"/>
        <charset val="134"/>
      </rPr>
      <t>仅</t>
    </r>
    <r>
      <rPr>
        <b/>
        <sz val="10"/>
        <color rgb="FF00B0F0"/>
        <rFont val="微软雅黑"/>
        <family val="2"/>
        <charset val="134"/>
      </rPr>
      <t>渔场用</t>
    </r>
  </si>
  <si>
    <r>
      <rPr>
        <b/>
        <sz val="11"/>
        <color rgb="FFFF0000"/>
        <rFont val="微软雅黑"/>
        <family val="2"/>
        <charset val="134"/>
      </rPr>
      <t>E</t>
    </r>
    <r>
      <rPr>
        <sz val="11"/>
        <color theme="1"/>
        <rFont val="宋体"/>
        <family val="3"/>
        <charset val="134"/>
        <scheme val="minor"/>
      </rPr>
      <t xml:space="preserve">默认
</t>
    </r>
    <r>
      <rPr>
        <b/>
        <sz val="10"/>
        <color rgb="FF00B0F0"/>
        <rFont val="宋体"/>
        <family val="3"/>
        <charset val="134"/>
        <scheme val="minor"/>
      </rPr>
      <t>渔场通用</t>
    </r>
  </si>
  <si>
    <t>玩家金币&gt;N时某些鱼捕获概率降低</t>
  </si>
  <si>
    <r>
      <rPr>
        <b/>
        <sz val="10"/>
        <color rgb="FFFF0000"/>
        <rFont val="微软雅黑"/>
        <family val="2"/>
        <charset val="134"/>
      </rPr>
      <t xml:space="preserve">鱼类型和对应的能量%
</t>
    </r>
    <r>
      <rPr>
        <b/>
        <sz val="10"/>
        <color rgb="FF00B0F0"/>
        <rFont val="微软雅黑"/>
        <family val="2"/>
        <charset val="134"/>
      </rPr>
      <t>仅渔场用</t>
    </r>
  </si>
  <si>
    <t>平均值</t>
  </si>
  <si>
    <t>倒计时/小时</t>
  </si>
  <si>
    <t>每天领取</t>
  </si>
  <si>
    <t>1|2|10000,1|2|15000,1|2|20000</t>
  </si>
  <si>
    <t>1|1|1,1|1|1</t>
  </si>
  <si>
    <t>2|1001|1,2|1002|1,2|1004|1,2|1601|5</t>
  </si>
  <si>
    <t>[[4,0.95],[5,0.95],[6,0.85]]</t>
  </si>
  <si>
    <t>基础炮</t>
  </si>
  <si>
    <t>0,3</t>
  </si>
  <si>
    <t>1|2|100000,1|1|5,2|1001|2</t>
  </si>
  <si>
    <t>1|2|20000,1|2|30000,1|2|40000</t>
  </si>
  <si>
    <t>1|1|1,1|1|2</t>
  </si>
  <si>
    <t>金刚王座</t>
  </si>
  <si>
    <t>0,4,8</t>
  </si>
  <si>
    <t>1|2|200000,1|1|10,2|1001|3</t>
  </si>
  <si>
    <t>2|1001|1,2|1002|1,2|1004|1,2|1601|6</t>
  </si>
  <si>
    <t>急速旋涡</t>
  </si>
  <si>
    <t>0,4,5</t>
  </si>
  <si>
    <t>1|2|500000,1|1|20,2|1001|5</t>
  </si>
  <si>
    <t>1|2|500000</t>
  </si>
  <si>
    <t>4,5</t>
  </si>
  <si>
    <t>1|2|300000</t>
  </si>
  <si>
    <t>未来科技</t>
  </si>
  <si>
    <t>1|2|1000000,1|1|30,2|1001|10</t>
  </si>
  <si>
    <t>2|1001|2,2|1002|2,2|1004|2,2|1601|8</t>
  </si>
  <si>
    <t>1|2|1000000</t>
  </si>
  <si>
    <t>1|2|7500000</t>
  </si>
  <si>
    <t>热能熔炉</t>
  </si>
  <si>
    <t>1|2|2000000,1|1|50,2|1003|15</t>
  </si>
  <si>
    <t>1|2|40000,1|2|50000,1|2|60000,1|2|70000,1|2|80000</t>
  </si>
  <si>
    <t>1|1|2,1|1|3,1|1|4</t>
  </si>
  <si>
    <t>1|2|1500000</t>
  </si>
  <si>
    <t>生命守护</t>
  </si>
  <si>
    <t>0,4,9,8</t>
  </si>
  <si>
    <t>1|2|5000000,1|1|100,2|1003|20</t>
  </si>
  <si>
    <t>2|1001|2,2|1002|2,2|1004|2,2|1601|10</t>
  </si>
  <si>
    <t>1|2|3000000</t>
  </si>
  <si>
    <t>1|2|2000000</t>
  </si>
  <si>
    <t>磁悬风暴</t>
  </si>
  <si>
    <t>0,4,5,9,7</t>
  </si>
  <si>
    <t>1|2|10000000,1|1|150,2|1003|30</t>
  </si>
  <si>
    <t>2|1001|3,2|1002|3,2|1004|3,2|1601|10</t>
  </si>
  <si>
    <t>1,1</t>
  </si>
  <si>
    <t>2,5</t>
  </si>
  <si>
    <t>1|2|5000000</t>
  </si>
  <si>
    <t>6,10</t>
  </si>
  <si>
    <t>恶魔城堡</t>
  </si>
  <si>
    <t>0,9,8,7</t>
  </si>
  <si>
    <t>1|2|20000000,1|1|200,2|1003|50</t>
  </si>
  <si>
    <t>2|1001|3,2|1002|3,2|1004|3,2|1601|12</t>
  </si>
  <si>
    <t>1|2|10000000</t>
  </si>
  <si>
    <t>11,15</t>
  </si>
  <si>
    <t>赤色火焰</t>
  </si>
  <si>
    <t>0,4,9,8,7</t>
  </si>
  <si>
    <t>1|2|50000000,1|1|300,2|1003|70</t>
  </si>
  <si>
    <t>1|2|80000,1|2|90000,1|2|100000,1|2|110000,1|2|120000</t>
  </si>
  <si>
    <t>1|1|4,1|1|5,1|1|6</t>
  </si>
  <si>
    <t>2|1001|3,2|1002|3,2|1004|3,2|1601|15</t>
  </si>
  <si>
    <t>1|2|15000000</t>
  </si>
  <si>
    <t>16,20</t>
  </si>
  <si>
    <t>末日裁决</t>
  </si>
  <si>
    <t>1|2|100000000,1|1|500,2|1003|100</t>
  </si>
  <si>
    <t>2|1001|3,2|1002|3,2|1004|3,2|1601|20</t>
  </si>
  <si>
    <t>1|2|20000000</t>
  </si>
  <si>
    <t>通过任务表dropId—&gt;查看任务相关信息</t>
  </si>
  <si>
    <t>roomId</t>
  </si>
  <si>
    <t>roomType</t>
  </si>
  <si>
    <t>limitMinCannon</t>
  </si>
  <si>
    <t>limitMaxCannon</t>
  </si>
  <si>
    <t>limitMinGold</t>
  </si>
  <si>
    <t>limitMaxGold</t>
  </si>
  <si>
    <t>limitVip</t>
  </si>
  <si>
    <t>startCannon</t>
  </si>
  <si>
    <t>unlockReward</t>
  </si>
  <si>
    <t>triggerType</t>
  </si>
  <si>
    <t>gameCardType</t>
  </si>
  <si>
    <t>missionGroup</t>
  </si>
  <si>
    <t>fireNum</t>
  </si>
  <si>
    <t>mustHit</t>
  </si>
  <si>
    <t>lastRoom</t>
  </si>
  <si>
    <t>nobrokePool</t>
  </si>
  <si>
    <t>Pool5JumpRoom</t>
  </si>
  <si>
    <t>huafeiquanDropRange</t>
  </si>
  <si>
    <t>huafeiquanDropType</t>
  </si>
  <si>
    <t>quanUnit</t>
  </si>
  <si>
    <t>huafeiquanDropLimit</t>
  </si>
  <si>
    <t>loadingCJ</t>
  </si>
  <si>
    <t>loadingTS</t>
  </si>
  <si>
    <t>bgName</t>
  </si>
  <si>
    <t>bgNameGroup</t>
  </si>
  <si>
    <t>bgRate</t>
  </si>
  <si>
    <t>roomsound</t>
  </si>
  <si>
    <t>dtSpine</t>
  </si>
  <si>
    <t>msSpineSkin</t>
  </si>
  <si>
    <t>dtSpineAnimation</t>
  </si>
  <si>
    <t>soffsit</t>
  </si>
  <si>
    <t>billNum</t>
  </si>
  <si>
    <t>peculiarity</t>
  </si>
  <si>
    <t>peculiarityBox</t>
  </si>
  <si>
    <t>peculiarityZh</t>
  </si>
  <si>
    <t>通过全局表查看任务出现时机</t>
  </si>
  <si>
    <t>房间id
1新手,2初级
3中级,4高级
5竞技场,6核弹专场</t>
  </si>
  <si>
    <t>是否作为快速开始选择房间
1表示是，
0表示否</t>
  </si>
  <si>
    <t>房间可以使用的最小炮倍率</t>
  </si>
  <si>
    <t>房间可以使用的最大炮倍率</t>
  </si>
  <si>
    <t>进入房间最小金币数量</t>
  </si>
  <si>
    <t>进入房间最大金币数量
-1表示无穷大</t>
  </si>
  <si>
    <t>进入房间最小vip等级</t>
  </si>
  <si>
    <t>进入房间默认炮倍
后续保存玩家使用炮倍</t>
  </si>
  <si>
    <t>每日首次解锁
该房间奖励金币</t>
  </si>
  <si>
    <t>悬赏任务出现时机：
1按照全局表房间时间间隔出现
2按照全局表房间总开火次数出现
3按照自己消耗参赛子弹个数</t>
  </si>
  <si>
    <t>小游戏卡牌类型：
-1表示该房间不掉小游戏卡牌
1寻宝鱼
2国王的悬赏</t>
  </si>
  <si>
    <t>悬赏任务从以下中随机一个</t>
  </si>
  <si>
    <t>前期节奏，每个房间
开火次数上限
超过上限后该房间前期节奏结束</t>
  </si>
  <si>
    <t xml:space="preserve">该房间在前期节奏期间
演出金币小于某个值后必中
0表示无此限制
</t>
  </si>
  <si>
    <t>前期节奏期间
上一个房间是x时，返回该房间则新手能量为B计算方式</t>
  </si>
  <si>
    <t>新手、初级、中级房不破产礼包对应的1-4阶段金币池子，阶段5以玩家持有的金币数量达到进入下一房间要求为准
炮解锁表</t>
  </si>
  <si>
    <t xml:space="preserve">不破产阶段5也是
跳转房间需要持有的金币数量
以玩家持有的金币数量达到进入下一房间要求为准
</t>
  </si>
  <si>
    <r>
      <rPr>
        <sz val="9"/>
        <color theme="1"/>
        <rFont val="微软雅黑"/>
        <family val="2"/>
        <charset val="134"/>
      </rPr>
      <t xml:space="preserve">每个房间对应的人民币掉落范围，前后都是闭区间
</t>
    </r>
    <r>
      <rPr>
        <sz val="9"/>
        <color rgb="FFFF0000"/>
        <rFont val="微软雅黑"/>
        <family val="2"/>
        <charset val="134"/>
      </rPr>
      <t>暂时废弃</t>
    </r>
  </si>
  <si>
    <r>
      <rPr>
        <sz val="9"/>
        <color theme="1"/>
        <rFont val="微软雅黑"/>
        <family val="2"/>
        <charset val="134"/>
      </rPr>
      <t xml:space="preserve">掉落的情况
</t>
    </r>
    <r>
      <rPr>
        <sz val="9"/>
        <color rgb="FFFF0000"/>
        <rFont val="微软雅黑"/>
        <family val="2"/>
        <charset val="134"/>
      </rPr>
      <t>暂时废弃</t>
    </r>
  </si>
  <si>
    <r>
      <rPr>
        <sz val="9"/>
        <color theme="1"/>
        <rFont val="微软雅黑"/>
        <family val="2"/>
        <charset val="134"/>
      </rPr>
      <t xml:space="preserve">话费券单位
</t>
    </r>
    <r>
      <rPr>
        <sz val="9"/>
        <color rgb="FFFF0000"/>
        <rFont val="微软雅黑"/>
        <family val="2"/>
        <charset val="134"/>
      </rPr>
      <t>实际除以10以人民币为单位掉落
暂时废弃</t>
    </r>
  </si>
  <si>
    <t>玩家解锁当前房间时
话费券上限额外增加值
单位0.01</t>
  </si>
  <si>
    <t>loading的场景配图名字</t>
  </si>
  <si>
    <t>loading的场景对应的特色玩家描述
icon、描述、框
框颜色</t>
  </si>
  <si>
    <t xml:space="preserve">对应的场景名称：
场景切换顺序
</t>
  </si>
  <si>
    <r>
      <rPr>
        <sz val="9"/>
        <color theme="1"/>
        <rFont val="微软雅黑"/>
        <family val="2"/>
        <charset val="134"/>
      </rPr>
      <t>对应的场景名称：
场景切换顺序，</t>
    </r>
    <r>
      <rPr>
        <sz val="9"/>
        <color rgb="FFFF0000"/>
        <rFont val="微软雅黑"/>
        <family val="2"/>
        <charset val="134"/>
      </rPr>
      <t>竞技场没有场景切换，金币场和弹头场有
bg_aisha,bg_binghai,bg_caishen,bg_longjing</t>
    </r>
  </si>
  <si>
    <t>场景切换时间间隔/分钟
3,5表示3～5之间随机一个时间，可能是3.5分钟</t>
  </si>
  <si>
    <t>对应的音效：</t>
  </si>
  <si>
    <r>
      <rPr>
        <sz val="9"/>
        <color theme="1"/>
        <rFont val="微软雅黑"/>
        <family val="2"/>
        <charset val="134"/>
      </rPr>
      <t xml:space="preserve">大厅动画
形象spine动画
</t>
    </r>
    <r>
      <rPr>
        <sz val="9"/>
        <color rgb="FFFF0000"/>
        <rFont val="微软雅黑"/>
        <family val="2"/>
        <charset val="134"/>
      </rPr>
      <t>(对应的每个房间入口显示表现)</t>
    </r>
  </si>
  <si>
    <t>渔场入口
spine对应的皮肤</t>
  </si>
  <si>
    <t>大厅
spine对应的动作</t>
  </si>
  <si>
    <t>大厅动画偏移
x,y</t>
  </si>
  <si>
    <t>话费赛奖励数量，大厅显示用
-1表示无话费赛</t>
  </si>
  <si>
    <t xml:space="preserve">房间下方特色玩法
1.龙舟赛
2.福卡来袭
3.小游戏卡牌
4.艾莎
5.财神
6.玄龙鲸
7.金蟾
8.冰海精灵
9.雷神锤
10.暴富鸭
11.蟹将军
</t>
  </si>
  <si>
    <t xml:space="preserve">房间下方特色玩法的外框,注意与特色玩法的位置对应
1.最高级
2.中级
3.普通
</t>
  </si>
  <si>
    <t xml:space="preserve">房间下方特色玩法的描述（多语言）
c：初级龙舟赛
z：中级龙舟赛
g：高级龙舟赛
2.福卡来袭
3.小游戏卡牌
4.艾莎
5.财神
6.玄龙鲸
7.金蟾
8.冰海精灵
9.雷神锤
10.暴富鸭
11.蟹将军
</t>
  </si>
  <si>
    <t>对应loadingTS</t>
  </si>
  <si>
    <t>3,4,5,6</t>
  </si>
  <si>
    <t>0.05,0.15</t>
  </si>
  <si>
    <t>0.5,1,1.5</t>
  </si>
  <si>
    <t>tx_ld_hsbz</t>
  </si>
  <si>
    <t>[[ic_dcj_8,tx_ld_bhjl_01,ui_dcj_k_1],[ic_dcj_9,tx_ld_lsc_01,ui_dcj_k_3],[ic_dcj_10,tx_ld_bfy_01,ui_dcj_k_3],[ic_dcj_11,tx_ld_xjj_01,ui_dcj_k_3]]</t>
  </si>
  <si>
    <t>bg_aisha</t>
  </si>
  <si>
    <t>3,5</t>
  </si>
  <si>
    <t>yinxiao_rukou2</t>
  </si>
  <si>
    <t>zhangyu</t>
  </si>
  <si>
    <t>haishenbaozang</t>
  </si>
  <si>
    <t>animation</t>
  </si>
  <si>
    <t>16,3</t>
  </si>
  <si>
    <t>8,9,10,11</t>
  </si>
  <si>
    <t>1,3,3,3</t>
  </si>
  <si>
    <t>冰海精灵</t>
  </si>
  <si>
    <t>ic_dcj_8</t>
  </si>
  <si>
    <t>tx_ld_bhjl_01</t>
  </si>
  <si>
    <t>ui_dcj_k_1</t>
  </si>
  <si>
    <t>3201,3202,3203</t>
  </si>
  <si>
    <t>0.15,0.25</t>
  </si>
  <si>
    <t>1.5,2,2.5</t>
  </si>
  <si>
    <t>tx_ld_hxsh</t>
  </si>
  <si>
    <t>bg_binghai</t>
  </si>
  <si>
    <t>yinxiao_rukou1</t>
  </si>
  <si>
    <t>pangxie</t>
  </si>
  <si>
    <t>hengixngsihai</t>
  </si>
  <si>
    <t>12,-8</t>
  </si>
  <si>
    <t>c,2,4,3</t>
  </si>
  <si>
    <t>雷神锤</t>
  </si>
  <si>
    <t>ic_dcj_9</t>
  </si>
  <si>
    <t>tx_ld_lsc_01</t>
  </si>
  <si>
    <t>ui_dcj_k_3</t>
  </si>
  <si>
    <t>4,5,6</t>
  </si>
  <si>
    <t>0.3,0.5</t>
  </si>
  <si>
    <t>3,4,5</t>
  </si>
  <si>
    <t>tx_ld_jcjb</t>
  </si>
  <si>
    <t>bg_caishen</t>
  </si>
  <si>
    <t>jinchan</t>
  </si>
  <si>
    <t>jinchanjubao</t>
  </si>
  <si>
    <t>-8,-27</t>
  </si>
  <si>
    <t>7,z,2,5</t>
  </si>
  <si>
    <t>暴富鸭</t>
  </si>
  <si>
    <t>ic_dcj_10</t>
  </si>
  <si>
    <t>tx_ld_bfy_01</t>
  </si>
  <si>
    <t>5,6</t>
  </si>
  <si>
    <t>tx_ld_llxk</t>
  </si>
  <si>
    <t>bg_longjing</t>
  </si>
  <si>
    <t>longlingxuanku</t>
  </si>
  <si>
    <t>35,15</t>
  </si>
  <si>
    <t>7,g,2,6</t>
  </si>
  <si>
    <t>蟹将军</t>
  </si>
  <si>
    <t>ic_dcj_11</t>
  </si>
  <si>
    <t>tx_ld_xjj_01</t>
  </si>
  <si>
    <t>tx_ld_jjc</t>
  </si>
  <si>
    <t>[[ic_dcj_15,tx_ld_pm_01,ui_dcj_k_1],[ic_dcj_14,tx_ld_zd_01,ui_dcj_k_3],[ic_dcj_16,tx_ld_xyjf_01,ui_dcj_k_3]]</t>
  </si>
  <si>
    <t>bg_jingji</t>
  </si>
  <si>
    <t>jingjichang</t>
  </si>
  <si>
    <t>0,0</t>
  </si>
  <si>
    <t>tx_ld_hdzc</t>
  </si>
  <si>
    <t>bg_kongqi</t>
  </si>
  <si>
    <t>anim_guoneilonggui</t>
  </si>
  <si>
    <t>hedanzhuanchang</t>
  </si>
  <si>
    <t>0,30</t>
  </si>
  <si>
    <t>艾莎</t>
  </si>
  <si>
    <t>ic_dcj_4</t>
  </si>
  <si>
    <t>tx_ld_as_01</t>
  </si>
  <si>
    <t>卡牌</t>
  </si>
  <si>
    <t>ic_dcj_3</t>
  </si>
  <si>
    <t>tx_ld_xyxkp_01</t>
  </si>
  <si>
    <t>财神</t>
  </si>
  <si>
    <t>ic_dcj_5</t>
  </si>
  <si>
    <t>tx_ld_cs_01</t>
  </si>
  <si>
    <t>金蟾</t>
  </si>
  <si>
    <t>ic_dcj_7</t>
  </si>
  <si>
    <t>tx_ld_jc_01</t>
  </si>
  <si>
    <t>玄龙鲸</t>
  </si>
  <si>
    <t>ic_dcj_6</t>
  </si>
  <si>
    <t>tx_ld_xlj_01</t>
  </si>
  <si>
    <t>排名</t>
  </si>
  <si>
    <t>ic_dcj_15</t>
  </si>
  <si>
    <t>tx_ld_pm_01</t>
  </si>
  <si>
    <t>子弹</t>
  </si>
  <si>
    <t>ic_dcj_14</t>
  </si>
  <si>
    <t>tx_ld_zd_01</t>
  </si>
  <si>
    <t>幸运积分</t>
  </si>
  <si>
    <t>ic_dcj_16</t>
  </si>
  <si>
    <t>tx_ld_xyjf_01</t>
  </si>
  <si>
    <t>核弹形象</t>
  </si>
  <si>
    <t>ic_dcj_13</t>
  </si>
  <si>
    <t>tx_ld_hjyhzz_01</t>
  </si>
  <si>
    <t>通用炮形象</t>
  </si>
  <si>
    <t>ic_dcj_12</t>
  </si>
  <si>
    <t>tx_ld_pb_01</t>
  </si>
  <si>
    <t>钻石</t>
  </si>
  <si>
    <t>超级武器4</t>
  </si>
  <si>
    <t>超级武器2</t>
  </si>
  <si>
    <t>福卡</t>
  </si>
  <si>
    <t>level</t>
  </si>
  <si>
    <t>exp</t>
  </si>
  <si>
    <t>reward1</t>
  </si>
  <si>
    <t>reward2</t>
  </si>
  <si>
    <t>reward3</t>
  </si>
  <si>
    <t>growUp</t>
  </si>
  <si>
    <t>buyGrowup</t>
  </si>
  <si>
    <t>开炮次数/s</t>
  </si>
  <si>
    <t>超级武器3</t>
  </si>
  <si>
    <t>系统馈赠的福卡金币价值按照500金币=1福卡</t>
  </si>
  <si>
    <t>用户等级</t>
  </si>
  <si>
    <r>
      <rPr>
        <sz val="8"/>
        <color theme="1"/>
        <rFont val="微软雅黑"/>
        <family val="2"/>
        <charset val="134"/>
      </rPr>
      <t xml:space="preserve">当前级升级到下一等级所需经验值
</t>
    </r>
    <r>
      <rPr>
        <b/>
        <sz val="8"/>
        <color rgb="FF7030A0"/>
        <rFont val="微软雅黑"/>
        <family val="2"/>
        <charset val="134"/>
      </rPr>
      <t>玩家在捕获鱼时该鱼的score即为获得的经验值，注意:与炮倍无关</t>
    </r>
  </si>
  <si>
    <t>当前等级升下一级奖励内容
奖励物品1类型|物品id1|数量
格式：x1|y1|z1,x2|y2|z2|
x：消耗类型；：1货币，2道具
y：物品id，1钻石，2金币 ，
z：具体数量
不填代表没有奖励</t>
  </si>
  <si>
    <t>升级奖励</t>
  </si>
  <si>
    <t>福利
成长奖励</t>
  </si>
  <si>
    <t>福利
基金奖励</t>
  </si>
  <si>
    <t>当前等级规划的
停留时间/分钟</t>
  </si>
  <si>
    <t>游戏总时长/分钟
未考虑演出阶段</t>
  </si>
  <si>
    <t>天数：
1天按照4小时考虑</t>
  </si>
  <si>
    <t>能量E</t>
  </si>
  <si>
    <t>获得经验
/分钟</t>
  </si>
  <si>
    <t>当前等级
经验</t>
  </si>
  <si>
    <t>物品名称</t>
  </si>
  <si>
    <t>物品类型</t>
  </si>
  <si>
    <t>物品id</t>
  </si>
  <si>
    <r>
      <rPr>
        <b/>
        <sz val="11"/>
        <color theme="1"/>
        <rFont val="微软雅黑"/>
        <family val="2"/>
        <charset val="134"/>
      </rPr>
      <t>成长基金
成长奖励</t>
    </r>
    <r>
      <rPr>
        <sz val="11"/>
        <color theme="1"/>
        <rFont val="微软雅黑"/>
        <family val="2"/>
        <charset val="134"/>
      </rPr>
      <t xml:space="preserve">
物品名称</t>
    </r>
  </si>
  <si>
    <t>成长基金
基金奖励
物品名称</t>
  </si>
  <si>
    <t>8.21等级停留时间重新验算</t>
  </si>
  <si>
    <t>锁定</t>
  </si>
  <si>
    <t>冰冻</t>
  </si>
  <si>
    <t/>
  </si>
  <si>
    <t>按照演出金币计算玩家节奏</t>
  </si>
  <si>
    <t>召唤</t>
  </si>
  <si>
    <t>狂暴</t>
  </si>
  <si>
    <r>
      <rPr>
        <sz val="10"/>
        <color theme="1"/>
        <rFont val="微软雅黑"/>
        <family val="2"/>
        <charset val="134"/>
      </rPr>
      <t>c</t>
    </r>
    <r>
      <rPr>
        <sz val="10"/>
        <color theme="1"/>
        <rFont val="微软雅黑"/>
        <family val="2"/>
        <charset val="134"/>
      </rPr>
      <t>s</t>
    </r>
  </si>
  <si>
    <t>闪电价值</t>
  </si>
  <si>
    <t>设定：每分钟出N个钻石</t>
  </si>
  <si>
    <t>小游戏价值占比</t>
  </si>
  <si>
    <t>祝福增加时间对应价值占鱼的score比例</t>
  </si>
  <si>
    <t>免费开火</t>
  </si>
  <si>
    <t>能量</t>
  </si>
  <si>
    <t>捕鱼掉落福卡(只在经典场和弹头场掉）</t>
  </si>
  <si>
    <t>捕鱼净消耗金币</t>
  </si>
  <si>
    <r>
      <rPr>
        <sz val="11"/>
        <color theme="1"/>
        <rFont val="微软雅黑"/>
        <family val="2"/>
        <charset val="134"/>
      </rPr>
      <t>玩家净消耗5000得福卡x1，模型为：</t>
    </r>
    <r>
      <rPr>
        <sz val="8"/>
        <color theme="1"/>
        <rFont val="微软雅黑"/>
        <family val="2"/>
        <charset val="134"/>
      </rPr>
      <t>1倍炮、1福卡、1分鱼</t>
    </r>
  </si>
  <si>
    <r>
      <rPr>
        <sz val="11"/>
        <color theme="1"/>
        <rFont val="微软雅黑"/>
        <family val="2"/>
        <charset val="134"/>
      </rPr>
      <t>鱼被捕获情况下掉落福卡概率=炮倍*value*</t>
    </r>
    <r>
      <rPr>
        <b/>
        <sz val="11"/>
        <color theme="1"/>
        <rFont val="微软雅黑"/>
        <family val="2"/>
        <charset val="134"/>
      </rPr>
      <t>基础捕鱼掉落福卡概率</t>
    </r>
    <r>
      <rPr>
        <sz val="11"/>
        <color theme="1"/>
        <rFont val="微软雅黑"/>
        <family val="2"/>
        <charset val="134"/>
      </rPr>
      <t>/掉落总额</t>
    </r>
  </si>
  <si>
    <t>勇者斗恶龙，鱼被捕获情况下，炮倍对应的掉落概率</t>
  </si>
  <si>
    <t>闪电价值穿透系数</t>
  </si>
  <si>
    <t>炮开火频率/s</t>
  </si>
  <si>
    <t>小游戏积分</t>
  </si>
  <si>
    <t>新手房间</t>
  </si>
  <si>
    <t>当前炮倍</t>
  </si>
  <si>
    <t>概率max</t>
  </si>
  <si>
    <t>获得福卡</t>
  </si>
  <si>
    <t>基础捕获鱼掉落福卡概率</t>
  </si>
  <si>
    <t>时间节奏:/分</t>
  </si>
  <si>
    <t>fishId</t>
  </si>
  <si>
    <t>name</t>
  </si>
  <si>
    <t>fishType</t>
  </si>
  <si>
    <r>
      <rPr>
        <sz val="10"/>
        <color theme="1"/>
        <rFont val="微软雅黑"/>
        <family val="2"/>
        <charset val="134"/>
      </rPr>
      <t>fishType</t>
    </r>
    <r>
      <rPr>
        <sz val="10"/>
        <color theme="1"/>
        <rFont val="微软雅黑"/>
        <family val="2"/>
        <charset val="134"/>
      </rPr>
      <t>Child</t>
    </r>
  </si>
  <si>
    <t>score</t>
  </si>
  <si>
    <t>scoreShow</t>
  </si>
  <si>
    <t>suoding</t>
  </si>
  <si>
    <t>scoreStage</t>
  </si>
  <si>
    <t>moonStone</t>
  </si>
  <si>
    <t>otherStone</t>
  </si>
  <si>
    <t>quanNum</t>
  </si>
  <si>
    <t>chuiziPro</t>
  </si>
  <si>
    <t>dropDiamond</t>
  </si>
  <si>
    <t>diamondPro</t>
  </si>
  <si>
    <t>dropGameCard</t>
  </si>
  <si>
    <t>stPerQuan</t>
  </si>
  <si>
    <t>stDropQuanNum</t>
  </si>
  <si>
    <t>stDropQuanUnit</t>
  </si>
  <si>
    <t>buyuFuka</t>
  </si>
  <si>
    <t>dropGroup</t>
  </si>
  <si>
    <t>dropDantouP</t>
  </si>
  <si>
    <t>perDraw</t>
  </si>
  <si>
    <t>perCard</t>
  </si>
  <si>
    <t>perAddT</t>
  </si>
  <si>
    <t>standardPer</t>
  </si>
  <si>
    <t>addTime</t>
  </si>
  <si>
    <t>addTimeP</t>
  </si>
  <si>
    <t>rmbPoolE</t>
  </si>
  <si>
    <t>isMustHit</t>
  </si>
  <si>
    <t>goldDropType</t>
  </si>
  <si>
    <t>animationType</t>
  </si>
  <si>
    <t>isSpine</t>
  </si>
  <si>
    <t>die_shake</t>
  </si>
  <si>
    <t>die_bg</t>
  </si>
  <si>
    <t>noflip</t>
  </si>
  <si>
    <t>scale</t>
  </si>
  <si>
    <t>scale_app</t>
  </si>
  <si>
    <t>scale_dm</t>
  </si>
  <si>
    <t>lockScale</t>
  </si>
  <si>
    <t>frozenType</t>
  </si>
  <si>
    <t>bossTx</t>
  </si>
  <si>
    <t>bossScale</t>
  </si>
  <si>
    <t>dieNumSize</t>
  </si>
  <si>
    <t>zIndex</t>
  </si>
  <si>
    <t>flashFz</t>
  </si>
  <si>
    <t>flashBrill</t>
  </si>
  <si>
    <t>targetScale</t>
  </si>
  <si>
    <t>dieMove</t>
  </si>
  <si>
    <t>collider</t>
  </si>
  <si>
    <t>collider_app</t>
  </si>
  <si>
    <t>book_Num</t>
  </si>
  <si>
    <t>book_kuang</t>
  </si>
  <si>
    <t>flashE</t>
  </si>
  <si>
    <t>闪电单目标阈值</t>
  </si>
  <si>
    <t>valueIncludeCard</t>
  </si>
  <si>
    <t>一分钟开火次数</t>
  </si>
  <si>
    <t>改为小游戏积分后记得调整国王的悬赏和寻宝鱼积分档位</t>
  </si>
  <si>
    <t>得1次福卡需要时间</t>
  </si>
  <si>
    <t>1000倍炮掉落情况(标准值）</t>
  </si>
  <si>
    <t>炮倍总额</t>
  </si>
  <si>
    <t>炮倍</t>
  </si>
  <si>
    <t>鱼id</t>
  </si>
  <si>
    <r>
      <rPr>
        <sz val="9"/>
        <color theme="1"/>
        <rFont val="微软雅黑"/>
        <family val="2"/>
        <charset val="134"/>
      </rPr>
      <t xml:space="preserve">鱼图片资源名称
</t>
    </r>
    <r>
      <rPr>
        <sz val="9"/>
        <color rgb="FFFF0000"/>
        <rFont val="微软雅黑"/>
        <family val="2"/>
        <charset val="134"/>
      </rPr>
      <t>未填写的表示鱼和小精灵没对应的
图鉴的icon和多语言key值，描述key值为"des_"拼接name</t>
    </r>
  </si>
  <si>
    <t>鱼的类型
1小型鱼,2中型鱼
3大型鱼,4黄金鱼
5特殊鱼,6BOSS
7潜艇(层级最高)
8福卡</t>
  </si>
  <si>
    <r>
      <rPr>
        <sz val="8"/>
        <color theme="1"/>
        <rFont val="微软雅黑"/>
        <family val="2"/>
        <charset val="134"/>
      </rPr>
      <t xml:space="preserve">目前只有特殊鱼boss需要区分
</t>
    </r>
    <r>
      <rPr>
        <sz val="9"/>
        <color rgb="FFFF0000"/>
        <rFont val="微软雅黑"/>
        <family val="2"/>
        <charset val="134"/>
      </rPr>
      <t>1卡牌鱼,2电鳗,3炸弹
4冰海精灵，5玄龙鲸，6财神，7艾莎，8奖池</t>
    </r>
    <r>
      <rPr>
        <sz val="9"/>
        <color theme="1"/>
        <rFont val="微软雅黑"/>
        <family val="2"/>
        <charset val="134"/>
      </rPr>
      <t xml:space="preserve">
其他没有的暂时用-1</t>
    </r>
  </si>
  <si>
    <t>平均
分值</t>
  </si>
  <si>
    <t>图鉴展示分值</t>
  </si>
  <si>
    <t>锁定目标的选取顺序
值越大越优先选取</t>
  </si>
  <si>
    <r>
      <rPr>
        <b/>
        <sz val="9"/>
        <color rgb="FF7030A0"/>
        <rFont val="微软雅黑"/>
        <family val="2"/>
        <charset val="134"/>
      </rPr>
      <t xml:space="preserve">黄金鱼分阶段展示分值
</t>
    </r>
    <r>
      <rPr>
        <sz val="8"/>
        <color rgb="FF7030A0"/>
        <rFont val="微软雅黑"/>
        <family val="2"/>
        <charset val="134"/>
      </rPr>
      <t>[[分值1,权重1],[分值2,权重2],[分值3,权重3],]</t>
    </r>
  </si>
  <si>
    <t>客户端显示
掉落抽奖券百分比
5表示5%</t>
  </si>
  <si>
    <t>额外抽奖券百分比(服务器保留数据)
1表示1%</t>
  </si>
  <si>
    <t>被捕获时获得福卡数量
（金额）</t>
  </si>
  <si>
    <t xml:space="preserve">鱼被捕获情况下银锤子掉落概率
</t>
  </si>
  <si>
    <r>
      <rPr>
        <sz val="9"/>
        <color theme="1"/>
        <rFont val="微软雅黑"/>
        <family val="2"/>
        <charset val="134"/>
      </rPr>
      <t xml:space="preserve">被捕获获得的钻石
</t>
    </r>
    <r>
      <rPr>
        <b/>
        <sz val="9"/>
        <color rgb="FFFF0000"/>
        <rFont val="微软雅黑"/>
        <family val="2"/>
        <charset val="134"/>
      </rPr>
      <t>暂时废弃</t>
    </r>
    <r>
      <rPr>
        <sz val="9"/>
        <color theme="1"/>
        <rFont val="微软雅黑"/>
        <family val="2"/>
        <charset val="134"/>
      </rPr>
      <t xml:space="preserve">
</t>
    </r>
  </si>
  <si>
    <r>
      <rPr>
        <sz val="9"/>
        <color theme="1"/>
        <rFont val="微软雅黑"/>
        <family val="2"/>
        <charset val="134"/>
      </rPr>
      <t xml:space="preserve">鱼被捕获情况下
钻石掉落概率
</t>
    </r>
    <r>
      <rPr>
        <sz val="9"/>
        <color rgb="FFFF0000"/>
        <rFont val="微软雅黑"/>
        <family val="2"/>
        <charset val="134"/>
      </rPr>
      <t>武器能量0.95</t>
    </r>
    <r>
      <rPr>
        <sz val="9"/>
        <color theme="1"/>
        <rFont val="微软雅黑"/>
        <family val="2"/>
        <charset val="134"/>
      </rPr>
      <t xml:space="preserve">(算概率会用到)
</t>
    </r>
    <r>
      <rPr>
        <b/>
        <sz val="9"/>
        <color rgb="FFFF0000"/>
        <rFont val="微软雅黑"/>
        <family val="2"/>
        <charset val="134"/>
      </rPr>
      <t>暂时废弃</t>
    </r>
  </si>
  <si>
    <t>鱼被捕获情况下
掉落的小游戏卡牌概率</t>
  </si>
  <si>
    <r>
      <rPr>
        <sz val="9"/>
        <color theme="1"/>
        <rFont val="微软雅黑"/>
        <family val="2"/>
        <charset val="134"/>
      </rPr>
      <t xml:space="preserve">捕鱼掉落福卡
标准值(VIP对应的per，需要在此基础上乘以系数)
</t>
    </r>
    <r>
      <rPr>
        <sz val="9"/>
        <color theme="0"/>
        <rFont val="微软雅黑"/>
        <family val="2"/>
        <charset val="134"/>
      </rPr>
      <t>暂时废弃</t>
    </r>
  </si>
  <si>
    <t>捕鱼掉落福卡
每个fishid下标准炮倍(1000炮)对应的掉落总额</t>
  </si>
  <si>
    <t>捕鱼掉落福卡
标准炮倍(1000炮)掉落面额
注:每次捕获只掉落一个面额</t>
  </si>
  <si>
    <t>[[掉落总额1,掉落面额1],[掉落总额2,掉落面额2]]</t>
  </si>
  <si>
    <t>掉落组:对应掉落表的dropGroup</t>
  </si>
  <si>
    <t>弹头场掉落弹头的概率P</t>
  </si>
  <si>
    <r>
      <rPr>
        <sz val="9"/>
        <color theme="1"/>
        <rFont val="微软雅黑"/>
        <family val="2"/>
        <charset val="134"/>
      </rPr>
      <t xml:space="preserve">抽奖券占比
</t>
    </r>
    <r>
      <rPr>
        <b/>
        <sz val="9"/>
        <color theme="0"/>
        <rFont val="微软雅黑"/>
        <family val="2"/>
        <charset val="134"/>
      </rPr>
      <t xml:space="preserve">必掉奖券
</t>
    </r>
    <r>
      <rPr>
        <sz val="8"/>
        <color theme="0"/>
        <rFont val="微软雅黑"/>
        <family val="2"/>
        <charset val="134"/>
      </rPr>
      <t xml:space="preserve">(0表示该鱼不掉，目前只有黄金鱼掉落奖券)
</t>
    </r>
    <r>
      <rPr>
        <b/>
        <sz val="8"/>
        <color theme="0"/>
        <rFont val="微软雅黑"/>
        <family val="2"/>
        <charset val="134"/>
      </rPr>
      <t>最小千分之一</t>
    </r>
  </si>
  <si>
    <r>
      <rPr>
        <sz val="9"/>
        <color theme="1"/>
        <rFont val="微软雅黑"/>
        <family val="2"/>
        <charset val="134"/>
      </rPr>
      <t>小游戏卡牌占比
对应</t>
    </r>
    <r>
      <rPr>
        <b/>
        <sz val="9"/>
        <color theme="1"/>
        <rFont val="微软雅黑"/>
        <family val="2"/>
        <charset val="134"/>
      </rPr>
      <t xml:space="preserve">概率掉落
</t>
    </r>
    <r>
      <rPr>
        <b/>
        <sz val="9"/>
        <color theme="0"/>
        <rFont val="微软雅黑"/>
        <family val="2"/>
        <charset val="134"/>
      </rPr>
      <t>dropGameCard
最小千分之一</t>
    </r>
  </si>
  <si>
    <r>
      <rPr>
        <sz val="9"/>
        <color theme="1"/>
        <rFont val="微软雅黑"/>
        <family val="2"/>
        <charset val="134"/>
      </rPr>
      <t xml:space="preserve">免费开火增加时间占比
</t>
    </r>
    <r>
      <rPr>
        <sz val="9"/>
        <color theme="0"/>
        <rFont val="微软雅黑"/>
        <family val="2"/>
        <charset val="134"/>
      </rPr>
      <t>最小千分之一</t>
    </r>
  </si>
  <si>
    <r>
      <rPr>
        <sz val="9"/>
        <color theme="1"/>
        <rFont val="微软雅黑"/>
        <family val="2"/>
        <charset val="134"/>
      </rPr>
      <t xml:space="preserve">勇者斗恶龙活动闪电占比per标准值，
</t>
    </r>
    <r>
      <rPr>
        <sz val="9"/>
        <color theme="0"/>
        <rFont val="微软雅黑"/>
        <family val="2"/>
        <charset val="134"/>
      </rPr>
      <t>实际per=炮倍系数*该值
金蟾、龙舟、话费鱼都不会掉</t>
    </r>
  </si>
  <si>
    <t>免费开火增加时间
[增加时间数量,权重]</t>
  </si>
  <si>
    <t>免费开火增加时间
三个阶段分别对应的概率</t>
  </si>
  <si>
    <r>
      <rPr>
        <sz val="9"/>
        <color theme="1"/>
        <rFont val="微软雅黑"/>
        <family val="2"/>
        <charset val="134"/>
      </rPr>
      <t xml:space="preserve">增加能量
使用充值金币池子时，每次开火消耗池子数量
炮倍*增加能量值
</t>
    </r>
    <r>
      <rPr>
        <b/>
        <sz val="9"/>
        <color rgb="FFFF0000"/>
        <rFont val="微软雅黑"/>
        <family val="2"/>
        <charset val="134"/>
      </rPr>
      <t>最小千分之一</t>
    </r>
  </si>
  <si>
    <t>是否是充值池子设定的必中鱼
0否，1是</t>
  </si>
  <si>
    <r>
      <rPr>
        <sz val="8"/>
        <color theme="1"/>
        <rFont val="微软雅黑"/>
        <family val="2"/>
        <charset val="134"/>
      </rPr>
      <t>金币落位动画类型：</t>
    </r>
    <r>
      <rPr>
        <sz val="9"/>
        <color theme="1"/>
        <rFont val="微软雅黑"/>
        <family val="2"/>
        <charset val="134"/>
      </rPr>
      <t xml:space="preserve">
1,1*1;2,1*2;3,1*3;4,2*2;5,2*3;6,2*4;7,2*5;8,2*6;9,2*7;10,2*8;11,3排454;12,3排565</t>
    </r>
  </si>
  <si>
    <t>金币动画类型，
-1表示没有
1转盘;2太棒了;3连锁闪电;
4深水炸弹;5翡翠蟹;6金钱鳄
7巨钳龙虾;8美人鱼;9送财龙龟;
10独角鲸;11真身龙虾王;12人鱼声波;13通用转盘</t>
  </si>
  <si>
    <t>针对小精灵的是否spine动画
0否，1是</t>
  </si>
  <si>
    <t>死亡时的震屏效果(同房间都震屏)
手机震动(只自己震)
0表示无
1表示低级
2表示中级
3表示高级</t>
  </si>
  <si>
    <r>
      <rPr>
        <sz val="9"/>
        <color theme="1"/>
        <rFont val="微软雅黑"/>
        <family val="2"/>
        <charset val="134"/>
      </rPr>
      <t>死亡动画1
对应anim_die_bg_</t>
    </r>
    <r>
      <rPr>
        <sz val="9"/>
        <color rgb="FFFF0000"/>
        <rFont val="微软雅黑"/>
        <family val="2"/>
        <charset val="134"/>
      </rPr>
      <t>X
名字填写"X"编号</t>
    </r>
  </si>
  <si>
    <t>是否不上下翻转
0翻转
1不翻转</t>
  </si>
  <si>
    <t>通用版鱼缩放百分比</t>
  </si>
  <si>
    <t>app图片缩放百分比</t>
  </si>
  <si>
    <t>电鳗链接点特效用到的受击比例</t>
  </si>
  <si>
    <t>锁定光圈的比例(按照锁定自己的比例缩放)</t>
  </si>
  <si>
    <t>冰冻
冰块类型,缩放比例
不填表示无冰块
1小冰块
2大冰块</t>
  </si>
  <si>
    <t xml:space="preserve">boss身上特效
1紫色
2橙色
3莲花特效
一个鱼配置了“2,3”表示2在下面，3在上面
</t>
  </si>
  <si>
    <t>boss身上的特效缩放比例（按照特自己的比例缩放）
0表示没有
配置格式对应bossTx</t>
  </si>
  <si>
    <t>死亡数字缩小%</t>
  </si>
  <si>
    <r>
      <rPr>
        <sz val="10"/>
        <color theme="1"/>
        <rFont val="微软雅黑"/>
        <family val="2"/>
        <charset val="134"/>
      </rPr>
      <t xml:space="preserve">鱼的层级
</t>
    </r>
    <r>
      <rPr>
        <sz val="8"/>
        <color rgb="FFFF0000"/>
        <rFont val="微软雅黑"/>
        <family val="2"/>
        <charset val="134"/>
      </rPr>
      <t>死亡前层级为表中数值，死亡后层级为表死亡前鱼的层级都要高</t>
    </r>
  </si>
  <si>
    <t>鱼的被击闪动频率
被击效果不再是覆盖而是顺序叠加</t>
  </si>
  <si>
    <t>闪屏亮度百分比</t>
  </si>
  <si>
    <t>目标鱼选中效果大小比例(按照目标选中效果自己的比例缩放)</t>
  </si>
  <si>
    <t>鱼死亡位移
a,b:位移像素和位移速度(秒)，鱼死亡放大倍数</t>
  </si>
  <si>
    <t>对应scale
鱼在标准大小(1倍)下的碰撞区
前2个offset,
后2个是size</t>
  </si>
  <si>
    <r>
      <rPr>
        <sz val="9"/>
        <color theme="1"/>
        <rFont val="微软雅黑"/>
        <family val="2"/>
        <charset val="134"/>
      </rPr>
      <t xml:space="preserve">碰撞区_app
前2个offset,
后2个是size
</t>
    </r>
    <r>
      <rPr>
        <sz val="9"/>
        <color rgb="FFFF0000"/>
        <rFont val="微软雅黑"/>
        <family val="2"/>
        <charset val="134"/>
      </rPr>
      <t>app</t>
    </r>
    <r>
      <rPr>
        <b/>
        <sz val="9"/>
        <color rgb="FFFF0000"/>
        <rFont val="微软雅黑"/>
        <family val="2"/>
        <charset val="134"/>
      </rPr>
      <t>确认为最终配置后
更新一次8980</t>
    </r>
  </si>
  <si>
    <t>图鉴中在对应页签出现的顺序，留空白的是不出现在图鉴的</t>
  </si>
  <si>
    <t>图鉴中鱼相关描述框的类型
1、小框
2、中框
3、大框</t>
  </si>
  <si>
    <t xml:space="preserve">闪电武器能量
</t>
  </si>
  <si>
    <t xml:space="preserve">闪电穿透几条鱼
</t>
  </si>
  <si>
    <r>
      <rPr>
        <sz val="8"/>
        <color theme="1"/>
        <rFont val="微软雅黑"/>
        <family val="2"/>
        <charset val="134"/>
      </rPr>
      <t>小精灵是否存在</t>
    </r>
    <r>
      <rPr>
        <sz val="9"/>
        <color theme="1"/>
        <rFont val="微软雅黑"/>
        <family val="2"/>
        <charset val="134"/>
      </rPr>
      <t xml:space="preserve">
</t>
    </r>
    <r>
      <rPr>
        <sz val="8"/>
        <color rgb="FFFF0000"/>
        <rFont val="微软雅黑"/>
        <family val="2"/>
        <charset val="134"/>
      </rPr>
      <t>空表示当前版本不存在该小精灵</t>
    </r>
  </si>
  <si>
    <t>鱼的价值
不掉小游戏和boss免费开火</t>
  </si>
  <si>
    <t>鱼的价值
掉小游戏时的</t>
  </si>
  <si>
    <t>辅助，钻石掉落的实际概率</t>
  </si>
  <si>
    <t>平均每次开火出现1钻石的概率</t>
  </si>
  <si>
    <r>
      <rPr>
        <sz val="11"/>
        <color theme="1"/>
        <rFont val="微软雅黑"/>
        <family val="2"/>
        <charset val="134"/>
      </rPr>
      <t>鱼的价值
只考虑</t>
    </r>
    <r>
      <rPr>
        <sz val="9"/>
        <color rgb="FFFF0000"/>
        <rFont val="微软雅黑"/>
        <family val="2"/>
        <charset val="134"/>
      </rPr>
      <t>boss免费开火增加时间</t>
    </r>
  </si>
  <si>
    <t>增加时间数值A</t>
  </si>
  <si>
    <t>增加A的概率权重</t>
  </si>
  <si>
    <t>增加时间数值B</t>
  </si>
  <si>
    <t>增加B的概率权重</t>
  </si>
  <si>
    <t>增加时间数值C</t>
  </si>
  <si>
    <t>增加C的概率权重</t>
  </si>
  <si>
    <t>平均增加时间</t>
  </si>
  <si>
    <t>第1阶段每秒期望值</t>
  </si>
  <si>
    <t>第1阶段
鱼被捕获情况下
增加时间出现概率</t>
  </si>
  <si>
    <t>第2阶段每秒期望值</t>
  </si>
  <si>
    <t>第2阶段
鱼被捕获情况下
增加时间出现概率</t>
  </si>
  <si>
    <t>第3阶段每秒期望值</t>
  </si>
  <si>
    <t>第3阶段
鱼被捕获情况下
增加时间出现概率</t>
  </si>
  <si>
    <r>
      <rPr>
        <sz val="9"/>
        <color theme="1"/>
        <rFont val="微软雅黑"/>
        <family val="2"/>
        <charset val="134"/>
      </rPr>
      <t xml:space="preserve">标准值
</t>
    </r>
    <r>
      <rPr>
        <b/>
        <sz val="9"/>
        <color theme="1"/>
        <rFont val="微软雅黑"/>
        <family val="2"/>
        <charset val="134"/>
      </rPr>
      <t>占鱼score比例</t>
    </r>
  </si>
  <si>
    <t>标准value</t>
  </si>
  <si>
    <t>标准值
掉落福卡基础概率对应：
捕获鱼情况下1倍炮掉落1福卡的概率</t>
  </si>
  <si>
    <t>标准值
本次捕获鱼掉落福卡概率（概率溢出时）</t>
  </si>
  <si>
    <r>
      <rPr>
        <sz val="9"/>
        <color theme="1"/>
        <rFont val="微软雅黑"/>
        <family val="2"/>
        <charset val="134"/>
      </rPr>
      <t>实际值</t>
    </r>
    <r>
      <rPr>
        <b/>
        <sz val="9"/>
        <color rgb="FFC00000"/>
        <rFont val="微软雅黑"/>
        <family val="2"/>
        <charset val="134"/>
      </rPr>
      <t>(配置)</t>
    </r>
    <r>
      <rPr>
        <sz val="9"/>
        <color theme="1"/>
        <rFont val="微软雅黑"/>
        <family val="2"/>
        <charset val="134"/>
      </rPr>
      <t xml:space="preserve">
</t>
    </r>
    <r>
      <rPr>
        <b/>
        <sz val="9"/>
        <color theme="1"/>
        <rFont val="微软雅黑"/>
        <family val="2"/>
        <charset val="134"/>
      </rPr>
      <t>占鱼分值比例:</t>
    </r>
    <r>
      <rPr>
        <sz val="9"/>
        <color theme="1"/>
        <rFont val="微软雅黑"/>
        <family val="2"/>
        <charset val="134"/>
      </rPr>
      <t xml:space="preserve">
(如果本次计算概率大于60%，则重新计算）</t>
    </r>
  </si>
  <si>
    <t>实际值(配置)
掉落福卡基础概率对应：
捕获鱼情况下1倍炮掉落1福卡的概率</t>
  </si>
  <si>
    <t>实际值
本次捕获鱼掉落福卡概率（概率不会溢出时）</t>
  </si>
  <si>
    <t>实际值
掉落需要的开火次数</t>
  </si>
  <si>
    <t>该鱼当前炮倍率对应的掉落总额</t>
  </si>
  <si>
    <t>该鱼当前炮倍掉落面额（控制客户端表现的）</t>
  </si>
  <si>
    <t>掉落总额</t>
  </si>
  <si>
    <t>掉落面额（控制客户端表现的）</t>
  </si>
  <si>
    <r>
      <rPr>
        <sz val="10"/>
        <color theme="1"/>
        <rFont val="微软雅黑"/>
        <family val="2"/>
        <charset val="134"/>
      </rPr>
      <t xml:space="preserve">炮倍系数
实际值需要/10000
</t>
    </r>
    <r>
      <rPr>
        <sz val="9"/>
        <color rgb="FFFF0000"/>
        <rFont val="微软雅黑"/>
        <family val="2"/>
        <charset val="134"/>
      </rPr>
      <t>修改后记得调整炮解锁表</t>
    </r>
  </si>
  <si>
    <t>xiaohuangyu</t>
  </si>
  <si>
    <t>80,0.1,1</t>
  </si>
  <si>
    <t>1,3,35,10</t>
  </si>
  <si>
    <t>3.9,-0.48,36,36</t>
  </si>
  <si>
    <t>是</t>
  </si>
  <si>
    <t>被捕获的概率*鱼出现钻石的概率=平均每次开火出现1个钻石的概率</t>
  </si>
  <si>
    <t>打鱼时掉落概率</t>
  </si>
  <si>
    <t>hudieyu</t>
  </si>
  <si>
    <t>3,-1,26,22</t>
  </si>
  <si>
    <t>-0.89,0,36,36</t>
  </si>
  <si>
    <t>设定：每分钟出N个红包</t>
  </si>
  <si>
    <t>鱼value</t>
  </si>
  <si>
    <t>fangyu</t>
  </si>
  <si>
    <t>1,1,41,13</t>
  </si>
  <si>
    <t>1.95,0.48,36,36</t>
  </si>
  <si>
    <t>平均每次开火出现1红包的概率</t>
  </si>
  <si>
    <t>qingyi</t>
  </si>
  <si>
    <t>6,-1,45,24</t>
  </si>
  <si>
    <t>1.78,-1.33,45,35</t>
  </si>
  <si>
    <t>yinggehong</t>
  </si>
  <si>
    <t>7,19,61,24</t>
  </si>
  <si>
    <t>2.43,1.95,40,40</t>
  </si>
  <si>
    <t>heibaimo</t>
  </si>
  <si>
    <t>10,2,60,16</t>
  </si>
  <si>
    <t>4.89,-0.89,50,38</t>
  </si>
  <si>
    <t>huangbaoshi</t>
  </si>
  <si>
    <t>14,5,56,31</t>
  </si>
  <si>
    <t>0,0,36,48</t>
  </si>
  <si>
    <t>8</t>
  </si>
  <si>
    <t>muguayu</t>
  </si>
  <si>
    <t>7,18,55,38</t>
  </si>
  <si>
    <t>-2.92,2.43,36,36</t>
  </si>
  <si>
    <t>baifanyu1</t>
  </si>
  <si>
    <t>0,0,1</t>
  </si>
  <si>
    <t>5,4,90,24</t>
  </si>
  <si>
    <t>5.84,-0.48,40,36</t>
  </si>
  <si>
    <t>fengweiyu</t>
  </si>
  <si>
    <t>1,4,53,30</t>
  </si>
  <si>
    <t>-9.93,0,63,30</t>
  </si>
  <si>
    <t>bimuyu</t>
  </si>
  <si>
    <t>9,21,50,64</t>
  </si>
  <si>
    <t>0.48,0.97,47,36</t>
  </si>
  <si>
    <t>11</t>
  </si>
  <si>
    <t>lvqiyu</t>
  </si>
  <si>
    <t>17,7,52,73</t>
  </si>
  <si>
    <t>1.46,0.48,62,36</t>
  </si>
  <si>
    <t>hetun</t>
  </si>
  <si>
    <t>-4,26,64,70</t>
  </si>
  <si>
    <t>4.23,0.94,69,36</t>
  </si>
  <si>
    <t>13</t>
  </si>
  <si>
    <t>11,21,86,48</t>
  </si>
  <si>
    <t>4.23,-2.36,61,36</t>
  </si>
  <si>
    <t>14</t>
  </si>
  <si>
    <t>xingbanyu</t>
  </si>
  <si>
    <t>13,21,98,40</t>
  </si>
  <si>
    <t>-0.47,4.7,58,64</t>
  </si>
  <si>
    <t>landiaodiao</t>
  </si>
  <si>
    <t>14,25,100,57</t>
  </si>
  <si>
    <t>-4.4,1.46,52,90</t>
  </si>
  <si>
    <t>16</t>
  </si>
  <si>
    <t>paodanyu</t>
  </si>
  <si>
    <t>6,30,100,44</t>
  </si>
  <si>
    <t>-1.89,-0.95,50,52</t>
  </si>
  <si>
    <t>17</t>
  </si>
  <si>
    <t>shiziyu</t>
  </si>
  <si>
    <t>11,18,73,91</t>
  </si>
  <si>
    <t>-5.23,0.44,72,54</t>
  </si>
  <si>
    <t>18</t>
  </si>
  <si>
    <t>damaha</t>
  </si>
  <si>
    <t>7,13,116,57</t>
  </si>
  <si>
    <t>-1.02,5.58,80,80</t>
  </si>
  <si>
    <t>19</t>
  </si>
  <si>
    <t>huashuimu</t>
  </si>
  <si>
    <t>120,0.1,1</t>
  </si>
  <si>
    <t>14,-4,147,88</t>
  </si>
  <si>
    <t>2.83,0,119,36</t>
  </si>
  <si>
    <t>bianfuyu</t>
  </si>
  <si>
    <t>88,1,92,153</t>
  </si>
  <si>
    <t>17.97,-0.54,60,84</t>
  </si>
  <si>
    <t>21</t>
  </si>
  <si>
    <t>baifanyu2</t>
  </si>
  <si>
    <t>jialuolou</t>
  </si>
  <si>
    <t>2,0.7</t>
  </si>
  <si>
    <t>17,13,242,73</t>
  </si>
  <si>
    <t>-9.74,3.12,152,37</t>
  </si>
  <si>
    <t>22</t>
  </si>
  <si>
    <t>黄金鱼分值设计</t>
  </si>
  <si>
    <t>qiyu</t>
  </si>
  <si>
    <t>-8,27,176,121</t>
  </si>
  <si>
    <t>8.15,-0.41,158,37</t>
  </si>
  <si>
    <t>23</t>
  </si>
  <si>
    <t>第1阶段</t>
  </si>
  <si>
    <t>第2阶段</t>
  </si>
  <si>
    <t>第3阶段</t>
  </si>
  <si>
    <t>shayu</t>
  </si>
  <si>
    <t>45,25,239,92</t>
  </si>
  <si>
    <t>-6.09,-4.57,220,50</t>
  </si>
  <si>
    <t>24</t>
  </si>
  <si>
    <t>score1</t>
  </si>
  <si>
    <t>概率权重</t>
  </si>
  <si>
    <t>score2</t>
  </si>
  <si>
    <t>score3</t>
  </si>
  <si>
    <t>jinsanjiao</t>
  </si>
  <si>
    <t>53,1,80,67</t>
  </si>
  <si>
    <t>1.72,4.48,45,72</t>
  </si>
  <si>
    <t>jinwuzei</t>
  </si>
  <si>
    <t>24,1,80,59</t>
  </si>
  <si>
    <t>0.49,3.91,70,72</t>
  </si>
  <si>
    <t>huangjindie</t>
  </si>
  <si>
    <t>8,20,105,85</t>
  </si>
  <si>
    <t>-3.56,-1.77,66,60</t>
  </si>
  <si>
    <t>jinlongxia</t>
  </si>
  <si>
    <t>1,1.3</t>
  </si>
  <si>
    <t>36,7,88,189</t>
  </si>
  <si>
    <t>0.49,6.84,80,75</t>
  </si>
  <si>
    <t>yaoyu</t>
  </si>
  <si>
    <t>82,7,86,96</t>
  </si>
  <si>
    <t>9.88,-2.83,150,50</t>
  </si>
  <si>
    <t>bixi</t>
  </si>
  <si>
    <t>1,1.4</t>
  </si>
  <si>
    <t>2,8,141,115</t>
  </si>
  <si>
    <t>6.97,-1.03,60,106</t>
  </si>
  <si>
    <t>hujing</t>
  </si>
  <si>
    <t>2,0.85</t>
  </si>
  <si>
    <t>37,17,228,68</t>
  </si>
  <si>
    <t>-16.5,1.89,230,44</t>
  </si>
  <si>
    <t>chuitousha</t>
  </si>
  <si>
    <t>33,7,284,51</t>
  </si>
  <si>
    <t>2.45,1.47,204,51</t>
  </si>
  <si>
    <t>jingsha</t>
  </si>
  <si>
    <t>2,1</t>
  </si>
  <si>
    <t>84,0,334,86</t>
  </si>
  <si>
    <t>-4.89,-12.72,205,46</t>
  </si>
  <si>
    <t>100,0.1,1</t>
  </si>
  <si>
    <t>79,7,114,162</t>
  </si>
  <si>
    <t>-22.87,5.44,273,107</t>
  </si>
  <si>
    <t>-11.43,9.8,487,153</t>
  </si>
  <si>
    <t>xiejiangjun</t>
  </si>
  <si>
    <t>2,1.3</t>
  </si>
  <si>
    <t>60,0.1,1</t>
  </si>
  <si>
    <t>-5,-12,331,304</t>
  </si>
  <si>
    <t>-13.61,27.21,247,223</t>
  </si>
  <si>
    <t>kedaya</t>
  </si>
  <si>
    <t>18,-1,288,86</t>
  </si>
  <si>
    <t>1.63,5.5,395,102</t>
  </si>
  <si>
    <t>haijingling</t>
  </si>
  <si>
    <t>2,1.1</t>
  </si>
  <si>
    <t>3,2,345,157</t>
  </si>
  <si>
    <t>aisha</t>
  </si>
  <si>
    <t>-4,0,387,42</t>
  </si>
  <si>
    <t>-4.9,-0.54,301,50</t>
  </si>
  <si>
    <t>caishen</t>
  </si>
  <si>
    <t>1,1.8</t>
  </si>
  <si>
    <t>57,26,199,279</t>
  </si>
  <si>
    <t>5.44,1.09,240,150</t>
  </si>
  <si>
    <t>longjing</t>
  </si>
  <si>
    <t>35,-8,327,125</t>
  </si>
  <si>
    <t>13.07,13.61,320,70</t>
  </si>
  <si>
    <t>2,3</t>
  </si>
  <si>
    <t>1,1.15</t>
  </si>
  <si>
    <t>5,8,157,169</t>
  </si>
  <si>
    <t>5.44,1.09,150,150</t>
  </si>
  <si>
    <t>leishenchui</t>
  </si>
  <si>
    <t>0,0.1,1</t>
  </si>
  <si>
    <t>32,-9,107,115</t>
  </si>
  <si>
    <t>2.57,1.68,90,30</t>
  </si>
  <si>
    <t>haidan</t>
  </si>
  <si>
    <t>0,41,95,87</t>
  </si>
  <si>
    <t>-0.97,-14.16,39,39</t>
  </si>
  <si>
    <t>jubaopen</t>
  </si>
  <si>
    <t>4,22,229,163</t>
  </si>
  <si>
    <t>0.54,10.89,129,115</t>
  </si>
  <si>
    <t>piaoliuping</t>
  </si>
  <si>
    <t>-8,-4,91,110</t>
  </si>
  <si>
    <t>-0.54,3.81,247,65</t>
  </si>
  <si>
    <t>200,0.1,1</t>
  </si>
  <si>
    <t>-6.3,2.18,38,49</t>
  </si>
  <si>
    <t>否</t>
  </si>
  <si>
    <t>longzhou</t>
  </si>
  <si>
    <t>986,65,169,245|820,54,167,171|572,58,333,161|292,34,232,154|33,54,287,199|-301,56,385,220|-636,5,288,142|-815,33,186,181|-965,-12,193,89</t>
  </si>
  <si>
    <t>-5.53,-15.67,372,122</t>
  </si>
  <si>
    <t>ic_fk</t>
  </si>
  <si>
    <t>0,3,82,107</t>
  </si>
  <si>
    <t>-3.98,-1.98,41,38</t>
  </si>
  <si>
    <t>-3.56,-1.77,126,120</t>
  </si>
  <si>
    <t>rangeMin</t>
  </si>
  <si>
    <t>弹头金币价值</t>
  </si>
  <si>
    <t>掉落弹头的范围最小值前闭后开
最大值为下一档的最小值
最高档的最大值为无穷大</t>
  </si>
  <si>
    <t>7.14奖品区间也需要重新调整</t>
  </si>
  <si>
    <t>最新备注</t>
  </si>
  <si>
    <t>暂时没做验算，初级赐福物品搭配一些没有实际金币价值的物品</t>
  </si>
  <si>
    <t>抽奖等获得的福卡按照500金币=1福卡</t>
  </si>
  <si>
    <t>fileLocation</t>
  </si>
  <si>
    <t>roomjump</t>
  </si>
  <si>
    <t>downLimit</t>
  </si>
  <si>
    <t>upLimit</t>
  </si>
  <si>
    <t>goldValue1First</t>
  </si>
  <si>
    <t>item1</t>
  </si>
  <si>
    <t>item_extra1</t>
  </si>
  <si>
    <t>goldValue_BFShare1</t>
  </si>
  <si>
    <t>goldValue1</t>
  </si>
  <si>
    <t>isImport1</t>
  </si>
  <si>
    <t>proShare1</t>
  </si>
  <si>
    <t>proDouble1</t>
  </si>
  <si>
    <t>id1</t>
  </si>
  <si>
    <t>led1</t>
  </si>
  <si>
    <t>item2</t>
  </si>
  <si>
    <t>item_extra2</t>
  </si>
  <si>
    <t>goldValue_BFShare2</t>
  </si>
  <si>
    <t>goldValue2</t>
  </si>
  <si>
    <t>isImport2</t>
  </si>
  <si>
    <t>proShare2</t>
  </si>
  <si>
    <t>proDouble2</t>
  </si>
  <si>
    <t>id2</t>
  </si>
  <si>
    <t>led2</t>
  </si>
  <si>
    <t>item3</t>
  </si>
  <si>
    <t>item_extra3</t>
  </si>
  <si>
    <t>goldValue_BFShare3</t>
  </si>
  <si>
    <t>goldValue3</t>
  </si>
  <si>
    <t>isImport3</t>
  </si>
  <si>
    <t>proShare3</t>
  </si>
  <si>
    <t>proDouble3</t>
  </si>
  <si>
    <t>id3</t>
  </si>
  <si>
    <t>led3</t>
  </si>
  <si>
    <t>item4</t>
  </si>
  <si>
    <t>item_extra4</t>
  </si>
  <si>
    <t>goldValue_BFShare4</t>
  </si>
  <si>
    <t>goldValue4</t>
  </si>
  <si>
    <t>isImport4</t>
  </si>
  <si>
    <t>proShare4</t>
  </si>
  <si>
    <t>proDouble4</t>
  </si>
  <si>
    <t>id4</t>
  </si>
  <si>
    <t>led4</t>
  </si>
  <si>
    <t>item5</t>
  </si>
  <si>
    <t>item_extra5</t>
  </si>
  <si>
    <t>goldValue_BFShare5</t>
  </si>
  <si>
    <t>goldValue5</t>
  </si>
  <si>
    <t>isImport5</t>
  </si>
  <si>
    <t>proShare5</t>
  </si>
  <si>
    <t>proDouble5</t>
  </si>
  <si>
    <t>id5</t>
  </si>
  <si>
    <t>led5</t>
  </si>
  <si>
    <t>item6</t>
  </si>
  <si>
    <t>item_extra6</t>
  </si>
  <si>
    <t>goldValue_BFShare6</t>
  </si>
  <si>
    <t>goldValue6</t>
  </si>
  <si>
    <t>isImport6</t>
  </si>
  <si>
    <t>proShare6</t>
  </si>
  <si>
    <t>proDouble6</t>
  </si>
  <si>
    <t>id6</t>
  </si>
  <si>
    <t>led6</t>
  </si>
  <si>
    <t>item7</t>
  </si>
  <si>
    <t>item_extra7</t>
  </si>
  <si>
    <t>goldValue_BFShare7</t>
  </si>
  <si>
    <t>goldValue7</t>
  </si>
  <si>
    <t>isImport7</t>
  </si>
  <si>
    <t>proShare7</t>
  </si>
  <si>
    <t>proDouble7</t>
  </si>
  <si>
    <t>id7</t>
  </si>
  <si>
    <t>led7</t>
  </si>
  <si>
    <t>item8</t>
  </si>
  <si>
    <t>item_extra8</t>
  </si>
  <si>
    <t>goldValue_BFShare8</t>
  </si>
  <si>
    <t>goldValue8</t>
  </si>
  <si>
    <t>isImport8</t>
  </si>
  <si>
    <t>proShare8</t>
  </si>
  <si>
    <t>proDouble8</t>
  </si>
  <si>
    <t>id8</t>
  </si>
  <si>
    <t>led8</t>
  </si>
  <si>
    <t>item9</t>
  </si>
  <si>
    <t>item_extra9</t>
  </si>
  <si>
    <t>goldValue_BFShare9</t>
  </si>
  <si>
    <t>goldValue9</t>
  </si>
  <si>
    <t>isImport9</t>
  </si>
  <si>
    <t>proShare9</t>
  </si>
  <si>
    <t>proDouble9</t>
  </si>
  <si>
    <t>id9</t>
  </si>
  <si>
    <t>led9</t>
  </si>
  <si>
    <t>item10</t>
  </si>
  <si>
    <t>item_extra10</t>
  </si>
  <si>
    <t>goldValue_BFShare10</t>
  </si>
  <si>
    <t>goldValue10</t>
  </si>
  <si>
    <t>isImport10</t>
  </si>
  <si>
    <t>proShare10</t>
  </si>
  <si>
    <t>proDouble10</t>
  </si>
  <si>
    <t>id10</t>
  </si>
  <si>
    <t>led10</t>
  </si>
  <si>
    <t>抽奖奖励</t>
  </si>
  <si>
    <t>额外奖励</t>
  </si>
  <si>
    <t>档位
1,普通抽奖；2白银抽奖；
3黄金抽奖；4铂金抽奖；
5钻石抽奖；6水晶抽奖；
7.玉石抽奖；8.至尊抽奖;</t>
  </si>
  <si>
    <t>解锁档位需要进入的房间，及跳转
1新手,2初级
3中级,4高级
5竞技场,6弹头场
（空为都有，不需要跳转房间）（多个房间时，优先跳低倍房间）（客户端和服务端相反描述，客户端在前，服务端在后，两个数组）</t>
  </si>
  <si>
    <t>抽奖档位名称(多语言格式)
格式：x1,y1，数组形式</t>
  </si>
  <si>
    <t xml:space="preserve">
对应抽奖券需求
抽奖档位下限
闭区间</t>
  </si>
  <si>
    <t xml:space="preserve">
抽奖档位上限
开区间</t>
  </si>
  <si>
    <t>在未抽奖获得
话费券时其
初始抽奖价值
-1表示用不到</t>
  </si>
  <si>
    <t>抽奖物品1类型|物品id1|数量
格式：x1|y1|z1,x2|y2|z2|，不填代表没有奖励
x：消耗类型：1货币，2道具
y：物品id，1钻石，2金币 ,其他的物品还没定义z：具体数量</t>
  </si>
  <si>
    <t>看广告额外奖励</t>
  </si>
  <si>
    <t>1
看广告能额外奖励
对应的金币价值</t>
  </si>
  <si>
    <t>1
对应的金币价值</t>
  </si>
  <si>
    <t>0不重要
1重要</t>
  </si>
  <si>
    <t xml:space="preserve">1物品触发看广告的概率
</t>
  </si>
  <si>
    <t>获得额外奖励的
概率</t>
  </si>
  <si>
    <t>标记物品的位置，左侧中间高档奖品为1号位，顺时针顺位</t>
  </si>
  <si>
    <t>是否进入led播放：
0不进入
1进入B类led
2进入B+类led
3进入内置led播放；
注意，格式为x，y
x为外置led，y为内置led</t>
  </si>
  <si>
    <t>2
看广告能额外奖励
对应的金币价值</t>
  </si>
  <si>
    <t xml:space="preserve">2物品触发看广告的概率
</t>
  </si>
  <si>
    <t>否进入led播放：
0不进入
1进入B类led
2进入B+类led
3进入内置led播放；
注意，格式为x，y
x为外置led，y为内置led</t>
  </si>
  <si>
    <t>3
看广告能额外奖励
对应的金币价值</t>
  </si>
  <si>
    <t>4
看广告能额外奖励
对应的金币价值</t>
  </si>
  <si>
    <t>5
看广告能额外奖励
对应的金币价值</t>
  </si>
  <si>
    <t>6
看广告能额外奖励
对应的金币价值</t>
  </si>
  <si>
    <t>抽奖物品7类型|物品id7|数量
格式：x1|y1|z1,x2|y2|z2|，不填代表没有奖励
x：消耗类型：1货币，2道具
y：物品id，1钻石，2金币 ,其他的物品还没定义z：具体数量</t>
  </si>
  <si>
    <t>7
看广告能额外奖励
对应的金币价值</t>
  </si>
  <si>
    <t>7
对应的金币价值</t>
  </si>
  <si>
    <t xml:space="preserve">物品触发看广告的概率
</t>
  </si>
  <si>
    <t>抽奖物品8类型|物品id8|数量
格式：x1|y1|z1,x2|y2|z2|，不填代表没有奖励
x：消耗类型：1货币，2道具
y：物品id，1钻石，2金币 ,其他的物品还没定义z：具体数量</t>
  </si>
  <si>
    <t>8
看广告能额外奖励
对应的金币价值</t>
  </si>
  <si>
    <t>8
对应的金币价值</t>
  </si>
  <si>
    <t>抽奖物品9类型|物品id9|数量
格式：x1|y1|z1,x2|y2|z2|，不填代表没有奖励
x：消耗类型：1货币，2道具
y：物品id，1钻石，2金币 ,其他的物品还没定义z：具体数量</t>
  </si>
  <si>
    <t>9
看广告能额外奖励
对应的金币价值</t>
  </si>
  <si>
    <t>9
对应的金币价值</t>
  </si>
  <si>
    <t>抽奖物品10类型|物品id10|数量
格式：x1|y1|z1,x2|y2|z2|，不填代表没有奖励
x：消耗类型：1货币，2道具
y：物品id，1钻石，2金币 ,其他的物品还没定义z：具体数量</t>
  </si>
  <si>
    <t>10
看广告能额外奖励
对应的金币价值</t>
  </si>
  <si>
    <t>10
对应的金币价值</t>
  </si>
  <si>
    <t>是否进入led播放：
0不进入
1进入B类led
2进入B+类led
3进入内置led播放</t>
  </si>
  <si>
    <t>物品名称
辅助用到</t>
  </si>
  <si>
    <t>抽奖
物品id</t>
  </si>
  <si>
    <t>看广告额外
奖励数量</t>
  </si>
  <si>
    <r>
      <rPr>
        <sz val="10"/>
        <color rgb="FFFF0000"/>
        <rFont val="微软雅黑"/>
        <family val="2"/>
        <charset val="134"/>
      </rPr>
      <t>本次看广告
能额外奖励时</t>
    </r>
    <r>
      <rPr>
        <sz val="10"/>
        <color theme="1"/>
        <rFont val="微软雅黑"/>
        <family val="2"/>
        <charset val="134"/>
      </rPr>
      <t xml:space="preserve">
金币价值</t>
    </r>
  </si>
  <si>
    <t>额外奖励
金币价值</t>
  </si>
  <si>
    <r>
      <rPr>
        <b/>
        <sz val="8"/>
        <color theme="1"/>
        <rFont val="微软雅黑"/>
        <family val="2"/>
        <charset val="134"/>
      </rPr>
      <t>标准金币价值</t>
    </r>
    <r>
      <rPr>
        <sz val="8"/>
        <color theme="1"/>
        <rFont val="微软雅黑"/>
        <family val="2"/>
        <charset val="134"/>
      </rPr>
      <t xml:space="preserve">
（本次看广告
不能额外奖励时
金币价值）</t>
    </r>
  </si>
  <si>
    <r>
      <rPr>
        <sz val="10"/>
        <color theme="1"/>
        <rFont val="微软雅黑"/>
        <family val="2"/>
        <charset val="134"/>
      </rPr>
      <t xml:space="preserve">是否重要
</t>
    </r>
    <r>
      <rPr>
        <sz val="10"/>
        <color rgb="FFFF0000"/>
        <rFont val="微软雅黑"/>
        <family val="2"/>
        <charset val="134"/>
      </rPr>
      <t>0不重要
1重要</t>
    </r>
  </si>
  <si>
    <t>获得额外
奖励的概率</t>
  </si>
  <si>
    <t>物品展示位置
左侧中间高档奖品为1号位，顺时针顺位</t>
  </si>
  <si>
    <t>人民币价值</t>
  </si>
  <si>
    <t>价值
钻石价值</t>
  </si>
  <si>
    <t>价值加成</t>
  </si>
  <si>
    <t>[[],[2,3,4,6]]</t>
  </si>
  <si>
    <t>choujiang_lv1</t>
  </si>
  <si>
    <t>人民币</t>
  </si>
  <si>
    <t>choujiang_lv2</t>
  </si>
  <si>
    <t>choujiang_lv3</t>
  </si>
  <si>
    <t>choujiang_lv4</t>
  </si>
  <si>
    <t>choujiang_lv5</t>
  </si>
  <si>
    <t>choujiang_lv6</t>
  </si>
  <si>
    <t>[[4,6],[4,6]]</t>
  </si>
  <si>
    <t>choujiang_lv7</t>
  </si>
  <si>
    <t>[[6],[6]]</t>
  </si>
  <si>
    <t>choujiang_lv8</t>
  </si>
  <si>
    <t>超级武器1</t>
  </si>
  <si>
    <t>5元话费卡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</si>
  <si>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</si>
  <si>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</si>
  <si>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</si>
  <si>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</si>
  <si>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</si>
  <si>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</si>
  <si>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</si>
  <si>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</si>
  <si>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双轮</t>
  </si>
  <si>
    <t>红包【财】</t>
  </si>
  <si>
    <t>橄榄油</t>
  </si>
  <si>
    <t>米面礼包</t>
  </si>
  <si>
    <t>买单券</t>
  </si>
  <si>
    <t>涂红暂时没用到，确认后在删除</t>
  </si>
  <si>
    <t>dropId</t>
  </si>
  <si>
    <t>dropType</t>
  </si>
  <si>
    <t>dropNumMin</t>
  </si>
  <si>
    <t>dropNumMax</t>
  </si>
  <si>
    <t>dropPro</t>
  </si>
  <si>
    <t>itemId1</t>
  </si>
  <si>
    <t>pro1</t>
  </si>
  <si>
    <t>itemId2</t>
  </si>
  <si>
    <t>pro2</t>
  </si>
  <si>
    <t>itemId3</t>
  </si>
  <si>
    <t>pro3</t>
  </si>
  <si>
    <t>itemId4</t>
  </si>
  <si>
    <t>pro4</t>
  </si>
  <si>
    <t>itemId5</t>
  </si>
  <si>
    <t>pro5</t>
  </si>
  <si>
    <t>掉落id
4xxx开头</t>
  </si>
  <si>
    <t>掉落类型
1互斥抽取，从N选固定个数掉
2独立抽取，从N个物品单独随机，可能掉0个也可能全掉
3抽取后不放回，但是掉落物品概率不变</t>
  </si>
  <si>
    <t>掉落的itemid组的个数最小值
独立掉落此列没意义</t>
  </si>
  <si>
    <t>掉落的itemid组的个数最大值
独立掉落的最大个数M，表示从0～M随机出一些物品</t>
  </si>
  <si>
    <t>掉落物品的概率
只针对掉落类型3
其他-1</t>
  </si>
  <si>
    <t>物品1类型|物品id1|数量
格式：x1|y1|z1,x2|y2|z2|
x：消耗类型；：1货币，2道具
y：物品id，1钻石，2金币 ，其他的物品还没定义
z：具体数量
不填代表没有奖励</t>
  </si>
  <si>
    <r>
      <rPr>
        <sz val="8"/>
        <color theme="1"/>
        <rFont val="微软雅黑"/>
        <family val="2"/>
        <charset val="134"/>
      </rPr>
      <t>掉落权重/概率
如果dropType是1类型是</t>
    </r>
    <r>
      <rPr>
        <sz val="8"/>
        <color rgb="FFFF0000"/>
        <rFont val="微软雅黑"/>
        <family val="2"/>
        <charset val="134"/>
      </rPr>
      <t>概率，划分每个物品的区间</t>
    </r>
    <r>
      <rPr>
        <sz val="8"/>
        <color theme="1"/>
        <rFont val="微软雅黑"/>
        <family val="2"/>
        <charset val="134"/>
      </rPr>
      <t xml:space="preserve">
如果dropType是2类型则对应真实的概率</t>
    </r>
  </si>
  <si>
    <r>
      <rPr>
        <sz val="11"/>
        <color theme="1"/>
        <rFont val="微软雅黑"/>
        <family val="2"/>
        <charset val="134"/>
      </rPr>
      <t xml:space="preserve">互斥概率验算
</t>
    </r>
    <r>
      <rPr>
        <sz val="9"/>
        <color theme="1"/>
        <rFont val="微软雅黑"/>
        <family val="2"/>
        <charset val="134"/>
      </rPr>
      <t>互斥的概率不能大于1，大于1的部分会截取掉</t>
    </r>
  </si>
  <si>
    <t>1|1|10</t>
  </si>
  <si>
    <t>悬赏任务新手房间</t>
  </si>
  <si>
    <t>必定物品+随机掉落固定组的物品，例如任务表dropGoup填写方式</t>
  </si>
  <si>
    <t>1|2|2000</t>
  </si>
  <si>
    <t>2|1001|2</t>
  </si>
  <si>
    <t>2|1002|2</t>
  </si>
  <si>
    <t>2|1004|2</t>
  </si>
  <si>
    <t>例如4101的填写形式就是必掉物品，概率100%</t>
  </si>
  <si>
    <t>1|2|10</t>
  </si>
  <si>
    <t>2|1001|1</t>
  </si>
  <si>
    <t>2|1002|1</t>
  </si>
  <si>
    <t>2|1004|1</t>
  </si>
  <si>
    <t>悬赏任务初级房间</t>
  </si>
  <si>
    <t>1|2|5000</t>
  </si>
  <si>
    <t>2|1001|4</t>
  </si>
  <si>
    <t>2|1003|1</t>
  </si>
  <si>
    <t>2|1004|4</t>
  </si>
  <si>
    <t>1|1|30</t>
  </si>
  <si>
    <t>悬赏任务中级房间</t>
  </si>
  <si>
    <t>1|2|10000</t>
  </si>
  <si>
    <t>2|1001|6</t>
  </si>
  <si>
    <t>2|1003|2</t>
  </si>
  <si>
    <t>2|1004|6</t>
  </si>
  <si>
    <t>1|2|150000</t>
  </si>
  <si>
    <t>悬赏任务高级房间</t>
  </si>
  <si>
    <t>2|1001|10</t>
  </si>
  <si>
    <t>2|1002|5</t>
  </si>
  <si>
    <t>2|1004|10</t>
  </si>
  <si>
    <t>2|1204|30000</t>
  </si>
  <si>
    <t>活跃度抽奖宝箱</t>
  </si>
  <si>
    <t>1|2|288888</t>
  </si>
  <si>
    <t>2|1001|5</t>
  </si>
  <si>
    <t>2|1004|5</t>
  </si>
  <si>
    <t>红包类型</t>
  </si>
  <si>
    <t>2|1205|1</t>
  </si>
  <si>
    <t>恭</t>
  </si>
  <si>
    <t>1|2|100000</t>
  </si>
  <si>
    <t>喜</t>
  </si>
  <si>
    <t>1|1|80</t>
  </si>
  <si>
    <t>发</t>
  </si>
  <si>
    <t>财</t>
  </si>
  <si>
    <t>2|1206|1</t>
  </si>
  <si>
    <t>1|2|120000</t>
  </si>
  <si>
    <t>1|1|100</t>
  </si>
  <si>
    <t>2|1002|3</t>
  </si>
  <si>
    <t>2|1003|3</t>
  </si>
  <si>
    <t>1|1|120</t>
  </si>
  <si>
    <t>2|1003|5</t>
  </si>
  <si>
    <t>1|2|368</t>
  </si>
  <si>
    <t>1|2|428</t>
  </si>
  <si>
    <t>1|2|518</t>
  </si>
  <si>
    <t>1|2|588</t>
  </si>
  <si>
    <t>1|2|2888</t>
  </si>
  <si>
    <t>拆红包奖励（多选1）</t>
  </si>
  <si>
    <t>1|2|688</t>
  </si>
  <si>
    <t>1|2|888</t>
  </si>
  <si>
    <t>1|2|1088</t>
  </si>
  <si>
    <t>1|2|1188</t>
  </si>
  <si>
    <t>1|2|6888</t>
  </si>
  <si>
    <t>1|2|1288</t>
  </si>
  <si>
    <t>1|2|1588</t>
  </si>
  <si>
    <t>1|2|1888</t>
  </si>
  <si>
    <t>1|2|2388</t>
  </si>
  <si>
    <t>1|2|12888</t>
  </si>
  <si>
    <t>1|2|2588</t>
  </si>
  <si>
    <t>1|2|3588</t>
  </si>
  <si>
    <t>1|2|3888</t>
  </si>
  <si>
    <t>1|2|18888</t>
  </si>
  <si>
    <t>鱼价值参考</t>
  </si>
  <si>
    <t>总概率参考</t>
  </si>
  <si>
    <t>2|1001|3</t>
  </si>
  <si>
    <t>2|1004|3</t>
  </si>
  <si>
    <t>2|1002|4</t>
  </si>
  <si>
    <t>2|1204|20</t>
  </si>
  <si>
    <t>2|1204|10</t>
  </si>
  <si>
    <t>存钱罐抽取掉落</t>
  </si>
  <si>
    <t>兑出按照1000福卡=15万金币，狂暴等道具按照金币价值来</t>
  </si>
  <si>
    <t>1000福卡=1元</t>
  </si>
  <si>
    <t>exchangeType</t>
  </si>
  <si>
    <t>qudaoID</t>
  </si>
  <si>
    <t>item</t>
  </si>
  <si>
    <t>shopType</t>
  </si>
  <si>
    <t>group</t>
  </si>
  <si>
    <t>needItem</t>
  </si>
  <si>
    <t>cost</t>
  </si>
  <si>
    <t>dailylimit</t>
  </si>
  <si>
    <t>limit</t>
  </si>
  <si>
    <t>precious</t>
  </si>
  <si>
    <t>每次有新类型的物品添加时，需要注意补充库存！！！！！</t>
  </si>
  <si>
    <t>key值</t>
  </si>
  <si>
    <t>提审配置(提审读2类型的奖励)
1,不屏蔽话费的奖励
2,屏蔽话费的奖励</t>
  </si>
  <si>
    <t>渠道编号：toutiao
官方渠道(默认打官方渠道)：default
闲徕:xianlai1,xianlai2,xianlai3,xianlai4
应用宝:yingyongbao</t>
  </si>
  <si>
    <t>要兑换的物品
物品1类型|物品id1|数量
格式：x1|y1|z1,x2|y2|z2|
x：消耗类型；：1货币，2道具
y：物品id，1钻石，2金币 ，
z：具体数量</t>
  </si>
  <si>
    <t>出现的商城
1,兑换商城
2.你游戏我买单兑换页面</t>
  </si>
  <si>
    <t xml:space="preserve">兑换物品所在组
组1，没有话费直冲卡的兑换物品组  、组2，有50、30元话费直冲卡的组
组3，提审状态下的兑换组
</t>
  </si>
  <si>
    <t>需要的物品id
可以是货币也可以是物品</t>
  </si>
  <si>
    <t>实物商品原价（无原价配置为0）</t>
  </si>
  <si>
    <t>玩家每日兑换次数限制</t>
  </si>
  <si>
    <t>兑换次数限制（个人）</t>
  </si>
  <si>
    <t>贵重商品标记
1.贵重商品
其余不做特殊处理</t>
  </si>
  <si>
    <t>微调后
福卡数量</t>
  </si>
  <si>
    <t>福卡验算数量</t>
  </si>
  <si>
    <t>兑换价值衰减</t>
  </si>
  <si>
    <t>toutiao,default,yingyongbao</t>
  </si>
  <si>
    <t>xianlai1,xianlai2,xianlai3,xianlai4,xianlai5,xianlai6,xianlai7,xianlai8,xianlai9,xianlai10,xianlai11,xianlai12,xianlai13xianlai13,xianlai14,xianlai15,xianlai16,xianlai17,xianlai18,xianlai19,xianlai20</t>
  </si>
  <si>
    <t>toutiao,default,yingyongbao,xianlai1,xianlai2,xianlai3,xianlai4,xianlai5,xianlai6,xianlai7,xianlai8,xianlai9,xianlai10,xianlai11,xianlai12,xianlai13xianlai13,xianlai14,xianlai15,xianlai16,xianlai17,xianlai18,xianlai19,xianlai20</t>
  </si>
  <si>
    <t>区分第一个30天和第二个30天</t>
  </si>
  <si>
    <t>times</t>
  </si>
  <si>
    <t>type</t>
  </si>
  <si>
    <t>itemId</t>
  </si>
  <si>
    <t>novice</t>
  </si>
  <si>
    <t>vip</t>
  </si>
  <si>
    <t>第n次</t>
  </si>
  <si>
    <t>所属周期
1表示第1个周期
2表示第2个周期
最后一个周期做循环</t>
  </si>
  <si>
    <r>
      <rPr>
        <sz val="8"/>
        <color theme="1"/>
        <rFont val="微软雅黑"/>
        <family val="2"/>
        <charset val="134"/>
      </rPr>
      <t xml:space="preserve">新手翻倍的范围值
在x倍，到y倍之间随机
不填表示不翻倍
</t>
    </r>
    <r>
      <rPr>
        <b/>
        <sz val="8"/>
        <color theme="0"/>
        <rFont val="微软雅黑"/>
        <family val="2"/>
        <charset val="134"/>
      </rPr>
      <t>1~9</t>
    </r>
  </si>
  <si>
    <t xml:space="preserve">不同VIP等级在每天翻的倍数
数组格式：[x,y]中，x表示VIP等级，y表示翻的倍数
</t>
  </si>
  <si>
    <t>贵重物品标识
旧版</t>
  </si>
  <si>
    <t>翻倍平均值</t>
  </si>
  <si>
    <t>新手翻倍
期望值</t>
  </si>
  <si>
    <t>[[2,2],[5,3],[7,4],[10,5]]</t>
  </si>
  <si>
    <t>金币总量</t>
  </si>
  <si>
    <t>4,8</t>
  </si>
  <si>
    <t>钻石总量</t>
  </si>
  <si>
    <t>3,7</t>
  </si>
  <si>
    <t>锁定总量</t>
  </si>
  <si>
    <t>3,6</t>
  </si>
  <si>
    <t>狂暴总量</t>
  </si>
  <si>
    <t>2,6</t>
  </si>
  <si>
    <t>服务器开关</t>
  </si>
  <si>
    <t>nameLanguage</t>
  </si>
  <si>
    <t>nameChinese</t>
  </si>
  <si>
    <t>coinValue</t>
  </si>
  <si>
    <t>desLanguage</t>
  </si>
  <si>
    <t>functionType</t>
  </si>
  <si>
    <t>channel</t>
  </si>
  <si>
    <t>channelid</t>
  </si>
  <si>
    <t>parameterType</t>
  </si>
  <si>
    <t>displayButtons</t>
  </si>
  <si>
    <t>unlockGiveNum</t>
  </si>
  <si>
    <t>canGiveNumLimit</t>
  </si>
  <si>
    <t>giveMinVip</t>
  </si>
  <si>
    <t>defaultGiveNum</t>
  </si>
  <si>
    <t>giveLimit</t>
  </si>
  <si>
    <t>receiveLimit</t>
  </si>
  <si>
    <t>buyPrice</t>
  </si>
  <si>
    <t>defaultBuyNum</t>
  </si>
  <si>
    <t>sellPrice</t>
  </si>
  <si>
    <t>defaultSellNum</t>
  </si>
  <si>
    <t>notOwned</t>
  </si>
  <si>
    <t>道具id
1xxx开头</t>
  </si>
  <si>
    <t>道具图片
资源名称</t>
  </si>
  <si>
    <t xml:space="preserve">道具名称(多语言格式)
</t>
  </si>
  <si>
    <t>中文描述
（后台统计专用）</t>
  </si>
  <si>
    <t>物品对应的金币价值
（后台统计专用）</t>
  </si>
  <si>
    <t>道具描述(多语言格式)</t>
  </si>
  <si>
    <t>道具效果
1.锁定;2.冰冻;3.狂暴;4.召唤
5.自动开火+限时;6.礼包；7贵族卡，8话费卡，9实物
10轰炸机,11红包.12活动道具（限时）</t>
  </si>
  <si>
    <t xml:space="preserve">实物所属渠道
1,大麦城
</t>
  </si>
  <si>
    <t>物品在渠道商城所属id</t>
  </si>
  <si>
    <t>参数类型，
针对道具效果7，1周卡，2月卡，3三年卡;
针对8,话费卡人民币面额/元;
针对10,爆炸半径R,像素
11互动红包基础金币值
针对道具效果4，0表示普通召唤，1表示主宰召唤</t>
  </si>
  <si>
    <t>显示的功能按钮
1赠送;2购买
3使用;4续费
5转换成话费券;6跳转（用使用）
7出售,8合成</t>
  </si>
  <si>
    <t>赠送解锁需要的个数限制，
-1表示不需要限制</t>
  </si>
  <si>
    <t xml:space="preserve">可以赠送的最小数量
</t>
  </si>
  <si>
    <t>赠送需要的vip最低等级</t>
  </si>
  <si>
    <t>赠送默认值
-1表示无默认值</t>
  </si>
  <si>
    <t>该物品每日赠送上限
-1表示无限制</t>
  </si>
  <si>
    <t>该物品每日接收上限
-1表示无限制</t>
  </si>
  <si>
    <t>购买道具消耗钻石</t>
  </si>
  <si>
    <t>购买默认值
-1表示无默认值</t>
  </si>
  <si>
    <t>出售道具获得奖励内容
格式：x1|y1|z1,x2|y2|z2|
x：消耗类型；：1货币，2道具
y：物品id，1钻石，2金币 ，z：具体数量</t>
  </si>
  <si>
    <t>出售默认值
-1表示无默认值</t>
  </si>
  <si>
    <r>
      <rPr>
        <b/>
        <sz val="8"/>
        <color theme="1"/>
        <rFont val="微软雅黑"/>
        <family val="2"/>
        <charset val="134"/>
      </rPr>
      <t>未拥有</t>
    </r>
    <r>
      <rPr>
        <sz val="8"/>
        <color theme="1"/>
        <rFont val="微软雅黑"/>
        <family val="2"/>
        <charset val="134"/>
      </rPr>
      <t>是否展示
0不展示
1展示</t>
    </r>
  </si>
  <si>
    <t>道具存储上限
-1表示不设上限</t>
  </si>
  <si>
    <t>背包中实物展示的数量描述可能是：x元，京东卡*1，这个配成多语言格式，（后续根据具体实物奖励配置描述）</t>
  </si>
  <si>
    <t>ic_zs_01</t>
  </si>
  <si>
    <t>zuanshi</t>
  </si>
  <si>
    <t>ic_jb_01</t>
  </si>
  <si>
    <t>jinbi</t>
  </si>
  <si>
    <t>ic_cj_01</t>
  </si>
  <si>
    <t>jifen</t>
  </si>
  <si>
    <t>抽奖券</t>
  </si>
  <si>
    <t>icon_vip_exp_01</t>
  </si>
  <si>
    <t>vipexp</t>
  </si>
  <si>
    <t>VIP经验</t>
  </si>
  <si>
    <t>icon_jifen_01</t>
  </si>
  <si>
    <t>竞技场积分</t>
  </si>
  <si>
    <t>icon_huoyuedu_01</t>
  </si>
  <si>
    <t>huoyuedu</t>
  </si>
  <si>
    <t>小游戏卡牌</t>
  </si>
  <si>
    <t>zidongfire_des</t>
  </si>
  <si>
    <t>ic_jn_01</t>
  </si>
  <si>
    <t>suoding_des</t>
  </si>
  <si>
    <t>ic_jn_02</t>
  </si>
  <si>
    <t>bingdong</t>
  </si>
  <si>
    <t>bingdong_des</t>
  </si>
  <si>
    <t>ic_jn_03</t>
  </si>
  <si>
    <t>kuangbao</t>
  </si>
  <si>
    <t>kuangbao_des</t>
  </si>
  <si>
    <t>ic_jn_04</t>
  </si>
  <si>
    <t>zhaohuan</t>
  </si>
  <si>
    <t>zhaohuan_des</t>
  </si>
  <si>
    <t>ic_jn_05</t>
  </si>
  <si>
    <t>zhuzaizhaohuan</t>
  </si>
  <si>
    <t>主宰召唤</t>
  </si>
  <si>
    <t>zhaohuan_des_jingjichang</t>
  </si>
  <si>
    <t>ic_hd_01</t>
  </si>
  <si>
    <t>chaojiwuqi1</t>
  </si>
  <si>
    <t>Ⅰ级核弹</t>
  </si>
  <si>
    <t>chaojiwuqi1_des</t>
  </si>
  <si>
    <t>7,1</t>
  </si>
  <si>
    <t>ic_hd_02</t>
  </si>
  <si>
    <t>chaojiwuqi2</t>
  </si>
  <si>
    <t>Ⅱ级核弹</t>
  </si>
  <si>
    <t>chaojiwuqi2_des</t>
  </si>
  <si>
    <t>ic_hd_03</t>
  </si>
  <si>
    <t>chaojiwuqi3</t>
  </si>
  <si>
    <t>Ⅲ级核弹</t>
  </si>
  <si>
    <t>chaojiwuqi3_des</t>
  </si>
  <si>
    <t>ic_hd_04</t>
  </si>
  <si>
    <t>chaojiwuqi4</t>
  </si>
  <si>
    <t>Ⅳ级核弹</t>
  </si>
  <si>
    <t>chaojiwuqi4_des</t>
  </si>
  <si>
    <t>zidongfire</t>
  </si>
  <si>
    <t>自动开炮</t>
  </si>
  <si>
    <t>icon_guizuka_yueka_01</t>
  </si>
  <si>
    <t>yueka</t>
  </si>
  <si>
    <t>会员卡</t>
  </si>
  <si>
    <t>yueka_des</t>
  </si>
  <si>
    <t>ic_fk_01</t>
  </si>
  <si>
    <t>huafeiquan</t>
  </si>
  <si>
    <t>huafeiquan_des</t>
  </si>
  <si>
    <t>ic_cj_02</t>
  </si>
  <si>
    <t>maidanquan</t>
  </si>
  <si>
    <t>maidanquan_des</t>
  </si>
  <si>
    <t>6,7</t>
  </si>
  <si>
    <t>1|2|400000</t>
  </si>
  <si>
    <t>icon_1yuanzhichongka_01</t>
  </si>
  <si>
    <t>zhichongka1</t>
  </si>
  <si>
    <t>1元话费直充卡</t>
  </si>
  <si>
    <t>zhichongka_des</t>
  </si>
  <si>
    <t>ic_hf_01</t>
  </si>
  <si>
    <t>zhichongka2</t>
  </si>
  <si>
    <t>2元话费直充卡</t>
  </si>
  <si>
    <t>1|2|800000</t>
  </si>
  <si>
    <t>ic_hf_02</t>
  </si>
  <si>
    <t>zhichongka5</t>
  </si>
  <si>
    <t>5元话费直充卡</t>
  </si>
  <si>
    <t>ic_hf_03</t>
  </si>
  <si>
    <t>zhichongka10</t>
  </si>
  <si>
    <t>10元话费直充卡</t>
  </si>
  <si>
    <t>1|2|4000000</t>
  </si>
  <si>
    <t>ic_hf_04</t>
  </si>
  <si>
    <t>zhichongka30</t>
  </si>
  <si>
    <t>1|2|12000000</t>
  </si>
  <si>
    <t>ic_hf_05</t>
  </si>
  <si>
    <t>zhichongka50</t>
  </si>
  <si>
    <t>icon_jinchuizi_01</t>
  </si>
  <si>
    <t>hammer_gold</t>
  </si>
  <si>
    <t>金锤子</t>
  </si>
  <si>
    <t>hammer_gold_des</t>
  </si>
  <si>
    <t>icon_yinchuizi_01</t>
  </si>
  <si>
    <t>hammer_silver</t>
  </si>
  <si>
    <t>银锤子</t>
  </si>
  <si>
    <t>hammer_silver_des</t>
  </si>
  <si>
    <t>ic_shandian2</t>
  </si>
  <si>
    <t>shandian</t>
  </si>
  <si>
    <t>闪电</t>
  </si>
  <si>
    <t>shangdian_des</t>
  </si>
  <si>
    <r>
      <rPr>
        <sz val="8"/>
        <color theme="1"/>
        <rFont val="微软雅黑"/>
        <family val="2"/>
        <charset val="134"/>
      </rPr>
      <t xml:space="preserve">道具图片
资源名称
</t>
    </r>
    <r>
      <rPr>
        <sz val="11"/>
        <color rgb="FFFF0000"/>
        <rFont val="微软雅黑"/>
        <family val="2"/>
        <charset val="134"/>
      </rPr>
      <t>此表客户端用来处理屏蔽后资源替换的现实效果</t>
    </r>
  </si>
  <si>
    <t>道具效果
1.锁定;2.冰冻;3.狂暴;4.召唤
5.自动开火+限时;6.礼包；7贵族卡，8话费卡，9实物
10轰炸机</t>
  </si>
  <si>
    <t>参数类型，
针对道具效果7，1周卡，2月卡，3三年卡;
针对8,话费卡人民币面额/元;
针对10,爆炸半径R,像素</t>
  </si>
  <si>
    <t>显示的功能按钮
1赠送;2购买
3使用;4续费
5转换成话费券;6跳转（用使用）
7出售</t>
  </si>
  <si>
    <t>赠送解锁需要的个数限制
-1表示不需要限制</t>
  </si>
  <si>
    <t>icon_duihuan_01</t>
  </si>
  <si>
    <t>huafeiquan-f</t>
  </si>
  <si>
    <t>huafeiquan_des-f</t>
  </si>
  <si>
    <t>rankingMin</t>
  </si>
  <si>
    <t>rankingMax</t>
  </si>
  <si>
    <t>rewardType</t>
  </si>
  <si>
    <t>led</t>
  </si>
  <si>
    <t>房间最小排名
0表示房间击杀
-1表示额外奖励</t>
  </si>
  <si>
    <r>
      <rPr>
        <sz val="9"/>
        <color theme="1"/>
        <rFont val="微软雅黑"/>
        <family val="2"/>
        <charset val="134"/>
      </rPr>
      <t xml:space="preserve">房间最大排名
</t>
    </r>
    <r>
      <rPr>
        <sz val="9"/>
        <color rgb="FFFF0000"/>
        <rFont val="微软雅黑"/>
        <family val="2"/>
        <charset val="134"/>
      </rPr>
      <t>-1表示额外奖励</t>
    </r>
  </si>
  <si>
    <t>1,不屏蔽话费卡
2,屏蔽话费卡</t>
  </si>
  <si>
    <t>基础奖励内容
物品1类型|物品id1|数量
格式：x1|y1|z1,x2|y2|z2|
x：物品类型；：1货币，2道具
y：物品id，1钻石，2金币 ，3月亮石,4vip经验
z：具体数量</t>
  </si>
  <si>
    <t xml:space="preserve">是否进入led播放：
0不进入
1进入B类led
2进入B+类led
</t>
  </si>
  <si>
    <t>多语言key值
比赛方式说明</t>
  </si>
  <si>
    <t>伤害超过2000有参与奖</t>
  </si>
  <si>
    <t>2|1006|1</t>
  </si>
  <si>
    <t>2|1204|2000</t>
  </si>
  <si>
    <t>Billfangshi30</t>
  </si>
  <si>
    <t>填写在第1档奖励对应的行</t>
  </si>
  <si>
    <t>1|2|200000</t>
  </si>
  <si>
    <t>1|2|50000</t>
  </si>
  <si>
    <t>1|2|20000</t>
  </si>
  <si>
    <t>2|1007|1</t>
  </si>
  <si>
    <t>2|1204|5000</t>
  </si>
  <si>
    <t>Billfangshi300</t>
  </si>
  <si>
    <t>1|2|40000</t>
  </si>
  <si>
    <t>4,6</t>
  </si>
  <si>
    <t>2|1204|10000</t>
  </si>
  <si>
    <t>1|2|700000</t>
  </si>
  <si>
    <t>捕获boss后翻N倍奖励的玩法</t>
  </si>
  <si>
    <t>基础值</t>
  </si>
  <si>
    <t>gold</t>
  </si>
  <si>
    <t>pro</t>
  </si>
  <si>
    <t>期望值</t>
  </si>
  <si>
    <t>档位</t>
  </si>
  <si>
    <t>捕获获得金币</t>
  </si>
  <si>
    <t>该档位对应的概率</t>
  </si>
  <si>
    <t>倍率</t>
  </si>
  <si>
    <t>权重</t>
  </si>
  <si>
    <t>验算表</t>
  </si>
  <si>
    <t>grade</t>
  </si>
  <si>
    <t>prize</t>
  </si>
  <si>
    <t>物品1</t>
  </si>
  <si>
    <t>物品2</t>
  </si>
  <si>
    <t>物品3</t>
  </si>
  <si>
    <t>档位编号</t>
  </si>
  <si>
    <t>充值档位</t>
  </si>
  <si>
    <t>充值档位完成后可领取的奖励</t>
  </si>
  <si>
    <t>1话费对应的金币价值鱼玩家持有话费券关系</t>
  </si>
  <si>
    <t>billRange</t>
  </si>
  <si>
    <r>
      <rPr>
        <sz val="8"/>
        <color theme="1"/>
        <rFont val="微软雅黑"/>
        <family val="2"/>
        <charset val="134"/>
      </rPr>
      <t>玩家持有话费券数量</t>
    </r>
    <r>
      <rPr>
        <sz val="8"/>
        <color rgb="FFFF0000"/>
        <rFont val="微软雅黑"/>
        <family val="2"/>
        <charset val="134"/>
      </rPr>
      <t>(兑换商城显示数量)</t>
    </r>
    <r>
      <rPr>
        <sz val="8"/>
        <color theme="1"/>
        <rFont val="微软雅黑"/>
        <family val="2"/>
        <charset val="134"/>
      </rPr>
      <t xml:space="preserve">
玩家拥有数量&gt;=该值</t>
    </r>
  </si>
  <si>
    <t>金币价值
-1表示无穷的</t>
  </si>
  <si>
    <t>炮倍率</t>
  </si>
  <si>
    <t>话费券金币价值</t>
  </si>
  <si>
    <t>话费鱼金额</t>
  </si>
  <si>
    <t>话费鱼score</t>
  </si>
  <si>
    <t>话费鱼V</t>
  </si>
  <si>
    <t>潜艇分值</t>
  </si>
  <si>
    <t>1个人捕获需要时间/ms</t>
  </si>
  <si>
    <t>enterTime</t>
  </si>
  <si>
    <t>exitTime</t>
  </si>
  <si>
    <t>fireTimes</t>
  </si>
  <si>
    <t>timeInterval</t>
  </si>
  <si>
    <t>everyTimeNum</t>
  </si>
  <si>
    <t>escortNum</t>
  </si>
  <si>
    <t>trackGroup</t>
  </si>
  <si>
    <t>打罩子积分</t>
  </si>
  <si>
    <t>龙舟id</t>
  </si>
  <si>
    <t>出现房间id
1新手,2初级
3中级,4高级
5竞技场,
6核弹专场</t>
  </si>
  <si>
    <t>话费赛开始后多久入场/秒
入场时间</t>
  </si>
  <si>
    <t>清除时间/秒</t>
  </si>
  <si>
    <t>破罩子需要开炮次数
(废弃）</t>
  </si>
  <si>
    <r>
      <rPr>
        <sz val="8"/>
        <color rgb="FFFF0000"/>
        <rFont val="微软雅黑"/>
        <family val="2"/>
        <charset val="134"/>
      </rPr>
      <t xml:space="preserve">占领期间奖励频率/毫秒
</t>
    </r>
    <r>
      <rPr>
        <b/>
        <sz val="8"/>
        <color rgb="FFFF0000"/>
        <rFont val="微软雅黑"/>
        <family val="2"/>
        <charset val="134"/>
      </rPr>
      <t>废弃</t>
    </r>
  </si>
  <si>
    <t>占领期间单次奖励积分数量
废弃</t>
  </si>
  <si>
    <r>
      <rPr>
        <sz val="8"/>
        <color rgb="FFFF0000"/>
        <rFont val="微软雅黑"/>
        <family val="2"/>
        <charset val="134"/>
      </rPr>
      <t xml:space="preserve">护航奖励
话费赛积分
</t>
    </r>
    <r>
      <rPr>
        <b/>
        <sz val="8"/>
        <color rgb="FFFF0000"/>
        <rFont val="微软雅黑"/>
        <family val="2"/>
        <charset val="134"/>
      </rPr>
      <t>废弃</t>
    </r>
  </si>
  <si>
    <t>从N个track中随机一个
701,702</t>
  </si>
  <si>
    <t>捕获所用时间内，占领获得积分</t>
  </si>
  <si>
    <t>701</t>
  </si>
  <si>
    <t>护航积分</t>
  </si>
  <si>
    <t>702</t>
  </si>
  <si>
    <t>rewardiosTiShen</t>
  </si>
  <si>
    <t>奖励领取按照玩家退出渔场后算起</t>
  </si>
  <si>
    <t>key
分享七次</t>
  </si>
  <si>
    <t>奖励内容
物品1类型|物品id1|数量
格式：x1|y1|z1,x2|y2|z2|
x：物品类型；：1货币，2道具
y：物品id，1钻石，2金币 ，3月亮石,4vip经验
z：具体数量</t>
  </si>
  <si>
    <r>
      <rPr>
        <sz val="10"/>
        <color theme="1"/>
        <rFont val="微软雅黑"/>
        <family val="2"/>
        <charset val="134"/>
      </rPr>
      <t>人民币价值</t>
    </r>
    <r>
      <rPr>
        <sz val="10"/>
        <color rgb="FFFF0000"/>
        <rFont val="微软雅黑"/>
        <family val="2"/>
        <charset val="134"/>
      </rPr>
      <t>(仅供参考)</t>
    </r>
  </si>
  <si>
    <t>潜艇持续时间/毫秒</t>
  </si>
  <si>
    <t>潜艇等级</t>
  </si>
  <si>
    <t>捕获捕获的金币</t>
  </si>
  <si>
    <t>占领当前等级潜艇得到积分</t>
  </si>
  <si>
    <t>占领期间奖励频率/毫秒</t>
  </si>
  <si>
    <t>占领期间单次奖励积分数量</t>
  </si>
  <si>
    <t>护航奖励
话费赛积分</t>
  </si>
  <si>
    <t>升至当期级需要时间</t>
  </si>
  <si>
    <t>当前级停留时间</t>
  </si>
  <si>
    <t>占领增加积分</t>
  </si>
  <si>
    <t>occupyScore</t>
  </si>
  <si>
    <t>单人</t>
  </si>
  <si>
    <t>占领期间总积分</t>
  </si>
  <si>
    <t>n次占领积分</t>
  </si>
  <si>
    <t>总积分</t>
  </si>
  <si>
    <t>4人</t>
  </si>
  <si>
    <t>N-1次占领积分</t>
  </si>
  <si>
    <t>前N-1次占领和最后一次占领之和</t>
  </si>
  <si>
    <t>10000</t>
    <phoneticPr fontId="57" type="noConversion"/>
  </si>
  <si>
    <r>
      <t>幸运金币基础金币</t>
    </r>
    <r>
      <rPr>
        <sz val="11"/>
        <color rgb="FFFF0000"/>
        <rFont val="微软雅黑"/>
        <family val="2"/>
        <charset val="134"/>
      </rPr>
      <t>（钻石抽时对应的值）</t>
    </r>
    <phoneticPr fontId="57" type="noConversion"/>
  </si>
  <si>
    <r>
      <t>幸运金币超级翻倍钻石价格</t>
    </r>
    <r>
      <rPr>
        <sz val="11"/>
        <color rgb="FFFF0000"/>
        <rFont val="微软雅黑"/>
        <family val="2"/>
        <charset val="134"/>
      </rPr>
      <t>（钻石抽时对应的值）</t>
    </r>
    <phoneticPr fontId="57" type="noConversion"/>
  </si>
  <si>
    <r>
      <t>幸运金币超级翻倍钻石价格</t>
    </r>
    <r>
      <rPr>
        <sz val="11"/>
        <color rgb="FFFF0000"/>
        <rFont val="微软雅黑"/>
        <family val="2"/>
        <charset val="134"/>
      </rPr>
      <t>（钻石抽时对应的值）</t>
    </r>
    <phoneticPr fontId="57" type="noConversion"/>
  </si>
  <si>
    <r>
      <t>幸运金币基础金币</t>
    </r>
    <r>
      <rPr>
        <sz val="11"/>
        <color rgb="FFFF0000"/>
        <rFont val="微软雅黑"/>
        <family val="2"/>
        <charset val="134"/>
      </rPr>
      <t>（福卡抽奖时对应的值）</t>
    </r>
    <phoneticPr fontId="57" type="noConversion"/>
  </si>
  <si>
    <t>20星钻=40万金币</t>
    <phoneticPr fontId="57" type="noConversion"/>
  </si>
  <si>
    <r>
      <t>幸运金币超级翻倍</t>
    </r>
    <r>
      <rPr>
        <b/>
        <sz val="11"/>
        <color rgb="FFFF0000"/>
        <rFont val="微软雅黑"/>
        <family val="2"/>
        <charset val="134"/>
      </rPr>
      <t>福卡</t>
    </r>
    <r>
      <rPr>
        <sz val="11"/>
        <color theme="1"/>
        <rFont val="微软雅黑"/>
        <family val="2"/>
        <charset val="134"/>
      </rPr>
      <t>价格</t>
    </r>
    <r>
      <rPr>
        <sz val="11"/>
        <color rgb="FFFF0000"/>
        <rFont val="微软雅黑"/>
        <family val="2"/>
        <charset val="134"/>
      </rPr>
      <t>（福卡抽奖时对应的值）</t>
    </r>
    <phoneticPr fontId="57" type="noConversion"/>
  </si>
  <si>
    <t>9550</t>
    <phoneticPr fontId="57" type="noConversion"/>
  </si>
  <si>
    <t>2|1001|2,2|1002|2,1|2|5000</t>
    <phoneticPr fontId="57" type="noConversion"/>
  </si>
  <si>
    <t>0,3,8</t>
    <phoneticPr fontId="57" type="noConversion"/>
  </si>
  <si>
    <t>99,0,4,5,12</t>
    <phoneticPr fontId="57" type="noConversion"/>
  </si>
  <si>
    <t>99,0,4,8</t>
    <phoneticPr fontId="57" type="noConversion"/>
  </si>
  <si>
    <t>99,0,4</t>
    <phoneticPr fontId="57" type="noConversion"/>
  </si>
  <si>
    <t>99,0,4,5,12,8</t>
    <phoneticPr fontId="57" type="noConversion"/>
  </si>
  <si>
    <r>
      <t>99,0,4</t>
    </r>
    <r>
      <rPr>
        <sz val="11"/>
        <color rgb="FFFF0000"/>
        <rFont val="微软雅黑"/>
        <family val="2"/>
        <charset val="134"/>
      </rPr>
      <t>,9,8</t>
    </r>
    <phoneticPr fontId="57" type="noConversion"/>
  </si>
  <si>
    <t>99,0,2,4,5,9,7,12</t>
    <phoneticPr fontId="57" type="noConversion"/>
  </si>
  <si>
    <t>99,0,2,9,7,8</t>
    <phoneticPr fontId="57" type="noConversion"/>
  </si>
  <si>
    <t>99,0,2,4,9,7,8</t>
    <phoneticPr fontId="57" type="noConversion"/>
  </si>
  <si>
    <t>99,0,4,12,9,7,8</t>
    <phoneticPr fontId="57" type="noConversion"/>
  </si>
  <si>
    <t>4,3</t>
    <phoneticPr fontId="57" type="noConversion"/>
  </si>
  <si>
    <t>7,5</t>
    <phoneticPr fontId="57" type="noConversion"/>
  </si>
  <si>
    <t>7,6</t>
    <phoneticPr fontId="57" type="noConversion"/>
  </si>
  <si>
    <t>[[ic_dcj_4,tx_ld_as_01,ui_dcj_k_3],[ic_dcj_3,tx_ld_xyxkp_01,ui_dcj_k_3]]</t>
  </si>
  <si>
    <t>[[ic_dcj_5,tx_ld_cs_01,ui_dcj_k_3],[ic_dcj_7,tx_ld_jc_01,ui_dcj_k_1]]</t>
  </si>
  <si>
    <t>[[ic_dcj_6,tx_ld_xlj_01,ui_dcj_k_3],[ic_dcj_7,tx_ld_jc_01,ui_dcj_k_1]]</t>
  </si>
  <si>
    <t>[[ic_dcj_13,tx_ld_hjyhzz_01,ui_dcj_k_1],[ic_dcj_12,tx_ld_pb_01,ui_dcj_k_3],[ic_dcj_7,tx_ld_jc_01,ui_dcj_k_1]]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</si>
</sst>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0.00_);[Red]\(0.00\)"/>
    <numFmt numFmtId="177" formatCode="0.0_);[Red]\(0.0\)"/>
    <numFmt numFmtId="178" formatCode="0_);[Red]\(0\)"/>
    <numFmt numFmtId="179" formatCode="0.00000"/>
    <numFmt numFmtId="180" formatCode="0.0000_);[Red]\(0.0000\)"/>
    <numFmt numFmtId="181" formatCode="0.00000%"/>
    <numFmt numFmtId="182" formatCode="0.000%"/>
    <numFmt numFmtId="183" formatCode="0.0"/>
    <numFmt numFmtId="184" formatCode="0.0%"/>
    <numFmt numFmtId="185" formatCode="0.000000000"/>
    <numFmt numFmtId="186" formatCode="0.0_ "/>
    <numFmt numFmtId="187" formatCode="0.000000000_ "/>
    <numFmt numFmtId="188" formatCode="0.0000%"/>
    <numFmt numFmtId="189" formatCode="0.000_);[Red]\(0.000\)"/>
    <numFmt numFmtId="190" formatCode="0.000"/>
  </numFmts>
  <fonts count="6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7030A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0"/>
      <color rgb="FF7030A0"/>
      <name val="微软雅黑"/>
      <family val="2"/>
      <charset val="134"/>
    </font>
    <font>
      <sz val="8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b/>
      <i/>
      <sz val="10.5"/>
      <color rgb="FF00000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1"/>
      <color rgb="FF00B0F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0.5"/>
      <color theme="1"/>
      <name val="微软雅黑"/>
      <family val="2"/>
      <charset val="134"/>
    </font>
    <font>
      <sz val="10.5"/>
      <color rgb="FF333333"/>
      <name val="微软雅黑"/>
      <family val="2"/>
      <charset val="134"/>
    </font>
    <font>
      <sz val="10.5"/>
      <color theme="1"/>
      <name val="Calibri"/>
      <family val="2"/>
    </font>
    <font>
      <sz val="10.5"/>
      <color theme="1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8"/>
      <color theme="0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b/>
      <sz val="10"/>
      <color rgb="FF00B0F0"/>
      <name val="微软雅黑"/>
      <family val="2"/>
      <charset val="134"/>
    </font>
    <font>
      <b/>
      <sz val="10"/>
      <color rgb="FF00B0F0"/>
      <name val="宋体"/>
      <family val="3"/>
      <charset val="134"/>
      <scheme val="minor"/>
    </font>
    <font>
      <b/>
      <vertAlign val="superscript"/>
      <sz val="11"/>
      <color theme="1"/>
      <name val="微软雅黑"/>
      <family val="2"/>
      <charset val="134"/>
    </font>
    <font>
      <b/>
      <sz val="10.5"/>
      <color theme="1"/>
      <name val="Calibri"/>
      <family val="2"/>
    </font>
    <font>
      <sz val="6"/>
      <color theme="1"/>
      <name val="微软雅黑"/>
      <family val="2"/>
      <charset val="134"/>
    </font>
    <font>
      <b/>
      <i/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6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rgb="FF7030A0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44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841914120914335"/>
        <bgColor indexed="64"/>
      </patternFill>
    </fill>
    <fill>
      <patternFill patternType="solid">
        <fgColor theme="3" tint="0.3984191412091433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8907437360759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E715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84191412091433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0" tint="-0.14893032624286631"/>
        <bgColor indexed="64"/>
      </patternFill>
    </fill>
    <fill>
      <patternFill patternType="solid">
        <fgColor theme="9" tint="0.3989989928891872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872432630390331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39869380779442731"/>
        <bgColor indexed="64"/>
      </patternFill>
    </fill>
    <fill>
      <patternFill patternType="solid">
        <fgColor theme="0" tint="-0.14874721518601031"/>
        <bgColor indexed="64"/>
      </patternFill>
    </fill>
    <fill>
      <patternFill patternType="solid">
        <fgColor theme="9" tint="0.39841914120914335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854121524704733"/>
        <bgColor indexed="64"/>
      </patternFill>
    </fill>
    <fill>
      <patternFill patternType="solid">
        <fgColor theme="0" tint="-0.148686178167058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890743736075929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</borders>
  <cellStyleXfs count="2">
    <xf numFmtId="0" fontId="0" fillId="0" borderId="0"/>
    <xf numFmtId="9" fontId="40" fillId="0" borderId="0" applyFont="0" applyFill="0" applyBorder="0" applyAlignment="0" applyProtection="0">
      <alignment vertical="center"/>
    </xf>
  </cellStyleXfs>
  <cellXfs count="677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" fontId="1" fillId="0" borderId="11" xfId="0" applyNumberFormat="1" applyFont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 wrapText="1"/>
    </xf>
    <xf numFmtId="0" fontId="6" fillId="0" borderId="0" xfId="0" applyFont="1"/>
    <xf numFmtId="10" fontId="1" fillId="0" borderId="0" xfId="1" applyNumberFormat="1" applyFont="1" applyAlignment="1"/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0" fillId="7" borderId="0" xfId="0" applyFont="1" applyFill="1"/>
    <xf numFmtId="0" fontId="4" fillId="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1" fillId="7" borderId="6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49" fontId="1" fillId="7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7" borderId="0" xfId="0" applyFont="1" applyFill="1" applyAlignment="1">
      <alignment horizontal="left"/>
    </xf>
    <xf numFmtId="0" fontId="1" fillId="0" borderId="0" xfId="0" applyNumberFormat="1" applyFont="1" applyAlignment="1">
      <alignment horizontal="left" vertical="center"/>
    </xf>
    <xf numFmtId="0" fontId="1" fillId="7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/>
    </xf>
    <xf numFmtId="0" fontId="1" fillId="5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/>
    <xf numFmtId="0" fontId="1" fillId="11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2" fillId="13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 vertical="top" wrapText="1"/>
    </xf>
    <xf numFmtId="0" fontId="3" fillId="1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center"/>
    </xf>
    <xf numFmtId="0" fontId="18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15" borderId="0" xfId="0" applyFont="1" applyFill="1" applyAlignment="1">
      <alignment horizontal="left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/>
    </xf>
    <xf numFmtId="0" fontId="1" fillId="7" borderId="12" xfId="0" applyFont="1" applyFill="1" applyBorder="1" applyAlignment="1">
      <alignment horizontal="left" vertical="center"/>
    </xf>
    <xf numFmtId="184" fontId="4" fillId="0" borderId="0" xfId="1" applyNumberFormat="1" applyFont="1" applyFill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" fillId="7" borderId="15" xfId="0" applyFont="1" applyFill="1" applyBorder="1" applyAlignment="1">
      <alignment horizontal="left" vertical="center"/>
    </xf>
    <xf numFmtId="9" fontId="1" fillId="0" borderId="0" xfId="1" applyFont="1" applyAlignment="1">
      <alignment horizontal="left" vertical="center"/>
    </xf>
    <xf numFmtId="0" fontId="2" fillId="3" borderId="1" xfId="0" applyNumberFormat="1" applyFont="1" applyFill="1" applyBorder="1" applyAlignment="1">
      <alignment horizontal="left"/>
    </xf>
    <xf numFmtId="0" fontId="2" fillId="16" borderId="1" xfId="0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 vertical="top" wrapText="1"/>
    </xf>
    <xf numFmtId="0" fontId="21" fillId="16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left"/>
    </xf>
    <xf numFmtId="0" fontId="1" fillId="16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Fill="1" applyBorder="1" applyAlignment="1">
      <alignment horizontal="left"/>
    </xf>
    <xf numFmtId="0" fontId="1" fillId="0" borderId="17" xfId="0" applyNumberFormat="1" applyFont="1" applyFill="1" applyBorder="1" applyAlignment="1">
      <alignment horizontal="left" vertical="center"/>
    </xf>
    <xf numFmtId="0" fontId="1" fillId="16" borderId="1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center"/>
    </xf>
    <xf numFmtId="0" fontId="1" fillId="16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left"/>
    </xf>
    <xf numFmtId="0" fontId="1" fillId="0" borderId="20" xfId="0" applyNumberFormat="1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180" fontId="1" fillId="0" borderId="0" xfId="0" applyNumberFormat="1" applyFont="1" applyAlignment="1">
      <alignment horizontal="left" vertical="center"/>
    </xf>
    <xf numFmtId="0" fontId="2" fillId="16" borderId="1" xfId="0" applyNumberFormat="1" applyFont="1" applyFill="1" applyBorder="1" applyAlignment="1">
      <alignment horizontal="left"/>
    </xf>
    <xf numFmtId="0" fontId="21" fillId="16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80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85" fontId="1" fillId="0" borderId="0" xfId="0" applyNumberFormat="1" applyFont="1" applyAlignment="1">
      <alignment horizontal="left" vertical="center"/>
    </xf>
    <xf numFmtId="187" fontId="1" fillId="0" borderId="0" xfId="0" applyNumberFormat="1" applyFont="1" applyAlignment="1">
      <alignment horizontal="left" vertical="center"/>
    </xf>
    <xf numFmtId="184" fontId="1" fillId="0" borderId="0" xfId="1" applyNumberFormat="1" applyFont="1" applyAlignment="1">
      <alignment horizontal="left" vertical="center"/>
    </xf>
    <xf numFmtId="0" fontId="1" fillId="18" borderId="0" xfId="0" applyFont="1" applyFill="1" applyAlignment="1">
      <alignment horizontal="left"/>
    </xf>
    <xf numFmtId="0" fontId="1" fillId="19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1" fillId="20" borderId="0" xfId="0" applyFont="1" applyFill="1" applyAlignment="1">
      <alignment horizontal="left" vertical="center"/>
    </xf>
    <xf numFmtId="0" fontId="2" fillId="21" borderId="1" xfId="0" applyFont="1" applyFill="1" applyBorder="1" applyAlignment="1">
      <alignment horizontal="left" wrapText="1"/>
    </xf>
    <xf numFmtId="0" fontId="2" fillId="2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4" fillId="21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" fillId="20" borderId="1" xfId="0" applyFont="1" applyFill="1" applyBorder="1" applyAlignment="1">
      <alignment horizontal="left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left" vertical="center" wrapText="1"/>
    </xf>
    <xf numFmtId="0" fontId="1" fillId="20" borderId="0" xfId="0" applyFont="1" applyFill="1" applyAlignment="1">
      <alignment horizontal="left"/>
    </xf>
    <xf numFmtId="0" fontId="2" fillId="16" borderId="1" xfId="0" applyFont="1" applyFill="1" applyBorder="1" applyAlignment="1">
      <alignment horizontal="left" wrapText="1"/>
    </xf>
    <xf numFmtId="0" fontId="4" fillId="20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left" vertical="center" wrapText="1"/>
    </xf>
    <xf numFmtId="0" fontId="13" fillId="16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7" borderId="18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7" borderId="22" xfId="0" applyFont="1" applyFill="1" applyBorder="1" applyAlignment="1">
      <alignment horizontal="left" vertical="center" wrapText="1"/>
    </xf>
    <xf numFmtId="0" fontId="2" fillId="7" borderId="18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7" borderId="18" xfId="0" applyFont="1" applyFill="1" applyBorder="1" applyAlignment="1">
      <alignment horizontal="left" vertical="center"/>
    </xf>
    <xf numFmtId="0" fontId="2" fillId="7" borderId="2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18" fillId="7" borderId="22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22" borderId="0" xfId="0" applyFont="1" applyFill="1" applyAlignment="1">
      <alignment horizontal="center" vertical="center" wrapText="1"/>
    </xf>
    <xf numFmtId="0" fontId="3" fillId="23" borderId="0" xfId="0" applyFont="1" applyFill="1" applyAlignment="1">
      <alignment horizontal="left" vertical="center" wrapText="1"/>
    </xf>
    <xf numFmtId="0" fontId="2" fillId="22" borderId="0" xfId="0" applyFont="1" applyFill="1" applyAlignment="1">
      <alignment horizontal="left" vertical="center" wrapText="1"/>
    </xf>
    <xf numFmtId="0" fontId="2" fillId="22" borderId="24" xfId="0" applyFont="1" applyFill="1" applyBorder="1" applyAlignment="1">
      <alignment horizontal="left" vertical="center" wrapText="1"/>
    </xf>
    <xf numFmtId="0" fontId="2" fillId="22" borderId="24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0" fontId="2" fillId="7" borderId="17" xfId="1" applyNumberFormat="1" applyFont="1" applyFill="1" applyBorder="1" applyAlignment="1">
      <alignment horizontal="left" vertical="center"/>
    </xf>
    <xf numFmtId="10" fontId="2" fillId="7" borderId="0" xfId="1" applyNumberFormat="1" applyFont="1" applyFill="1" applyBorder="1" applyAlignment="1">
      <alignment horizontal="left" vertical="center"/>
    </xf>
    <xf numFmtId="182" fontId="2" fillId="7" borderId="0" xfId="1" applyNumberFormat="1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7" borderId="2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9" fontId="1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1" fillId="7" borderId="0" xfId="0" applyFont="1" applyFill="1"/>
    <xf numFmtId="176" fontId="1" fillId="0" borderId="0" xfId="0" applyNumberFormat="1" applyFont="1"/>
    <xf numFmtId="49" fontId="1" fillId="0" borderId="0" xfId="0" applyNumberFormat="1" applyFont="1"/>
    <xf numFmtId="0" fontId="1" fillId="0" borderId="2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26" xfId="0" applyFont="1" applyBorder="1"/>
    <xf numFmtId="0" fontId="1" fillId="0" borderId="25" xfId="0" applyFont="1" applyBorder="1"/>
    <xf numFmtId="0" fontId="18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1" fillId="24" borderId="0" xfId="0" applyFont="1" applyFill="1" applyAlignment="1">
      <alignment horizontal="left"/>
    </xf>
    <xf numFmtId="0" fontId="8" fillId="0" borderId="0" xfId="0" applyFont="1"/>
    <xf numFmtId="0" fontId="1" fillId="13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1" fillId="25" borderId="0" xfId="0" applyFont="1" applyFill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25" borderId="1" xfId="0" applyFont="1" applyFill="1" applyBorder="1" applyAlignment="1">
      <alignment horizontal="left"/>
    </xf>
    <xf numFmtId="0" fontId="2" fillId="25" borderId="27" xfId="0" applyFont="1" applyFill="1" applyBorder="1" applyAlignment="1">
      <alignment horizontal="left"/>
    </xf>
    <xf numFmtId="0" fontId="2" fillId="25" borderId="1" xfId="0" applyFont="1" applyFill="1" applyBorder="1" applyAlignment="1">
      <alignment horizontal="left"/>
    </xf>
    <xf numFmtId="0" fontId="4" fillId="25" borderId="1" xfId="0" applyFont="1" applyFill="1" applyBorder="1" applyAlignment="1">
      <alignment horizontal="left" vertical="center" wrapText="1"/>
    </xf>
    <xf numFmtId="179" fontId="1" fillId="0" borderId="0" xfId="0" applyNumberFormat="1" applyFont="1" applyFill="1" applyAlignment="1">
      <alignment horizontal="left"/>
    </xf>
    <xf numFmtId="0" fontId="1" fillId="17" borderId="0" xfId="0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1" fillId="0" borderId="15" xfId="1" applyNumberFormat="1" applyFont="1" applyFill="1" applyBorder="1" applyAlignment="1">
      <alignment horizontal="left"/>
    </xf>
    <xf numFmtId="10" fontId="5" fillId="0" borderId="15" xfId="1" applyNumberFormat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left"/>
    </xf>
    <xf numFmtId="10" fontId="5" fillId="0" borderId="0" xfId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left"/>
    </xf>
    <xf numFmtId="0" fontId="13" fillId="25" borderId="29" xfId="0" applyFont="1" applyFill="1" applyBorder="1" applyAlignment="1">
      <alignment horizontal="left"/>
    </xf>
    <xf numFmtId="0" fontId="13" fillId="25" borderId="30" xfId="0" applyFont="1" applyFill="1" applyBorder="1" applyAlignment="1">
      <alignment horizontal="left"/>
    </xf>
    <xf numFmtId="0" fontId="13" fillId="25" borderId="31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5" borderId="32" xfId="0" applyFont="1" applyFill="1" applyBorder="1" applyAlignment="1">
      <alignment horizontal="left"/>
    </xf>
    <xf numFmtId="0" fontId="2" fillId="25" borderId="1" xfId="0" applyFont="1" applyFill="1" applyBorder="1" applyAlignment="1"/>
    <xf numFmtId="0" fontId="2" fillId="2" borderId="28" xfId="0" applyFont="1" applyFill="1" applyBorder="1" applyAlignment="1">
      <alignment horizontal="left" wrapText="1"/>
    </xf>
    <xf numFmtId="0" fontId="2" fillId="25" borderId="27" xfId="0" applyFont="1" applyFill="1" applyBorder="1" applyAlignment="1">
      <alignment horizontal="left" wrapText="1"/>
    </xf>
    <xf numFmtId="0" fontId="2" fillId="25" borderId="1" xfId="0" applyFont="1" applyFill="1" applyBorder="1" applyAlignment="1">
      <alignment horizontal="left" wrapText="1"/>
    </xf>
    <xf numFmtId="0" fontId="2" fillId="25" borderId="32" xfId="0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left" vertical="center" wrapText="1"/>
    </xf>
    <xf numFmtId="0" fontId="4" fillId="25" borderId="33" xfId="0" applyFont="1" applyFill="1" applyBorder="1" applyAlignment="1">
      <alignment horizontal="left" vertical="center" wrapText="1"/>
    </xf>
    <xf numFmtId="0" fontId="4" fillId="25" borderId="34" xfId="0" applyFont="1" applyFill="1" applyBorder="1" applyAlignment="1">
      <alignment horizontal="left" vertical="center" wrapText="1"/>
    </xf>
    <xf numFmtId="0" fontId="4" fillId="25" borderId="35" xfId="0" applyFont="1" applyFill="1" applyBorder="1" applyAlignment="1">
      <alignment horizontal="left" vertical="center" wrapText="1"/>
    </xf>
    <xf numFmtId="178" fontId="1" fillId="7" borderId="0" xfId="1" applyNumberFormat="1" applyFont="1" applyFill="1" applyBorder="1" applyAlignment="1">
      <alignment horizontal="left"/>
    </xf>
    <xf numFmtId="178" fontId="1" fillId="0" borderId="26" xfId="1" applyNumberFormat="1" applyFont="1" applyFill="1" applyBorder="1" applyAlignment="1">
      <alignment horizontal="left"/>
    </xf>
    <xf numFmtId="178" fontId="1" fillId="0" borderId="0" xfId="1" applyNumberFormat="1" applyFont="1" applyFill="1" applyBorder="1" applyAlignment="1">
      <alignment horizontal="left"/>
    </xf>
    <xf numFmtId="9" fontId="1" fillId="0" borderId="0" xfId="1" applyNumberFormat="1" applyFont="1" applyFill="1" applyAlignment="1">
      <alignment horizontal="left"/>
    </xf>
    <xf numFmtId="0" fontId="8" fillId="0" borderId="0" xfId="1" applyNumberFormat="1" applyFont="1" applyFill="1" applyAlignment="1">
      <alignment horizontal="left"/>
    </xf>
    <xf numFmtId="2" fontId="1" fillId="0" borderId="0" xfId="1" applyNumberFormat="1" applyFont="1" applyFill="1" applyAlignment="1">
      <alignment horizontal="left"/>
    </xf>
    <xf numFmtId="0" fontId="5" fillId="0" borderId="0" xfId="1" applyNumberFormat="1" applyFont="1" applyFill="1" applyAlignment="1">
      <alignment horizontal="left"/>
    </xf>
    <xf numFmtId="9" fontId="1" fillId="0" borderId="12" xfId="1" applyNumberFormat="1" applyFont="1" applyFill="1" applyBorder="1" applyAlignment="1">
      <alignment horizontal="left"/>
    </xf>
    <xf numFmtId="9" fontId="1" fillId="0" borderId="15" xfId="1" applyNumberFormat="1" applyFont="1" applyFill="1" applyBorder="1" applyAlignment="1">
      <alignment horizontal="left"/>
    </xf>
    <xf numFmtId="9" fontId="1" fillId="0" borderId="13" xfId="1" applyNumberFormat="1" applyFont="1" applyFill="1" applyBorder="1" applyAlignment="1">
      <alignment horizontal="left"/>
    </xf>
    <xf numFmtId="9" fontId="1" fillId="0" borderId="4" xfId="1" applyNumberFormat="1" applyFont="1" applyFill="1" applyBorder="1" applyAlignment="1">
      <alignment horizontal="left"/>
    </xf>
    <xf numFmtId="9" fontId="1" fillId="0" borderId="0" xfId="1" applyNumberFormat="1" applyFont="1" applyFill="1" applyBorder="1" applyAlignment="1">
      <alignment horizontal="left"/>
    </xf>
    <xf numFmtId="9" fontId="1" fillId="0" borderId="10" xfId="1" applyNumberFormat="1" applyFont="1" applyFill="1" applyBorder="1" applyAlignment="1">
      <alignment horizontal="left"/>
    </xf>
    <xf numFmtId="9" fontId="1" fillId="25" borderId="0" xfId="1" applyNumberFormat="1" applyFont="1" applyFill="1" applyBorder="1" applyAlignment="1">
      <alignment horizontal="left"/>
    </xf>
    <xf numFmtId="178" fontId="1" fillId="7" borderId="36" xfId="1" applyNumberFormat="1" applyFont="1" applyFill="1" applyBorder="1" applyAlignment="1">
      <alignment horizontal="left"/>
    </xf>
    <xf numFmtId="178" fontId="1" fillId="0" borderId="37" xfId="1" applyNumberFormat="1" applyFont="1" applyFill="1" applyBorder="1" applyAlignment="1">
      <alignment horizontal="left"/>
    </xf>
    <xf numFmtId="9" fontId="1" fillId="0" borderId="5" xfId="1" applyNumberFormat="1" applyFont="1" applyFill="1" applyBorder="1" applyAlignment="1">
      <alignment horizontal="left"/>
    </xf>
    <xf numFmtId="9" fontId="1" fillId="0" borderId="6" xfId="1" applyNumberFormat="1" applyFont="1" applyFill="1" applyBorder="1" applyAlignment="1">
      <alignment horizontal="left"/>
    </xf>
    <xf numFmtId="9" fontId="1" fillId="0" borderId="11" xfId="1" applyNumberFormat="1" applyFont="1" applyFill="1" applyBorder="1" applyAlignment="1">
      <alignment horizontal="left"/>
    </xf>
    <xf numFmtId="0" fontId="2" fillId="26" borderId="1" xfId="0" applyFont="1" applyFill="1" applyBorder="1" applyAlignment="1">
      <alignment horizontal="left"/>
    </xf>
    <xf numFmtId="0" fontId="2" fillId="27" borderId="1" xfId="0" applyFont="1" applyFill="1" applyBorder="1" applyAlignment="1">
      <alignment horizontal="left"/>
    </xf>
    <xf numFmtId="176" fontId="2" fillId="2" borderId="1" xfId="0" applyNumberFormat="1" applyFont="1" applyFill="1" applyBorder="1" applyAlignment="1">
      <alignment horizontal="left"/>
    </xf>
    <xf numFmtId="0" fontId="13" fillId="26" borderId="1" xfId="0" applyFont="1" applyFill="1" applyBorder="1" applyAlignment="1">
      <alignment horizontal="left"/>
    </xf>
    <xf numFmtId="0" fontId="13" fillId="27" borderId="1" xfId="0" applyFont="1" applyFill="1" applyBorder="1" applyAlignment="1">
      <alignment horizontal="left"/>
    </xf>
    <xf numFmtId="0" fontId="4" fillId="26" borderId="1" xfId="0" applyFont="1" applyFill="1" applyBorder="1" applyAlignment="1">
      <alignment horizontal="left" vertical="center" wrapText="1"/>
    </xf>
    <xf numFmtId="0" fontId="4" fillId="27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184" fontId="1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78" fontId="1" fillId="0" borderId="0" xfId="1" applyNumberFormat="1" applyFont="1" applyFill="1" applyAlignment="1">
      <alignment horizontal="left"/>
    </xf>
    <xf numFmtId="0" fontId="1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4" fillId="2" borderId="1" xfId="0" applyNumberFormat="1" applyFont="1" applyFill="1" applyBorder="1" applyAlignment="1">
      <alignment horizontal="left" vertical="center" wrapText="1"/>
    </xf>
    <xf numFmtId="9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/>
    </xf>
    <xf numFmtId="49" fontId="1" fillId="16" borderId="0" xfId="0" applyNumberFormat="1" applyFont="1" applyFill="1" applyAlignment="1">
      <alignment horizontal="left"/>
    </xf>
    <xf numFmtId="183" fontId="1" fillId="0" borderId="0" xfId="0" applyNumberFormat="1" applyFont="1" applyFill="1" applyAlignment="1">
      <alignment horizontal="left"/>
    </xf>
    <xf numFmtId="49" fontId="1" fillId="16" borderId="0" xfId="0" applyNumberFormat="1" applyFont="1" applyFill="1"/>
    <xf numFmtId="49" fontId="1" fillId="0" borderId="0" xfId="0" applyNumberFormat="1" applyFont="1" applyFill="1"/>
    <xf numFmtId="0" fontId="1" fillId="0" borderId="0" xfId="0" applyNumberFormat="1" applyFont="1"/>
    <xf numFmtId="49" fontId="1" fillId="7" borderId="0" xfId="0" applyNumberFormat="1" applyFont="1" applyFill="1"/>
    <xf numFmtId="0" fontId="7" fillId="2" borderId="1" xfId="0" applyFont="1" applyFill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17" borderId="13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3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4" fillId="0" borderId="5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4" fillId="0" borderId="0" xfId="0" applyFont="1" applyFill="1"/>
    <xf numFmtId="0" fontId="4" fillId="16" borderId="12" xfId="0" applyFont="1" applyFill="1" applyBorder="1" applyAlignment="1">
      <alignment horizontal="left"/>
    </xf>
    <xf numFmtId="0" fontId="4" fillId="16" borderId="13" xfId="0" applyFont="1" applyFill="1" applyBorder="1" applyAlignment="1">
      <alignment horizontal="left"/>
    </xf>
    <xf numFmtId="0" fontId="4" fillId="16" borderId="5" xfId="0" applyFont="1" applyFill="1" applyBorder="1" applyAlignment="1">
      <alignment horizontal="left"/>
    </xf>
    <xf numFmtId="0" fontId="4" fillId="16" borderId="11" xfId="0" applyFont="1" applyFill="1" applyBorder="1" applyAlignment="1">
      <alignment horizontal="left"/>
    </xf>
    <xf numFmtId="0" fontId="22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1" fillId="0" borderId="25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/>
    </xf>
    <xf numFmtId="176" fontId="1" fillId="0" borderId="0" xfId="0" applyNumberFormat="1" applyFont="1" applyFill="1"/>
    <xf numFmtId="0" fontId="9" fillId="0" borderId="0" xfId="0" applyFont="1" applyFill="1" applyAlignment="1">
      <alignment horizontal="left"/>
    </xf>
    <xf numFmtId="0" fontId="9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30" borderId="0" xfId="0" applyFont="1" applyFill="1" applyBorder="1" applyAlignment="1">
      <alignment horizontal="left" vertical="center" wrapText="1"/>
    </xf>
    <xf numFmtId="0" fontId="1" fillId="15" borderId="0" xfId="0" applyFont="1" applyFill="1" applyBorder="1" applyAlignment="1">
      <alignment horizontal="left" vertical="center" wrapText="1"/>
    </xf>
    <xf numFmtId="0" fontId="1" fillId="31" borderId="0" xfId="0" applyFont="1" applyFill="1" applyBorder="1" applyAlignment="1">
      <alignment horizontal="left" vertical="center" wrapText="1"/>
    </xf>
    <xf numFmtId="9" fontId="1" fillId="0" borderId="0" xfId="0" applyNumberFormat="1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9" fontId="1" fillId="25" borderId="0" xfId="0" applyNumberFormat="1" applyFont="1" applyFill="1" applyBorder="1" applyAlignment="1">
      <alignment horizontal="left"/>
    </xf>
    <xf numFmtId="9" fontId="26" fillId="0" borderId="0" xfId="0" applyNumberFormat="1" applyFont="1" applyBorder="1" applyAlignment="1">
      <alignment horizontal="left" vertical="center" wrapText="1"/>
    </xf>
    <xf numFmtId="9" fontId="26" fillId="0" borderId="26" xfId="0" applyNumberFormat="1" applyFont="1" applyBorder="1" applyAlignment="1">
      <alignment horizontal="left" vertical="center" wrapText="1"/>
    </xf>
    <xf numFmtId="182" fontId="1" fillId="0" borderId="0" xfId="1" applyNumberFormat="1" applyFont="1" applyFill="1" applyBorder="1" applyAlignment="1">
      <alignment horizontal="left"/>
    </xf>
    <xf numFmtId="182" fontId="1" fillId="0" borderId="0" xfId="1" applyNumberFormat="1" applyFont="1" applyFill="1" applyBorder="1" applyAlignment="1"/>
    <xf numFmtId="182" fontId="1" fillId="0" borderId="26" xfId="1" applyNumberFormat="1" applyFont="1" applyFill="1" applyBorder="1" applyAlignment="1"/>
    <xf numFmtId="0" fontId="13" fillId="32" borderId="38" xfId="0" applyFont="1" applyFill="1" applyBorder="1" applyAlignment="1">
      <alignment horizontal="left"/>
    </xf>
    <xf numFmtId="0" fontId="4" fillId="32" borderId="39" xfId="0" applyFont="1" applyFill="1" applyBorder="1" applyAlignment="1">
      <alignment horizontal="left" wrapText="1"/>
    </xf>
    <xf numFmtId="0" fontId="26" fillId="0" borderId="39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32" borderId="4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32" borderId="43" xfId="0" applyFont="1" applyFill="1" applyBorder="1" applyAlignment="1">
      <alignment horizontal="left" wrapText="1"/>
    </xf>
    <xf numFmtId="0" fontId="2" fillId="32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wrapText="1"/>
    </xf>
    <xf numFmtId="9" fontId="2" fillId="7" borderId="24" xfId="0" applyNumberFormat="1" applyFont="1" applyFill="1" applyBorder="1" applyAlignment="1">
      <alignment horizontal="left" wrapText="1"/>
    </xf>
    <xf numFmtId="0" fontId="3" fillId="16" borderId="1" xfId="0" applyFont="1" applyFill="1" applyBorder="1" applyAlignment="1">
      <alignment horizontal="left"/>
    </xf>
    <xf numFmtId="183" fontId="10" fillId="16" borderId="24" xfId="0" applyNumberFormat="1" applyFont="1" applyFill="1" applyBorder="1" applyAlignment="1">
      <alignment horizontal="left"/>
    </xf>
    <xf numFmtId="0" fontId="4" fillId="32" borderId="43" xfId="0" applyFont="1" applyFill="1" applyBorder="1" applyAlignment="1">
      <alignment horizontal="left" vertical="center" wrapText="1"/>
    </xf>
    <xf numFmtId="0" fontId="4" fillId="32" borderId="1" xfId="0" applyFont="1" applyFill="1" applyBorder="1" applyAlignment="1">
      <alignment horizontal="left" vertical="center" wrapText="1"/>
    </xf>
    <xf numFmtId="0" fontId="4" fillId="32" borderId="5" xfId="0" applyFont="1" applyFill="1" applyBorder="1" applyAlignment="1">
      <alignment horizontal="left" vertical="center" wrapText="1"/>
    </xf>
    <xf numFmtId="0" fontId="4" fillId="13" borderId="45" xfId="0" applyFont="1" applyFill="1" applyBorder="1" applyAlignment="1">
      <alignment horizontal="left" vertical="center" wrapText="1"/>
    </xf>
    <xf numFmtId="0" fontId="4" fillId="13" borderId="46" xfId="0" applyFont="1" applyFill="1" applyBorder="1" applyAlignment="1">
      <alignment horizontal="left" vertical="center" wrapText="1"/>
    </xf>
    <xf numFmtId="0" fontId="26" fillId="13" borderId="46" xfId="0" applyFont="1" applyFill="1" applyBorder="1" applyAlignment="1">
      <alignment horizontal="left" vertical="center" wrapText="1"/>
    </xf>
    <xf numFmtId="0" fontId="4" fillId="13" borderId="47" xfId="0" applyFont="1" applyFill="1" applyBorder="1" applyAlignment="1">
      <alignment horizontal="left" vertical="center" wrapText="1"/>
    </xf>
    <xf numFmtId="182" fontId="1" fillId="7" borderId="25" xfId="1" applyNumberFormat="1" applyFont="1" applyFill="1" applyBorder="1" applyAlignment="1">
      <alignment horizontal="left"/>
    </xf>
    <xf numFmtId="188" fontId="2" fillId="0" borderId="0" xfId="1" applyNumberFormat="1" applyFont="1" applyFill="1" applyBorder="1" applyAlignment="1">
      <alignment horizontal="left"/>
    </xf>
    <xf numFmtId="182" fontId="2" fillId="0" borderId="0" xfId="1" applyNumberFormat="1" applyFont="1" applyFill="1" applyBorder="1" applyAlignment="1">
      <alignment horizontal="left"/>
    </xf>
    <xf numFmtId="181" fontId="2" fillId="0" borderId="0" xfId="1" applyNumberFormat="1" applyFont="1" applyFill="1" applyBorder="1" applyAlignment="1">
      <alignment horizontal="left"/>
    </xf>
    <xf numFmtId="189" fontId="2" fillId="0" borderId="0" xfId="1" applyNumberFormat="1" applyFont="1" applyFill="1" applyBorder="1" applyAlignment="1">
      <alignment horizontal="left"/>
    </xf>
    <xf numFmtId="182" fontId="1" fillId="0" borderId="25" xfId="1" applyNumberFormat="1" applyFont="1" applyFill="1" applyBorder="1" applyAlignment="1">
      <alignment horizontal="left"/>
    </xf>
    <xf numFmtId="182" fontId="1" fillId="0" borderId="48" xfId="1" applyNumberFormat="1" applyFont="1" applyFill="1" applyBorder="1" applyAlignment="1">
      <alignment horizontal="left"/>
    </xf>
    <xf numFmtId="0" fontId="1" fillId="0" borderId="36" xfId="1" applyNumberFormat="1" applyFont="1" applyFill="1" applyBorder="1" applyAlignment="1">
      <alignment horizontal="left"/>
    </xf>
    <xf numFmtId="188" fontId="2" fillId="0" borderId="36" xfId="1" applyNumberFormat="1" applyFont="1" applyFill="1" applyBorder="1" applyAlignment="1">
      <alignment horizontal="left"/>
    </xf>
    <xf numFmtId="181" fontId="2" fillId="0" borderId="36" xfId="1" applyNumberFormat="1" applyFont="1" applyFill="1" applyBorder="1" applyAlignment="1">
      <alignment horizontal="left"/>
    </xf>
    <xf numFmtId="189" fontId="2" fillId="0" borderId="36" xfId="1" applyNumberFormat="1" applyFont="1" applyFill="1" applyBorder="1" applyAlignment="1">
      <alignment horizontal="left"/>
    </xf>
    <xf numFmtId="0" fontId="2" fillId="16" borderId="49" xfId="0" applyFont="1" applyFill="1" applyBorder="1" applyAlignment="1">
      <alignment horizontal="left"/>
    </xf>
    <xf numFmtId="0" fontId="2" fillId="16" borderId="5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10" fontId="2" fillId="16" borderId="24" xfId="1" applyNumberFormat="1" applyFont="1" applyFill="1" applyBorder="1" applyAlignment="1">
      <alignment horizontal="left"/>
    </xf>
    <xf numFmtId="0" fontId="1" fillId="16" borderId="51" xfId="0" applyFont="1" applyFill="1" applyBorder="1"/>
    <xf numFmtId="0" fontId="1" fillId="0" borderId="0" xfId="0" applyFont="1" applyFill="1" applyBorder="1"/>
    <xf numFmtId="0" fontId="1" fillId="0" borderId="26" xfId="0" applyFont="1" applyFill="1" applyBorder="1"/>
    <xf numFmtId="0" fontId="1" fillId="0" borderId="16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4" fillId="7" borderId="53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1" fillId="7" borderId="0" xfId="1" applyNumberFormat="1" applyFont="1" applyFill="1" applyBorder="1" applyAlignment="1">
      <alignment horizontal="left"/>
    </xf>
    <xf numFmtId="0" fontId="1" fillId="0" borderId="26" xfId="1" applyNumberFormat="1" applyFont="1" applyFill="1" applyBorder="1" applyAlignment="1">
      <alignment horizontal="left"/>
    </xf>
    <xf numFmtId="0" fontId="1" fillId="0" borderId="19" xfId="0" applyFont="1" applyBorder="1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181" fontId="1" fillId="0" borderId="0" xfId="1" applyNumberFormat="1" applyFont="1" applyFill="1" applyAlignment="1"/>
    <xf numFmtId="0" fontId="4" fillId="0" borderId="0" xfId="0" applyFont="1" applyFill="1" applyAlignment="1">
      <alignment horizontal="left"/>
    </xf>
    <xf numFmtId="188" fontId="4" fillId="0" borderId="0" xfId="1" applyNumberFormat="1" applyFont="1" applyFill="1" applyBorder="1" applyAlignment="1">
      <alignment horizontal="left"/>
    </xf>
    <xf numFmtId="188" fontId="4" fillId="7" borderId="0" xfId="1" applyNumberFormat="1" applyFont="1" applyFill="1" applyBorder="1" applyAlignment="1">
      <alignment horizontal="left"/>
    </xf>
    <xf numFmtId="0" fontId="13" fillId="0" borderId="0" xfId="0" applyFont="1" applyAlignment="1">
      <alignment wrapText="1"/>
    </xf>
    <xf numFmtId="0" fontId="9" fillId="0" borderId="0" xfId="0" applyFont="1"/>
    <xf numFmtId="0" fontId="27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181" fontId="4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3" fillId="33" borderId="1" xfId="0" applyFont="1" applyFill="1" applyBorder="1" applyAlignment="1">
      <alignment horizontal="left" vertical="top" wrapText="1"/>
    </xf>
    <xf numFmtId="0" fontId="3" fillId="24" borderId="1" xfId="0" applyFont="1" applyFill="1" applyBorder="1" applyAlignment="1">
      <alignment horizontal="left" vertical="top" wrapText="1"/>
    </xf>
    <xf numFmtId="0" fontId="3" fillId="28" borderId="1" xfId="0" applyFont="1" applyFill="1" applyBorder="1" applyAlignment="1">
      <alignment horizontal="left" vertical="top" wrapText="1"/>
    </xf>
    <xf numFmtId="0" fontId="28" fillId="0" borderId="0" xfId="0" applyFont="1"/>
    <xf numFmtId="0" fontId="4" fillId="0" borderId="0" xfId="0" applyFont="1" applyAlignment="1">
      <alignment horizontal="left" vertical="center" wrapText="1"/>
    </xf>
    <xf numFmtId="190" fontId="1" fillId="0" borderId="0" xfId="0" applyNumberFormat="1" applyFont="1" applyAlignment="1">
      <alignment horizontal="left" vertical="center"/>
    </xf>
    <xf numFmtId="0" fontId="1" fillId="34" borderId="0" xfId="0" applyFont="1" applyFill="1" applyAlignment="1">
      <alignment horizontal="left" vertical="center"/>
    </xf>
    <xf numFmtId="0" fontId="2" fillId="35" borderId="55" xfId="0" applyFont="1" applyFill="1" applyBorder="1" applyAlignment="1">
      <alignment horizontal="left" vertical="center"/>
    </xf>
    <xf numFmtId="0" fontId="2" fillId="35" borderId="56" xfId="0" applyFont="1" applyFill="1" applyBorder="1" applyAlignment="1">
      <alignment horizontal="left" vertical="center"/>
    </xf>
    <xf numFmtId="0" fontId="2" fillId="35" borderId="57" xfId="0" applyFont="1" applyFill="1" applyBorder="1" applyAlignment="1">
      <alignment horizontal="left" vertical="center"/>
    </xf>
    <xf numFmtId="0" fontId="2" fillId="36" borderId="55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2" fillId="36" borderId="56" xfId="0" applyFont="1" applyFill="1" applyBorder="1" applyAlignment="1">
      <alignment horizontal="left" vertical="center"/>
    </xf>
    <xf numFmtId="0" fontId="2" fillId="36" borderId="57" xfId="0" applyFont="1" applyFill="1" applyBorder="1" applyAlignment="1">
      <alignment horizontal="left" vertical="center"/>
    </xf>
    <xf numFmtId="0" fontId="29" fillId="29" borderId="55" xfId="0" applyFont="1" applyFill="1" applyBorder="1" applyAlignment="1">
      <alignment horizontal="left" vertical="center"/>
    </xf>
    <xf numFmtId="0" fontId="29" fillId="29" borderId="56" xfId="0" applyFont="1" applyFill="1" applyBorder="1" applyAlignment="1">
      <alignment horizontal="left" vertical="center"/>
    </xf>
    <xf numFmtId="0" fontId="29" fillId="29" borderId="57" xfId="0" applyFont="1" applyFill="1" applyBorder="1" applyAlignment="1">
      <alignment horizontal="left" vertical="center"/>
    </xf>
    <xf numFmtId="0" fontId="4" fillId="24" borderId="58" xfId="0" applyFont="1" applyFill="1" applyBorder="1" applyAlignment="1">
      <alignment horizontal="left" vertical="center"/>
    </xf>
    <xf numFmtId="0" fontId="4" fillId="24" borderId="59" xfId="0" applyFont="1" applyFill="1" applyBorder="1" applyAlignment="1">
      <alignment horizontal="left" vertical="center"/>
    </xf>
    <xf numFmtId="0" fontId="4" fillId="24" borderId="60" xfId="0" applyFont="1" applyFill="1" applyBorder="1" applyAlignment="1">
      <alignment horizontal="left" vertical="center"/>
    </xf>
    <xf numFmtId="0" fontId="4" fillId="24" borderId="61" xfId="0" applyFont="1" applyFill="1" applyBorder="1" applyAlignment="1">
      <alignment horizontal="left" vertical="center"/>
    </xf>
    <xf numFmtId="0" fontId="4" fillId="28" borderId="58" xfId="0" applyFont="1" applyFill="1" applyBorder="1" applyAlignment="1">
      <alignment horizontal="left" vertical="center"/>
    </xf>
    <xf numFmtId="0" fontId="4" fillId="28" borderId="59" xfId="0" applyFont="1" applyFill="1" applyBorder="1" applyAlignment="1">
      <alignment horizontal="left" vertical="center"/>
    </xf>
    <xf numFmtId="0" fontId="4" fillId="24" borderId="62" xfId="0" applyFont="1" applyFill="1" applyBorder="1" applyAlignment="1">
      <alignment horizontal="left" vertical="center"/>
    </xf>
    <xf numFmtId="0" fontId="4" fillId="24" borderId="63" xfId="0" applyFont="1" applyFill="1" applyBorder="1" applyAlignment="1">
      <alignment horizontal="left" vertical="center"/>
    </xf>
    <xf numFmtId="0" fontId="4" fillId="24" borderId="64" xfId="0" applyFont="1" applyFill="1" applyBorder="1" applyAlignment="1">
      <alignment horizontal="left" vertical="center"/>
    </xf>
    <xf numFmtId="0" fontId="4" fillId="24" borderId="65" xfId="0" applyFont="1" applyFill="1" applyBorder="1" applyAlignment="1">
      <alignment horizontal="left" vertical="center"/>
    </xf>
    <xf numFmtId="0" fontId="4" fillId="28" borderId="62" xfId="0" applyFont="1" applyFill="1" applyBorder="1" applyAlignment="1">
      <alignment horizontal="left" vertical="center"/>
    </xf>
    <xf numFmtId="0" fontId="4" fillId="28" borderId="63" xfId="0" applyFont="1" applyFill="1" applyBorder="1" applyAlignment="1">
      <alignment horizontal="left" vertical="center"/>
    </xf>
    <xf numFmtId="0" fontId="4" fillId="24" borderId="66" xfId="0" applyFont="1" applyFill="1" applyBorder="1" applyAlignment="1">
      <alignment horizontal="left" vertical="center"/>
    </xf>
    <xf numFmtId="0" fontId="4" fillId="24" borderId="67" xfId="0" applyFont="1" applyFill="1" applyBorder="1" applyAlignment="1">
      <alignment horizontal="left" vertical="center"/>
    </xf>
    <xf numFmtId="0" fontId="4" fillId="24" borderId="68" xfId="0" applyFont="1" applyFill="1" applyBorder="1" applyAlignment="1">
      <alignment horizontal="left" vertical="center"/>
    </xf>
    <xf numFmtId="0" fontId="4" fillId="24" borderId="69" xfId="0" applyFont="1" applyFill="1" applyBorder="1" applyAlignment="1">
      <alignment horizontal="left" vertical="center"/>
    </xf>
    <xf numFmtId="0" fontId="4" fillId="28" borderId="66" xfId="0" applyFont="1" applyFill="1" applyBorder="1" applyAlignment="1">
      <alignment horizontal="left" vertical="center"/>
    </xf>
    <xf numFmtId="0" fontId="4" fillId="28" borderId="67" xfId="0" applyFont="1" applyFill="1" applyBorder="1" applyAlignment="1">
      <alignment horizontal="left" vertical="center"/>
    </xf>
    <xf numFmtId="0" fontId="1" fillId="24" borderId="55" xfId="0" applyFont="1" applyFill="1" applyBorder="1" applyAlignment="1">
      <alignment horizontal="left" vertical="center" wrapText="1"/>
    </xf>
    <xf numFmtId="0" fontId="1" fillId="24" borderId="56" xfId="0" applyFont="1" applyFill="1" applyBorder="1" applyAlignment="1">
      <alignment horizontal="left" vertical="center"/>
    </xf>
    <xf numFmtId="0" fontId="1" fillId="28" borderId="55" xfId="0" applyFont="1" applyFill="1" applyBorder="1" applyAlignment="1">
      <alignment horizontal="left" vertical="center" wrapText="1"/>
    </xf>
    <xf numFmtId="0" fontId="1" fillId="28" borderId="56" xfId="0" applyFont="1" applyFill="1" applyBorder="1" applyAlignment="1">
      <alignment horizontal="left" vertical="center"/>
    </xf>
    <xf numFmtId="0" fontId="4" fillId="28" borderId="60" xfId="0" applyFont="1" applyFill="1" applyBorder="1" applyAlignment="1">
      <alignment horizontal="left" vertical="center"/>
    </xf>
    <xf numFmtId="0" fontId="4" fillId="28" borderId="0" xfId="0" applyFont="1" applyFill="1" applyBorder="1" applyAlignment="1">
      <alignment horizontal="left" vertical="center"/>
    </xf>
    <xf numFmtId="0" fontId="4" fillId="28" borderId="64" xfId="0" applyFont="1" applyFill="1" applyBorder="1" applyAlignment="1">
      <alignment horizontal="left" vertical="center"/>
    </xf>
    <xf numFmtId="0" fontId="4" fillId="28" borderId="68" xfId="0" applyFont="1" applyFill="1" applyBorder="1" applyAlignment="1">
      <alignment horizontal="left" vertical="center"/>
    </xf>
    <xf numFmtId="0" fontId="1" fillId="28" borderId="57" xfId="0" applyFont="1" applyFill="1" applyBorder="1" applyAlignment="1">
      <alignment horizontal="left" vertical="center"/>
    </xf>
    <xf numFmtId="0" fontId="1" fillId="28" borderId="0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7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2" fillId="0" borderId="0" xfId="0" applyNumberFormat="1" applyFont="1" applyAlignment="1">
      <alignment horizontal="left" vertical="center"/>
    </xf>
    <xf numFmtId="0" fontId="24" fillId="2" borderId="1" xfId="0" applyFont="1" applyFill="1" applyBorder="1" applyAlignment="1">
      <alignment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11" fillId="2" borderId="1" xfId="0" applyFont="1" applyFill="1" applyBorder="1" applyAlignment="1">
      <alignment horizontal="left" vertical="top" wrapText="1"/>
    </xf>
    <xf numFmtId="0" fontId="2" fillId="28" borderId="1" xfId="0" applyFont="1" applyFill="1" applyBorder="1" applyAlignment="1">
      <alignment horizontal="left"/>
    </xf>
    <xf numFmtId="0" fontId="2" fillId="33" borderId="1" xfId="0" applyFont="1" applyFill="1" applyBorder="1" applyAlignment="1">
      <alignment horizontal="left"/>
    </xf>
    <xf numFmtId="0" fontId="22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2" fillId="37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37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80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0" fillId="0" borderId="0" xfId="0" applyFont="1"/>
    <xf numFmtId="0" fontId="1" fillId="12" borderId="0" xfId="0" applyFont="1" applyFill="1" applyAlignment="1">
      <alignment horizontal="center"/>
    </xf>
    <xf numFmtId="0" fontId="2" fillId="0" borderId="12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29" fillId="29" borderId="0" xfId="0" applyFont="1" applyFill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top" wrapText="1"/>
    </xf>
    <xf numFmtId="184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178" fontId="1" fillId="0" borderId="0" xfId="0" applyNumberFormat="1" applyFont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16" borderId="12" xfId="0" applyFont="1" applyFill="1" applyBorder="1" applyAlignment="1">
      <alignment horizontal="left" vertical="center"/>
    </xf>
    <xf numFmtId="178" fontId="1" fillId="16" borderId="13" xfId="0" applyNumberFormat="1" applyFont="1" applyFill="1" applyBorder="1" applyAlignment="1">
      <alignment horizontal="left" vertical="center"/>
    </xf>
    <xf numFmtId="0" fontId="1" fillId="16" borderId="4" xfId="0" applyFont="1" applyFill="1" applyBorder="1" applyAlignment="1">
      <alignment horizontal="left" vertical="center"/>
    </xf>
    <xf numFmtId="49" fontId="9" fillId="16" borderId="10" xfId="0" applyNumberFormat="1" applyFont="1" applyFill="1" applyBorder="1" applyAlignment="1">
      <alignment horizontal="left" vertical="center"/>
    </xf>
    <xf numFmtId="0" fontId="1" fillId="16" borderId="10" xfId="0" applyNumberFormat="1" applyFont="1" applyFill="1" applyBorder="1" applyAlignment="1">
      <alignment horizontal="left" vertical="center"/>
    </xf>
    <xf numFmtId="0" fontId="1" fillId="16" borderId="5" xfId="0" applyFont="1" applyFill="1" applyBorder="1" applyAlignment="1">
      <alignment horizontal="left" vertical="center"/>
    </xf>
    <xf numFmtId="0" fontId="1" fillId="16" borderId="11" xfId="0" applyNumberFormat="1" applyFont="1" applyFill="1" applyBorder="1" applyAlignment="1">
      <alignment horizontal="left" vertical="center"/>
    </xf>
    <xf numFmtId="0" fontId="1" fillId="15" borderId="4" xfId="0" applyFont="1" applyFill="1" applyBorder="1" applyAlignment="1">
      <alignment horizontal="left" vertical="center"/>
    </xf>
    <xf numFmtId="178" fontId="1" fillId="15" borderId="10" xfId="0" applyNumberFormat="1" applyFont="1" applyFill="1" applyBorder="1" applyAlignment="1">
      <alignment horizontal="left" vertical="center"/>
    </xf>
    <xf numFmtId="0" fontId="1" fillId="15" borderId="5" xfId="0" applyFont="1" applyFill="1" applyBorder="1" applyAlignment="1">
      <alignment horizontal="left" vertical="center"/>
    </xf>
    <xf numFmtId="178" fontId="9" fillId="15" borderId="11" xfId="0" applyNumberFormat="1" applyFont="1" applyFill="1" applyBorder="1" applyAlignment="1">
      <alignment horizontal="left" vertical="center"/>
    </xf>
    <xf numFmtId="49" fontId="1" fillId="16" borderId="13" xfId="0" applyNumberFormat="1" applyFont="1" applyFill="1" applyBorder="1" applyAlignment="1">
      <alignment horizontal="left" vertical="center"/>
    </xf>
    <xf numFmtId="0" fontId="9" fillId="16" borderId="10" xfId="0" applyNumberFormat="1" applyFont="1" applyFill="1" applyBorder="1" applyAlignment="1">
      <alignment horizontal="left" vertical="center"/>
    </xf>
    <xf numFmtId="0" fontId="1" fillId="15" borderId="12" xfId="0" applyFont="1" applyFill="1" applyBorder="1" applyAlignment="1">
      <alignment horizontal="left" vertical="center"/>
    </xf>
    <xf numFmtId="49" fontId="9" fillId="15" borderId="13" xfId="0" applyNumberFormat="1" applyFont="1" applyFill="1" applyBorder="1" applyAlignment="1">
      <alignment horizontal="left" vertical="center"/>
    </xf>
    <xf numFmtId="49" fontId="1" fillId="15" borderId="11" xfId="0" applyNumberFormat="1" applyFont="1" applyFill="1" applyBorder="1" applyAlignment="1">
      <alignment horizontal="left" vertical="center"/>
    </xf>
    <xf numFmtId="49" fontId="9" fillId="16" borderId="13" xfId="0" applyNumberFormat="1" applyFont="1" applyFill="1" applyBorder="1" applyAlignment="1">
      <alignment horizontal="left" vertical="center"/>
    </xf>
    <xf numFmtId="0" fontId="1" fillId="15" borderId="13" xfId="0" applyFont="1" applyFill="1" applyBorder="1" applyAlignment="1">
      <alignment horizontal="left" vertical="center"/>
    </xf>
    <xf numFmtId="0" fontId="1" fillId="15" borderId="10" xfId="0" applyFont="1" applyFill="1" applyBorder="1" applyAlignment="1">
      <alignment horizontal="left" vertical="center"/>
    </xf>
    <xf numFmtId="0" fontId="9" fillId="15" borderId="10" xfId="0" applyFont="1" applyFill="1" applyBorder="1" applyAlignment="1">
      <alignment horizontal="left" vertical="center"/>
    </xf>
    <xf numFmtId="0" fontId="9" fillId="15" borderId="11" xfId="0" applyFont="1" applyFill="1" applyBorder="1" applyAlignment="1">
      <alignment horizontal="left" vertical="center"/>
    </xf>
    <xf numFmtId="0" fontId="35" fillId="0" borderId="0" xfId="0" applyFont="1" applyAlignment="1">
      <alignment horizontal="justify" vertical="center"/>
    </xf>
    <xf numFmtId="0" fontId="1" fillId="15" borderId="11" xfId="0" applyFont="1" applyFill="1" applyBorder="1" applyAlignment="1">
      <alignment horizontal="left" vertical="center"/>
    </xf>
    <xf numFmtId="0" fontId="5" fillId="16" borderId="12" xfId="0" applyFont="1" applyFill="1" applyBorder="1" applyAlignment="1">
      <alignment horizontal="left" vertical="center"/>
    </xf>
    <xf numFmtId="0" fontId="1" fillId="16" borderId="13" xfId="0" applyFont="1" applyFill="1" applyBorder="1" applyAlignment="1">
      <alignment horizontal="left" vertical="center"/>
    </xf>
    <xf numFmtId="0" fontId="5" fillId="16" borderId="5" xfId="0" applyFont="1" applyFill="1" applyBorder="1" applyAlignment="1">
      <alignment horizontal="left" vertical="center"/>
    </xf>
    <xf numFmtId="0" fontId="1" fillId="16" borderId="11" xfId="0" applyFont="1" applyFill="1" applyBorder="1" applyAlignment="1">
      <alignment horizontal="left" vertical="center"/>
    </xf>
    <xf numFmtId="0" fontId="1" fillId="38" borderId="0" xfId="0" applyFont="1" applyFill="1" applyAlignment="1">
      <alignment horizontal="left" vertical="center"/>
    </xf>
    <xf numFmtId="0" fontId="36" fillId="0" borderId="0" xfId="0" applyFont="1"/>
    <xf numFmtId="0" fontId="8" fillId="38" borderId="0" xfId="0" applyFont="1" applyFill="1" applyAlignment="1">
      <alignment horizontal="left" vertical="center"/>
    </xf>
    <xf numFmtId="49" fontId="1" fillId="39" borderId="0" xfId="0" applyNumberFormat="1" applyFont="1" applyFill="1" applyAlignment="1">
      <alignment horizontal="left" vertical="center"/>
    </xf>
    <xf numFmtId="49" fontId="9" fillId="39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84" fontId="1" fillId="0" borderId="0" xfId="0" applyNumberFormat="1" applyFont="1" applyAlignment="1">
      <alignment horizontal="left" vertical="center"/>
    </xf>
    <xf numFmtId="0" fontId="1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40" borderId="0" xfId="0" applyFont="1" applyFill="1" applyAlignment="1">
      <alignment horizontal="left" vertical="center"/>
    </xf>
    <xf numFmtId="0" fontId="1" fillId="4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24" borderId="0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0" fontId="1" fillId="0" borderId="10" xfId="1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0" fontId="1" fillId="0" borderId="11" xfId="1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37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41" borderId="0" xfId="0" applyFont="1" applyFill="1" applyAlignment="1">
      <alignment horizontal="center" vertical="center" wrapText="1"/>
    </xf>
    <xf numFmtId="0" fontId="4" fillId="41" borderId="0" xfId="0" applyFont="1" applyFill="1" applyAlignment="1">
      <alignment horizontal="center" vertical="center"/>
    </xf>
    <xf numFmtId="0" fontId="4" fillId="41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2" fontId="1" fillId="5" borderId="10" xfId="0" applyNumberFormat="1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30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left" vertical="center"/>
    </xf>
    <xf numFmtId="186" fontId="1" fillId="0" borderId="0" xfId="0" applyNumberFormat="1" applyFont="1" applyAlignment="1">
      <alignment horizontal="left" vertical="center"/>
    </xf>
    <xf numFmtId="0" fontId="2" fillId="5" borderId="0" xfId="0" applyNumberFormat="1" applyFont="1" applyFill="1" applyAlignment="1">
      <alignment horizontal="left" vertical="center"/>
    </xf>
    <xf numFmtId="0" fontId="10" fillId="42" borderId="0" xfId="0" applyFont="1" applyFill="1" applyAlignment="1">
      <alignment horizontal="left" vertical="center"/>
    </xf>
    <xf numFmtId="0" fontId="2" fillId="3" borderId="0" xfId="0" applyNumberFormat="1" applyFont="1" applyFill="1" applyAlignment="1">
      <alignment horizontal="left" vertical="center"/>
    </xf>
    <xf numFmtId="0" fontId="2" fillId="30" borderId="0" xfId="0" applyNumberFormat="1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" fillId="16" borderId="0" xfId="0" applyFont="1" applyFill="1" applyAlignment="1">
      <alignment horizontal="left" wrapText="1"/>
    </xf>
    <xf numFmtId="0" fontId="12" fillId="16" borderId="0" xfId="0" applyFont="1" applyFill="1" applyAlignment="1">
      <alignment horizontal="left" wrapText="1"/>
    </xf>
    <xf numFmtId="9" fontId="1" fillId="7" borderId="0" xfId="0" applyNumberFormat="1" applyFont="1" applyFill="1" applyAlignment="1">
      <alignment horizontal="left"/>
    </xf>
    <xf numFmtId="10" fontId="1" fillId="0" borderId="0" xfId="1" applyNumberFormat="1" applyFont="1" applyAlignment="1">
      <alignment horizontal="left"/>
    </xf>
    <xf numFmtId="0" fontId="1" fillId="22" borderId="0" xfId="0" applyFont="1" applyFill="1" applyAlignment="1">
      <alignment horizontal="left" wrapText="1"/>
    </xf>
    <xf numFmtId="0" fontId="22" fillId="22" borderId="0" xfId="0" applyFont="1" applyFill="1" applyAlignment="1">
      <alignment horizontal="left" wrapText="1"/>
    </xf>
    <xf numFmtId="0" fontId="39" fillId="43" borderId="0" xfId="0" applyFont="1" applyFill="1" applyAlignment="1">
      <alignment horizontal="left" wrapText="1"/>
    </xf>
    <xf numFmtId="9" fontId="2" fillId="0" borderId="0" xfId="0" applyNumberFormat="1" applyFont="1" applyAlignment="1">
      <alignment horizontal="left"/>
    </xf>
    <xf numFmtId="49" fontId="56" fillId="0" borderId="0" xfId="0" applyNumberFormat="1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9" fillId="0" borderId="0" xfId="0" applyNumberFormat="1" applyFont="1" applyAlignment="1">
      <alignment horizontal="left" vertical="center"/>
    </xf>
    <xf numFmtId="0" fontId="1" fillId="16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4" borderId="0" xfId="0" applyFont="1" applyFill="1" applyAlignment="1">
      <alignment horizontal="center" vertical="center" wrapText="1"/>
    </xf>
    <xf numFmtId="0" fontId="1" fillId="24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 vertical="center" wrapText="1"/>
    </xf>
    <xf numFmtId="0" fontId="1" fillId="16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12" borderId="0" xfId="0" applyFont="1" applyFill="1" applyAlignment="1">
      <alignment horizontal="center"/>
    </xf>
    <xf numFmtId="0" fontId="29" fillId="29" borderId="0" xfId="0" applyFont="1" applyFill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88" fontId="2" fillId="0" borderId="21" xfId="1" applyNumberFormat="1" applyFont="1" applyBorder="1" applyAlignment="1">
      <alignment horizontal="left" vertical="center"/>
    </xf>
    <xf numFmtId="188" fontId="2" fillId="0" borderId="22" xfId="1" applyNumberFormat="1" applyFont="1" applyBorder="1" applyAlignment="1">
      <alignment horizontal="left" vertical="center"/>
    </xf>
    <xf numFmtId="182" fontId="1" fillId="0" borderId="22" xfId="1" applyNumberFormat="1" applyFont="1" applyBorder="1" applyAlignment="1">
      <alignment horizontal="left" vertical="center"/>
    </xf>
    <xf numFmtId="182" fontId="1" fillId="0" borderId="23" xfId="1" applyNumberFormat="1" applyFont="1" applyBorder="1" applyAlignment="1">
      <alignment horizontal="left" vertical="center"/>
    </xf>
    <xf numFmtId="0" fontId="4" fillId="0" borderId="25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center"/>
    </xf>
    <xf numFmtId="0" fontId="7" fillId="16" borderId="40" xfId="0" applyFont="1" applyFill="1" applyBorder="1" applyAlignment="1">
      <alignment horizontal="center"/>
    </xf>
    <xf numFmtId="0" fontId="7" fillId="16" borderId="41" xfId="0" applyFont="1" applyFill="1" applyBorder="1" applyAlignment="1">
      <alignment horizontal="center"/>
    </xf>
    <xf numFmtId="0" fontId="7" fillId="16" borderId="42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2" xfId="0" applyFont="1" applyFill="1" applyBorder="1" applyAlignment="1">
      <alignment horizontal="left"/>
    </xf>
    <xf numFmtId="0" fontId="1" fillId="13" borderId="25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0" fontId="25" fillId="29" borderId="0" xfId="0" applyFont="1" applyFill="1" applyAlignment="1">
      <alignment horizontal="center"/>
    </xf>
    <xf numFmtId="9" fontId="1" fillId="0" borderId="0" xfId="0" applyNumberFormat="1" applyFont="1" applyBorder="1" applyAlignment="1">
      <alignment horizontal="left" vertical="center"/>
    </xf>
    <xf numFmtId="0" fontId="2" fillId="16" borderId="24" xfId="0" applyFont="1" applyFill="1" applyBorder="1" applyAlignment="1">
      <alignment horizontal="left" vertical="center" wrapText="1"/>
    </xf>
    <xf numFmtId="0" fontId="2" fillId="16" borderId="44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9" fillId="13" borderId="16" xfId="0" applyFont="1" applyFill="1" applyBorder="1" applyAlignment="1">
      <alignment horizontal="left" vertical="center" wrapText="1"/>
    </xf>
    <xf numFmtId="0" fontId="9" fillId="13" borderId="17" xfId="0" applyFont="1" applyFill="1" applyBorder="1" applyAlignment="1">
      <alignment horizontal="left" vertical="center" wrapText="1"/>
    </xf>
    <xf numFmtId="0" fontId="9" fillId="13" borderId="21" xfId="0" applyFont="1" applyFill="1" applyBorder="1" applyAlignment="1">
      <alignment horizontal="left" vertical="center" wrapText="1"/>
    </xf>
    <xf numFmtId="0" fontId="9" fillId="16" borderId="16" xfId="0" applyFont="1" applyFill="1" applyBorder="1" applyAlignment="1">
      <alignment horizontal="left" vertical="center" wrapText="1"/>
    </xf>
    <xf numFmtId="0" fontId="9" fillId="16" borderId="17" xfId="0" applyFont="1" applyFill="1" applyBorder="1" applyAlignment="1">
      <alignment horizontal="left" vertical="center" wrapText="1"/>
    </xf>
    <xf numFmtId="0" fontId="9" fillId="16" borderId="21" xfId="0" applyFont="1" applyFill="1" applyBorder="1" applyAlignment="1">
      <alignment horizontal="left" vertical="center" wrapText="1"/>
    </xf>
    <xf numFmtId="0" fontId="13" fillId="8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</cellXfs>
  <cellStyles count="2">
    <cellStyle name="百分比" xfId="1" builtinId="5"/>
    <cellStyle name="常规" xfId="0" builtinId="0"/>
  </cellStyles>
  <dxfs count="174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149937437055574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EE71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956733</xdr:colOff>
      <xdr:row>25</xdr:row>
      <xdr:rowOff>59267</xdr:rowOff>
    </xdr:from>
    <xdr:to>
      <xdr:col>48</xdr:col>
      <xdr:colOff>694351</xdr:colOff>
      <xdr:row>55</xdr:row>
      <xdr:rowOff>61619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55950" y="6170295"/>
          <a:ext cx="16105505" cy="5946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97</xdr:row>
      <xdr:rowOff>9525</xdr:rowOff>
    </xdr:from>
    <xdr:to>
      <xdr:col>16</xdr:col>
      <xdr:colOff>573405</xdr:colOff>
      <xdr:row>103</xdr:row>
      <xdr:rowOff>188641</xdr:rowOff>
    </xdr:to>
    <xdr:pic>
      <xdr:nvPicPr>
        <xdr:cNvPr id="7" name="图片 6" descr="C:\Users\user\Documents\Tencent Files\819379605\Image\Group\F0)850OEP6N42@]GDY}E4I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22605" y="19653885"/>
          <a:ext cx="5463540" cy="139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363855</xdr:colOff>
      <xdr:row>213</xdr:row>
      <xdr:rowOff>130175</xdr:rowOff>
    </xdr:from>
    <xdr:to>
      <xdr:col>19</xdr:col>
      <xdr:colOff>72390</xdr:colOff>
      <xdr:row>230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1755" y="43133645"/>
          <a:ext cx="6147435" cy="344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106680</xdr:colOff>
      <xdr:row>117</xdr:row>
      <xdr:rowOff>53340</xdr:rowOff>
    </xdr:from>
    <xdr:to>
      <xdr:col>13</xdr:col>
      <xdr:colOff>319444</xdr:colOff>
      <xdr:row>122</xdr:row>
      <xdr:rowOff>32221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32920" y="23740110"/>
          <a:ext cx="4571365" cy="969010"/>
        </a:xfrm>
        <a:prstGeom prst="rect">
          <a:avLst/>
        </a:prstGeom>
      </xdr:spPr>
    </xdr:pic>
    <xdr:clientData/>
  </xdr:twoCellAnchor>
  <xdr:twoCellAnchor editAs="oneCell">
    <xdr:from>
      <xdr:col>3</xdr:col>
      <xdr:colOff>3535679</xdr:colOff>
      <xdr:row>5</xdr:row>
      <xdr:rowOff>7620</xdr:rowOff>
    </xdr:from>
    <xdr:to>
      <xdr:col>10</xdr:col>
      <xdr:colOff>351784</xdr:colOff>
      <xdr:row>10</xdr:row>
      <xdr:rowOff>80366</xdr:rowOff>
    </xdr:to>
    <xdr:pic>
      <xdr:nvPicPr>
        <xdr:cNvPr id="5" name="图片 4" descr="C:\Users\81937\Documents\Tencent Files\819379605\Image\C2C\6VZF{%(4D4HMEB~~M85Q$19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30205" y="1120140"/>
          <a:ext cx="4184650" cy="110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160020</xdr:colOff>
      <xdr:row>242</xdr:row>
      <xdr:rowOff>83820</xdr:rowOff>
    </xdr:from>
    <xdr:to>
      <xdr:col>6</xdr:col>
      <xdr:colOff>241765</xdr:colOff>
      <xdr:row>244</xdr:row>
      <xdr:rowOff>30437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06100" y="48912780"/>
          <a:ext cx="1361905" cy="342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381000</xdr:colOff>
      <xdr:row>4</xdr:row>
      <xdr:rowOff>38100</xdr:rowOff>
    </xdr:from>
    <xdr:to>
      <xdr:col>37</xdr:col>
      <xdr:colOff>1276238</xdr:colOff>
      <xdr:row>12</xdr:row>
      <xdr:rowOff>96930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6800" y="1516380"/>
          <a:ext cx="894715" cy="1658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174</xdr:col>
      <xdr:colOff>68580</xdr:colOff>
      <xdr:row>3</xdr:row>
      <xdr:rowOff>99060</xdr:rowOff>
    </xdr:from>
    <xdr:to>
      <xdr:col>181</xdr:col>
      <xdr:colOff>137160</xdr:colOff>
      <xdr:row>3</xdr:row>
      <xdr:rowOff>771210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166900" y="758190"/>
          <a:ext cx="5128260" cy="6718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114</xdr:col>
      <xdr:colOff>243840</xdr:colOff>
      <xdr:row>69</xdr:row>
      <xdr:rowOff>184785</xdr:rowOff>
    </xdr:from>
    <xdr:to>
      <xdr:col>122</xdr:col>
      <xdr:colOff>198120</xdr:colOff>
      <xdr:row>86</xdr:row>
      <xdr:rowOff>188595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39940" y="16360140"/>
          <a:ext cx="5478780" cy="3390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198120</xdr:colOff>
      <xdr:row>27</xdr:row>
      <xdr:rowOff>129540</xdr:rowOff>
    </xdr:from>
    <xdr:to>
      <xdr:col>30</xdr:col>
      <xdr:colOff>453178</xdr:colOff>
      <xdr:row>43</xdr:row>
      <xdr:rowOff>138645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0" y="6286500"/>
          <a:ext cx="1489075" cy="3178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71152</xdr:colOff>
      <xdr:row>4</xdr:row>
      <xdr:rowOff>182880</xdr:rowOff>
    </xdr:from>
    <xdr:to>
      <xdr:col>22</xdr:col>
      <xdr:colOff>79083</xdr:colOff>
      <xdr:row>30</xdr:row>
      <xdr:rowOff>2879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0480" y="1432560"/>
          <a:ext cx="4945380" cy="4970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Y73"/>
  <sheetViews>
    <sheetView zoomScale="90" zoomScaleNormal="90" workbookViewId="0">
      <pane xSplit="1" ySplit="4" topLeftCell="C5" activePane="bottomRight" state="frozen"/>
      <selection pane="topRight"/>
      <selection pane="bottomLeft"/>
      <selection pane="bottomRight" activeCell="J13" sqref="J13"/>
    </sheetView>
  </sheetViews>
  <sheetFormatPr defaultColWidth="9" defaultRowHeight="15.6" x14ac:dyDescent="0.35"/>
  <cols>
    <col min="1" max="1" width="12.33203125" style="39" customWidth="1"/>
    <col min="2" max="2" width="14.44140625" style="39" hidden="1" customWidth="1"/>
    <col min="3" max="3" width="13.77734375" style="39" customWidth="1"/>
    <col min="4" max="4" width="14.109375" style="39" customWidth="1"/>
    <col min="5" max="5" width="20.33203125" style="39" customWidth="1"/>
    <col min="6" max="6" width="11.33203125" style="39" customWidth="1"/>
    <col min="7" max="10" width="12.44140625" style="39" customWidth="1"/>
    <col min="11" max="11" width="34.33203125" style="39" customWidth="1"/>
    <col min="12" max="12" width="12.109375" style="39" customWidth="1"/>
    <col min="13" max="13" width="18.88671875" style="39" customWidth="1"/>
    <col min="14" max="14" width="9.77734375" style="39" customWidth="1"/>
    <col min="15" max="15" width="23.6640625" style="39" customWidth="1"/>
    <col min="16" max="19" width="14.21875" style="39" customWidth="1"/>
    <col min="20" max="20" width="31.88671875" style="39" customWidth="1"/>
    <col min="21" max="22" width="14.21875" style="39" customWidth="1"/>
    <col min="23" max="23" width="15.5546875" style="39" customWidth="1"/>
    <col min="24" max="24" width="17.77734375" style="39" customWidth="1"/>
    <col min="25" max="25" width="31.44140625" style="39" customWidth="1"/>
    <col min="26" max="27" width="14.21875" style="39" customWidth="1"/>
    <col min="28" max="28" width="9.6640625" style="39" customWidth="1"/>
    <col min="29" max="29" width="13.21875" style="39" customWidth="1"/>
    <col min="30" max="30" width="11.44140625" style="39" customWidth="1"/>
    <col min="31" max="31" width="8" style="39" customWidth="1"/>
    <col min="32" max="32" width="9" style="170"/>
    <col min="33" max="33" width="13.109375" style="170" customWidth="1"/>
    <col min="34" max="34" width="10.6640625" style="579" customWidth="1"/>
    <col min="35" max="35" width="8.33203125" style="579" customWidth="1"/>
    <col min="36" max="36" width="11.33203125" style="579" customWidth="1"/>
    <col min="37" max="37" width="10.88671875" style="579" customWidth="1"/>
    <col min="38" max="38" width="10.21875" style="579" customWidth="1"/>
    <col min="39" max="39" width="7.6640625" style="579" customWidth="1"/>
    <col min="40" max="41" width="10.21875" style="579" customWidth="1"/>
    <col min="42" max="42" width="8.5546875" style="579" customWidth="1"/>
    <col min="43" max="43" width="10.77734375" style="579" customWidth="1"/>
    <col min="44" max="44" width="10.21875" style="579" customWidth="1"/>
    <col min="45" max="45" width="7.6640625" style="579" customWidth="1"/>
    <col min="46" max="47" width="10.21875" style="579" customWidth="1"/>
    <col min="48" max="48" width="8.5546875" style="579" customWidth="1"/>
    <col min="49" max="49" width="10.21875" style="579" customWidth="1"/>
    <col min="50" max="53" width="9.5546875" style="170" customWidth="1"/>
    <col min="54" max="54" width="8.21875" style="170" customWidth="1"/>
    <col min="55" max="65" width="9.5546875" style="170" customWidth="1"/>
    <col min="66" max="66" width="13.77734375" style="170" customWidth="1"/>
    <col min="67" max="83" width="8.88671875" style="170" customWidth="1"/>
    <col min="84" max="84" width="16.109375" style="229" customWidth="1"/>
    <col min="85" max="85" width="11" style="229" customWidth="1"/>
    <col min="86" max="86" width="9" style="229"/>
    <col min="87" max="87" width="12.5546875" style="229" customWidth="1"/>
    <col min="88" max="91" width="9.109375" style="229" customWidth="1"/>
    <col min="92" max="92" width="12" style="229" customWidth="1"/>
    <col min="93" max="93" width="9.21875" style="229" customWidth="1"/>
    <col min="94" max="95" width="9.109375" style="229" customWidth="1"/>
    <col min="96" max="96" width="11.88671875" style="229" customWidth="1"/>
    <col min="97" max="99" width="9.21875" style="229" customWidth="1"/>
    <col min="100" max="100" width="10.44140625" style="229" customWidth="1"/>
    <col min="101" max="103" width="9.21875" style="229" customWidth="1"/>
  </cols>
  <sheetData>
    <row r="1" spans="1:103" s="1" customFormat="1" ht="16.2" customHeight="1" x14ac:dyDescent="0.4">
      <c r="A1" s="2" t="s">
        <v>0</v>
      </c>
      <c r="B1" s="2" t="s">
        <v>0</v>
      </c>
      <c r="C1" s="2" t="s">
        <v>1</v>
      </c>
      <c r="D1" s="51" t="s">
        <v>1</v>
      </c>
      <c r="E1" s="51" t="s">
        <v>0</v>
      </c>
      <c r="F1" s="323" t="s">
        <v>1</v>
      </c>
      <c r="G1" s="2" t="s">
        <v>1</v>
      </c>
      <c r="H1" s="2" t="s">
        <v>0</v>
      </c>
      <c r="I1" s="2" t="s">
        <v>0</v>
      </c>
      <c r="J1" s="2" t="s">
        <v>1</v>
      </c>
      <c r="K1" s="51" t="s">
        <v>0</v>
      </c>
      <c r="L1" s="51" t="s">
        <v>0</v>
      </c>
      <c r="M1" s="2" t="s">
        <v>0</v>
      </c>
      <c r="N1" s="2" t="s">
        <v>1</v>
      </c>
      <c r="O1" s="2" t="s">
        <v>0</v>
      </c>
      <c r="P1" s="2" t="s">
        <v>0</v>
      </c>
      <c r="Q1" s="51" t="s">
        <v>0</v>
      </c>
      <c r="R1" s="51" t="s">
        <v>0</v>
      </c>
      <c r="S1" s="51" t="s">
        <v>0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39"/>
      <c r="AA1" s="636" t="s">
        <v>2</v>
      </c>
      <c r="AB1" s="636"/>
      <c r="AC1" s="636"/>
      <c r="AD1" s="636"/>
      <c r="AE1" s="636"/>
      <c r="AF1" s="636"/>
      <c r="AG1" s="636"/>
      <c r="AH1" s="636"/>
      <c r="AI1" s="636"/>
      <c r="AJ1" s="594"/>
      <c r="AK1" s="594"/>
      <c r="AL1" s="594"/>
      <c r="AM1" s="594"/>
      <c r="AN1" s="594"/>
      <c r="AO1" s="594"/>
      <c r="AP1" s="594"/>
      <c r="AQ1" s="594"/>
      <c r="AR1" s="594"/>
      <c r="AS1" s="594"/>
      <c r="AT1" s="594"/>
      <c r="AU1" s="594"/>
      <c r="AV1" s="594"/>
      <c r="AW1" s="594"/>
      <c r="AY1" s="1" t="s">
        <v>3</v>
      </c>
      <c r="AZ1" s="628" t="s">
        <v>4</v>
      </c>
      <c r="BA1" s="629"/>
      <c r="BB1" s="1">
        <f>$A5*BB5</f>
        <v>1000</v>
      </c>
      <c r="BC1" s="634" t="s">
        <v>5</v>
      </c>
      <c r="BD1" s="635"/>
      <c r="BE1" s="1">
        <v>1200</v>
      </c>
      <c r="BF1" s="630" t="s">
        <v>6</v>
      </c>
      <c r="BG1" s="631"/>
      <c r="BH1" s="1">
        <f>$A5*BH5</f>
        <v>1000</v>
      </c>
      <c r="BI1" s="630" t="s">
        <v>7</v>
      </c>
      <c r="BJ1" s="631"/>
      <c r="BK1" s="1">
        <v>1200</v>
      </c>
      <c r="BL1" s="632" t="s">
        <v>8</v>
      </c>
      <c r="BM1" s="633"/>
      <c r="BN1" s="610">
        <f>A9*20+100000</f>
        <v>102000</v>
      </c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39" t="s">
        <v>9</v>
      </c>
      <c r="CG1" s="39">
        <v>50</v>
      </c>
      <c r="CH1" s="39"/>
      <c r="CI1" s="39" t="s">
        <v>10</v>
      </c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</row>
    <row r="2" spans="1:103" s="1" customFormat="1" ht="16.2" x14ac:dyDescent="0.4">
      <c r="A2" s="2" t="s">
        <v>11</v>
      </c>
      <c r="B2" s="2" t="s">
        <v>11</v>
      </c>
      <c r="C2" s="2" t="s">
        <v>12</v>
      </c>
      <c r="D2" s="2" t="s">
        <v>13</v>
      </c>
      <c r="E2" s="51" t="s">
        <v>11</v>
      </c>
      <c r="F2" s="323" t="s">
        <v>11</v>
      </c>
      <c r="G2" s="2" t="s">
        <v>11</v>
      </c>
      <c r="H2" s="2" t="s">
        <v>11</v>
      </c>
      <c r="I2" s="2" t="s">
        <v>11</v>
      </c>
      <c r="J2" s="2" t="s">
        <v>11</v>
      </c>
      <c r="K2" s="51" t="s">
        <v>12</v>
      </c>
      <c r="L2" s="51" t="s">
        <v>12</v>
      </c>
      <c r="M2" s="2" t="s">
        <v>11</v>
      </c>
      <c r="N2" s="2" t="s">
        <v>11</v>
      </c>
      <c r="O2" s="2" t="s">
        <v>12</v>
      </c>
      <c r="P2" s="2" t="s">
        <v>12</v>
      </c>
      <c r="Q2" s="51" t="s">
        <v>12</v>
      </c>
      <c r="R2" s="51" t="s">
        <v>12</v>
      </c>
      <c r="S2" s="51" t="s">
        <v>11</v>
      </c>
      <c r="T2" s="2" t="s">
        <v>14</v>
      </c>
      <c r="U2" s="2" t="s">
        <v>14</v>
      </c>
      <c r="V2" s="2" t="s">
        <v>14</v>
      </c>
      <c r="W2" s="2" t="s">
        <v>14</v>
      </c>
      <c r="X2" s="2" t="s">
        <v>14</v>
      </c>
      <c r="Y2" s="2" t="s">
        <v>14</v>
      </c>
      <c r="Z2" s="39"/>
      <c r="AA2" s="636"/>
      <c r="AB2" s="636"/>
      <c r="AC2" s="636"/>
      <c r="AD2" s="636"/>
      <c r="AE2" s="636"/>
      <c r="AF2" s="636"/>
      <c r="AG2" s="636"/>
      <c r="AH2" s="636"/>
      <c r="AI2" s="636"/>
      <c r="AJ2" s="594"/>
      <c r="AK2" s="594"/>
      <c r="AL2" s="594"/>
      <c r="AM2" s="594"/>
      <c r="AN2" s="594"/>
      <c r="AO2" s="594"/>
      <c r="AP2" s="594"/>
      <c r="AQ2" s="594"/>
      <c r="AR2" s="594"/>
      <c r="AS2" s="594"/>
      <c r="AT2" s="594"/>
      <c r="AU2" s="594"/>
      <c r="AV2" s="594"/>
      <c r="AW2" s="594"/>
      <c r="AY2" s="1" t="s">
        <v>15</v>
      </c>
      <c r="AZ2" s="629"/>
      <c r="BA2" s="629"/>
      <c r="BB2" s="1">
        <f>$A10*BB10</f>
        <v>10000</v>
      </c>
      <c r="BC2" s="635"/>
      <c r="BD2" s="635"/>
      <c r="BE2" s="1">
        <v>12000</v>
      </c>
      <c r="BF2" s="631"/>
      <c r="BG2" s="631"/>
      <c r="BH2" s="1">
        <f>$A10*BH10</f>
        <v>10000</v>
      </c>
      <c r="BI2" s="631"/>
      <c r="BJ2" s="631"/>
      <c r="BK2" s="1">
        <v>12000</v>
      </c>
      <c r="BL2" s="633"/>
      <c r="BM2" s="633"/>
      <c r="BN2" s="610">
        <f>A14*20+1000000</f>
        <v>1020000</v>
      </c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39" t="s">
        <v>16</v>
      </c>
      <c r="CG2" s="39">
        <v>100</v>
      </c>
      <c r="CH2" s="39"/>
      <c r="CI2" s="624" t="s">
        <v>17</v>
      </c>
      <c r="CJ2" s="624"/>
      <c r="CK2" s="624"/>
      <c r="CL2" s="624"/>
      <c r="CM2" s="39"/>
      <c r="CN2" s="625" t="s">
        <v>18</v>
      </c>
      <c r="CO2" s="625"/>
      <c r="CP2" s="625"/>
      <c r="CQ2" s="625"/>
      <c r="CR2" s="625"/>
      <c r="CS2" s="625"/>
      <c r="CT2" s="625"/>
      <c r="CU2" s="625"/>
      <c r="CV2" s="625"/>
      <c r="CW2" s="625"/>
      <c r="CX2" s="625"/>
      <c r="CY2" s="625"/>
    </row>
    <row r="3" spans="1:103" s="1" customFormat="1" ht="16.2" x14ac:dyDescent="0.4">
      <c r="A3" s="2" t="s">
        <v>19</v>
      </c>
      <c r="B3" s="2" t="s">
        <v>20</v>
      </c>
      <c r="C3" s="3" t="s">
        <v>21</v>
      </c>
      <c r="D3" s="3" t="s">
        <v>22</v>
      </c>
      <c r="E3" s="52" t="s">
        <v>23</v>
      </c>
      <c r="F3" s="580" t="s">
        <v>24</v>
      </c>
      <c r="G3" s="473" t="s">
        <v>25</v>
      </c>
      <c r="H3" s="473" t="s">
        <v>26</v>
      </c>
      <c r="I3" s="473" t="s">
        <v>27</v>
      </c>
      <c r="J3" s="473" t="s">
        <v>28</v>
      </c>
      <c r="K3" s="51" t="s">
        <v>29</v>
      </c>
      <c r="L3" s="51" t="s">
        <v>30</v>
      </c>
      <c r="M3" s="2" t="s">
        <v>31</v>
      </c>
      <c r="N3" s="323" t="s">
        <v>32</v>
      </c>
      <c r="O3" s="323" t="s">
        <v>33</v>
      </c>
      <c r="P3" s="323" t="s">
        <v>34</v>
      </c>
      <c r="Q3" s="51" t="s">
        <v>35</v>
      </c>
      <c r="R3" s="51" t="s">
        <v>36</v>
      </c>
      <c r="S3" s="51" t="s">
        <v>37</v>
      </c>
      <c r="T3" s="51" t="s">
        <v>38</v>
      </c>
      <c r="U3" s="51" t="s">
        <v>39</v>
      </c>
      <c r="V3" s="51" t="s">
        <v>40</v>
      </c>
      <c r="W3" s="2" t="s">
        <v>41</v>
      </c>
      <c r="X3" s="2" t="s">
        <v>42</v>
      </c>
      <c r="Y3" s="2" t="s">
        <v>43</v>
      </c>
      <c r="Z3" s="39"/>
      <c r="AA3" s="626" t="s">
        <v>39</v>
      </c>
      <c r="AB3" s="626"/>
      <c r="AC3" s="626"/>
      <c r="AD3" s="39"/>
      <c r="AE3" s="39"/>
      <c r="AF3" s="626" t="s">
        <v>38</v>
      </c>
      <c r="AG3" s="626"/>
      <c r="AH3" s="626"/>
      <c r="AI3" s="594"/>
      <c r="AJ3" s="594"/>
      <c r="AK3" s="594"/>
      <c r="AL3" s="594"/>
      <c r="AM3" s="594"/>
      <c r="AN3" s="594"/>
      <c r="AO3" s="594"/>
      <c r="AP3" s="594"/>
      <c r="AQ3" s="594"/>
      <c r="AR3" s="594"/>
      <c r="AS3" s="594"/>
      <c r="AT3" s="594"/>
      <c r="AU3" s="594"/>
      <c r="AV3" s="594"/>
      <c r="AW3" s="594"/>
      <c r="AX3" s="603"/>
      <c r="AY3" s="603" t="s">
        <v>44</v>
      </c>
      <c r="AZ3" s="629"/>
      <c r="BA3" s="629"/>
      <c r="BB3" s="1">
        <f>$A15*BB15</f>
        <v>100000</v>
      </c>
      <c r="BC3" s="635"/>
      <c r="BD3" s="635"/>
      <c r="BE3" s="1">
        <v>120000</v>
      </c>
      <c r="BF3" s="631"/>
      <c r="BG3" s="631"/>
      <c r="BH3" s="1">
        <f>$A15*BH15</f>
        <v>100000</v>
      </c>
      <c r="BI3" s="631"/>
      <c r="BJ3" s="631"/>
      <c r="BK3" s="1">
        <v>120000</v>
      </c>
      <c r="BL3" s="633"/>
      <c r="BM3" s="633"/>
      <c r="BN3" s="610">
        <f>A19*20+10000000</f>
        <v>10200000</v>
      </c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39" t="s">
        <v>45</v>
      </c>
      <c r="CG3" s="39">
        <v>150</v>
      </c>
      <c r="CH3" s="39"/>
      <c r="CI3" s="627" t="s">
        <v>46</v>
      </c>
      <c r="CJ3" s="627"/>
      <c r="CK3" s="627"/>
      <c r="CL3" s="627"/>
      <c r="CM3" s="39"/>
      <c r="CN3" s="39" t="s">
        <v>47</v>
      </c>
      <c r="CO3" s="39"/>
      <c r="CP3" s="39"/>
      <c r="CQ3" s="39"/>
      <c r="CR3" s="39" t="s">
        <v>48</v>
      </c>
      <c r="CS3" s="39"/>
      <c r="CT3" s="39"/>
      <c r="CU3" s="39"/>
      <c r="CV3" s="39" t="s">
        <v>49</v>
      </c>
      <c r="CW3" s="39"/>
      <c r="CX3" s="39"/>
      <c r="CY3" s="39"/>
    </row>
    <row r="4" spans="1:103" s="1" customFormat="1" ht="105.6" x14ac:dyDescent="0.4">
      <c r="A4" s="60" t="s">
        <v>50</v>
      </c>
      <c r="B4" s="60" t="s">
        <v>51</v>
      </c>
      <c r="C4" s="60" t="s">
        <v>52</v>
      </c>
      <c r="D4" s="60" t="s">
        <v>53</v>
      </c>
      <c r="E4" s="581" t="s">
        <v>54</v>
      </c>
      <c r="F4" s="582" t="s">
        <v>55</v>
      </c>
      <c r="G4" s="582" t="s">
        <v>56</v>
      </c>
      <c r="H4" s="583" t="s">
        <v>57</v>
      </c>
      <c r="I4" s="583" t="s">
        <v>58</v>
      </c>
      <c r="J4" s="583" t="s">
        <v>59</v>
      </c>
      <c r="K4" s="483" t="s">
        <v>60</v>
      </c>
      <c r="L4" s="483" t="s">
        <v>61</v>
      </c>
      <c r="M4" s="60" t="s">
        <v>62</v>
      </c>
      <c r="N4" s="60" t="s">
        <v>63</v>
      </c>
      <c r="O4" s="60" t="s">
        <v>64</v>
      </c>
      <c r="P4" s="60" t="s">
        <v>65</v>
      </c>
      <c r="Q4" s="60" t="s">
        <v>66</v>
      </c>
      <c r="R4" s="60" t="s">
        <v>67</v>
      </c>
      <c r="S4" s="60" t="s">
        <v>68</v>
      </c>
      <c r="T4" s="60" t="s">
        <v>69</v>
      </c>
      <c r="U4" s="60" t="s">
        <v>70</v>
      </c>
      <c r="V4" s="60" t="s">
        <v>71</v>
      </c>
      <c r="W4" s="60" t="s">
        <v>72</v>
      </c>
      <c r="X4" s="60" t="s">
        <v>73</v>
      </c>
      <c r="Y4" s="60" t="s">
        <v>74</v>
      </c>
      <c r="Z4" s="39"/>
      <c r="AA4" s="586" t="s">
        <v>75</v>
      </c>
      <c r="AB4" s="587" t="s">
        <v>76</v>
      </c>
      <c r="AC4" s="588" t="s">
        <v>77</v>
      </c>
      <c r="AD4" s="39"/>
      <c r="AE4" s="589" t="s">
        <v>78</v>
      </c>
      <c r="AF4" s="586" t="s">
        <v>75</v>
      </c>
      <c r="AG4" s="586" t="s">
        <v>76</v>
      </c>
      <c r="AH4" s="588" t="s">
        <v>77</v>
      </c>
      <c r="AI4" s="102" t="s">
        <v>79</v>
      </c>
      <c r="AJ4" s="595" t="s">
        <v>80</v>
      </c>
      <c r="AK4" s="64" t="s">
        <v>81</v>
      </c>
      <c r="AL4" s="594"/>
      <c r="AM4" s="594"/>
      <c r="AN4" s="594"/>
      <c r="AO4" s="594"/>
      <c r="AP4" s="594"/>
      <c r="AQ4" s="594"/>
      <c r="AR4" s="594"/>
      <c r="AS4" s="594"/>
      <c r="AT4" s="594"/>
      <c r="AU4" s="594"/>
      <c r="AV4" s="594"/>
      <c r="AW4" s="594"/>
      <c r="AY4" s="56" t="s">
        <v>82</v>
      </c>
      <c r="AZ4" s="586" t="s">
        <v>83</v>
      </c>
      <c r="BA4" s="586" t="s">
        <v>76</v>
      </c>
      <c r="BB4" s="588" t="s">
        <v>84</v>
      </c>
      <c r="BC4" s="83" t="s">
        <v>85</v>
      </c>
      <c r="BD4" s="598" t="s">
        <v>86</v>
      </c>
      <c r="BE4" s="609" t="s">
        <v>87</v>
      </c>
      <c r="BF4" s="83" t="s">
        <v>88</v>
      </c>
      <c r="BG4" s="598" t="s">
        <v>86</v>
      </c>
      <c r="BH4" s="598" t="s">
        <v>89</v>
      </c>
      <c r="BI4" s="83" t="s">
        <v>90</v>
      </c>
      <c r="BJ4" s="598" t="s">
        <v>86</v>
      </c>
      <c r="BK4" s="598" t="s">
        <v>89</v>
      </c>
      <c r="BL4" s="83" t="s">
        <v>91</v>
      </c>
      <c r="BM4" s="598" t="s">
        <v>86</v>
      </c>
      <c r="BN4" s="609" t="s">
        <v>92</v>
      </c>
      <c r="BO4" s="595"/>
      <c r="BP4" s="64"/>
      <c r="BQ4" s="594"/>
      <c r="BR4" s="594"/>
      <c r="BS4" s="594"/>
      <c r="BT4" s="611"/>
      <c r="BU4" s="611"/>
      <c r="BV4" s="611"/>
      <c r="BW4" s="611"/>
      <c r="BX4" s="611"/>
      <c r="BY4" s="611"/>
      <c r="BZ4" s="611"/>
      <c r="CA4" s="611"/>
      <c r="CB4" s="611"/>
      <c r="CC4" s="611"/>
      <c r="CD4" s="611"/>
      <c r="CE4" s="611"/>
      <c r="CH4" s="39"/>
      <c r="CI4" s="612" t="s">
        <v>93</v>
      </c>
      <c r="CJ4" s="613" t="s">
        <v>94</v>
      </c>
      <c r="CK4" s="613" t="s">
        <v>95</v>
      </c>
      <c r="CL4" s="613" t="s">
        <v>96</v>
      </c>
      <c r="CM4" s="308"/>
      <c r="CN4" s="616" t="s">
        <v>97</v>
      </c>
      <c r="CO4" s="617" t="s">
        <v>98</v>
      </c>
      <c r="CP4" s="617" t="s">
        <v>99</v>
      </c>
      <c r="CQ4" s="617" t="s">
        <v>100</v>
      </c>
      <c r="CR4" s="612" t="s">
        <v>97</v>
      </c>
      <c r="CS4" s="612" t="s">
        <v>98</v>
      </c>
      <c r="CT4" s="612" t="s">
        <v>99</v>
      </c>
      <c r="CU4" s="612" t="s">
        <v>100</v>
      </c>
      <c r="CV4" s="618" t="s">
        <v>97</v>
      </c>
      <c r="CW4" s="618" t="s">
        <v>98</v>
      </c>
      <c r="CX4" s="618" t="s">
        <v>99</v>
      </c>
      <c r="CY4" s="618" t="s">
        <v>100</v>
      </c>
    </row>
    <row r="5" spans="1:103" ht="15.6" customHeight="1" x14ac:dyDescent="0.35">
      <c r="A5" s="63">
        <v>20</v>
      </c>
      <c r="B5" s="39">
        <v>0</v>
      </c>
      <c r="C5" s="39">
        <v>1</v>
      </c>
      <c r="D5" s="39">
        <v>0</v>
      </c>
      <c r="E5" s="39">
        <v>-1</v>
      </c>
      <c r="F5" s="39">
        <v>1005</v>
      </c>
      <c r="G5" s="39">
        <f t="shared" ref="G5:G24" si="0">A5*5000</f>
        <v>100000</v>
      </c>
      <c r="H5" s="39">
        <v>100</v>
      </c>
      <c r="I5" s="39">
        <v>100</v>
      </c>
      <c r="J5" s="39">
        <v>0</v>
      </c>
      <c r="M5" s="39">
        <v>1</v>
      </c>
      <c r="N5" s="39">
        <f>ROW(A5)-4</f>
        <v>1</v>
      </c>
      <c r="T5" s="39">
        <f t="shared" ref="T5:T19" si="1">AF5</f>
        <v>3.3148</v>
      </c>
      <c r="U5" s="39">
        <f>AA5</f>
        <v>0.86109999999999998</v>
      </c>
      <c r="V5" s="584" t="str">
        <f>AZ5&amp;","&amp;BC5&amp;","&amp;BF5&amp;","&amp;BI5&amp;","&amp;BL5</f>
        <v>2,0.88,2,0.88,2.02</v>
      </c>
      <c r="W5" s="39" t="str">
        <f t="shared" ref="W5:W24" si="2">CJ5&amp;","&amp;CK5&amp;","&amp;CL5</f>
        <v>1,1,0.001</v>
      </c>
      <c r="Y5" s="39" t="str">
        <f t="shared" ref="Y5:Y24" si="3">"[["&amp;CO5&amp;","&amp;CP5&amp;","&amp;CQ5&amp;"],["&amp;CS5&amp;","&amp;CT5&amp;","&amp;CU5&amp;"],["&amp;CW5&amp;","&amp;CX5&amp;","&amp;CY5&amp;"]]"</f>
        <v>[[0,0,0],[0,0,0],[0,0,0]]</v>
      </c>
      <c r="AA5" s="47">
        <f>ROUND((0-$AD$5)/($A5*AC5*60*6)+1,4)</f>
        <v>0.86109999999999998</v>
      </c>
      <c r="AB5" s="48">
        <f t="shared" ref="AB5:AB24" si="4">A5*(1-AA5)*6</f>
        <v>16.668000000000003</v>
      </c>
      <c r="AC5" s="590">
        <v>10</v>
      </c>
      <c r="AD5" s="39">
        <v>10000</v>
      </c>
      <c r="AE5" s="39">
        <f>10*60*6</f>
        <v>3600</v>
      </c>
      <c r="AF5" s="1">
        <f>ROUND(($AJ$5)/(AH5*60*A5*6)+1,4)</f>
        <v>3.3148</v>
      </c>
      <c r="AG5" s="1">
        <f t="shared" ref="AG5:AG19" si="5">(AF5-1)*A5*6</f>
        <v>277.77600000000001</v>
      </c>
      <c r="AH5" s="79">
        <v>6</v>
      </c>
      <c r="AI5" s="596" t="s">
        <v>101</v>
      </c>
      <c r="AJ5" s="68">
        <v>100000</v>
      </c>
      <c r="AK5" s="597" t="s">
        <v>102</v>
      </c>
      <c r="AL5" s="83"/>
      <c r="AM5" s="83"/>
      <c r="AN5" s="598" t="s">
        <v>103</v>
      </c>
      <c r="AO5" s="83">
        <f>AH9+AH14+AH19+AH24+AK24+AN24+AQ24+AT24+AW24</f>
        <v>24</v>
      </c>
      <c r="AP5" s="83">
        <f>AH5+AH10+AH15+AH20+AK20+AN20+AQ20+AT20+AW20</f>
        <v>43</v>
      </c>
      <c r="AQ5" s="83"/>
      <c r="AR5" s="83"/>
      <c r="AS5" s="83"/>
      <c r="AT5" s="83"/>
      <c r="AU5" s="83"/>
      <c r="AV5" s="83"/>
      <c r="AW5" s="83"/>
      <c r="AY5" s="1">
        <f t="shared" ref="AY5:AY19" si="6">BB5+BE5+BH5+BK5+BN5</f>
        <v>6100</v>
      </c>
      <c r="AZ5" s="6">
        <f>ROUND((BB$1)/(BB5*$A5)+1,4)</f>
        <v>2</v>
      </c>
      <c r="BA5" s="6">
        <f>(AZ5-1)*$A5*6</f>
        <v>120</v>
      </c>
      <c r="BB5" s="604">
        <v>50</v>
      </c>
      <c r="BC5" s="6">
        <f>ROUND((-BE$1)/(BE5*$A5)+1,4)</f>
        <v>0.88</v>
      </c>
      <c r="BD5" s="6">
        <f>(BC5-1)*$A5*6</f>
        <v>-14.399999999999999</v>
      </c>
      <c r="BE5" s="604">
        <v>500</v>
      </c>
      <c r="BF5" s="6">
        <f>ROUND((BH$1)/(BH5*$A5)+1,4)</f>
        <v>2</v>
      </c>
      <c r="BG5" s="6">
        <f>(BF5-1)*$A5*6</f>
        <v>120</v>
      </c>
      <c r="BH5" s="604">
        <v>50</v>
      </c>
      <c r="BI5" s="6">
        <f>ROUND((-BK$1)/(BK5*$A5)+1,4)</f>
        <v>0.88</v>
      </c>
      <c r="BJ5" s="6">
        <f>(BI5-1)*$A5*6</f>
        <v>-14.399999999999999</v>
      </c>
      <c r="BK5" s="604">
        <v>500</v>
      </c>
      <c r="BL5" s="6">
        <f>ROUND((BN$1)/(BN5*$A5)+1,4)</f>
        <v>2.02</v>
      </c>
      <c r="BM5" s="6">
        <f>(BL5-1)*$A5*6</f>
        <v>122.39999999999999</v>
      </c>
      <c r="BN5" s="604">
        <v>5000</v>
      </c>
      <c r="BO5" s="68"/>
      <c r="BP5" s="597"/>
      <c r="BQ5" s="83"/>
      <c r="BR5" s="83"/>
      <c r="BS5" s="83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39" t="s">
        <v>104</v>
      </c>
      <c r="CG5" s="614">
        <v>0.01</v>
      </c>
      <c r="CH5" s="39"/>
      <c r="CI5" s="615">
        <f t="shared" ref="CI5:CI24" si="7">$CG$2*$CG$5/$CG$6*A5</f>
        <v>1E-3</v>
      </c>
      <c r="CJ5" s="39">
        <v>1</v>
      </c>
      <c r="CK5" s="39">
        <v>1</v>
      </c>
      <c r="CL5" s="615">
        <f t="shared" ref="CL5:CL24" si="8">ROUND(CI5/CJ5,6)</f>
        <v>1E-3</v>
      </c>
      <c r="CM5" s="39"/>
      <c r="CN5" s="62">
        <f t="shared" ref="CN5:CN24" si="9">A5*$CG$1</f>
        <v>1000</v>
      </c>
      <c r="CO5" s="62">
        <v>0</v>
      </c>
      <c r="CP5" s="62">
        <v>0</v>
      </c>
      <c r="CQ5" s="62">
        <v>0</v>
      </c>
      <c r="CR5" s="62">
        <f t="shared" ref="CR5:CR24" si="10">A5*$CG$2</f>
        <v>2000</v>
      </c>
      <c r="CS5" s="62">
        <v>0</v>
      </c>
      <c r="CT5" s="62">
        <v>0</v>
      </c>
      <c r="CU5" s="62">
        <v>0</v>
      </c>
      <c r="CV5" s="62">
        <f t="shared" ref="CV5:CV24" si="11">A5*$CG$3</f>
        <v>3000</v>
      </c>
      <c r="CW5" s="62">
        <v>0</v>
      </c>
      <c r="CX5" s="62">
        <v>0</v>
      </c>
      <c r="CY5" s="62">
        <v>0</v>
      </c>
    </row>
    <row r="6" spans="1:103" x14ac:dyDescent="0.35">
      <c r="A6" s="63">
        <v>40</v>
      </c>
      <c r="B6" s="39">
        <v>0</v>
      </c>
      <c r="C6" s="39">
        <v>1</v>
      </c>
      <c r="D6" s="39">
        <v>0</v>
      </c>
      <c r="E6" s="39">
        <v>-1</v>
      </c>
      <c r="F6" s="39">
        <v>1005</v>
      </c>
      <c r="G6" s="39">
        <f t="shared" si="0"/>
        <v>200000</v>
      </c>
      <c r="H6" s="39">
        <v>100</v>
      </c>
      <c r="I6" s="39">
        <v>100</v>
      </c>
      <c r="J6" s="39">
        <v>0</v>
      </c>
      <c r="M6" s="39">
        <v>1</v>
      </c>
      <c r="N6" s="39">
        <f t="shared" ref="N6:N24" si="12">ROW(A6)-4</f>
        <v>2</v>
      </c>
      <c r="T6" s="39">
        <f t="shared" si="1"/>
        <v>2.2625999999999999</v>
      </c>
      <c r="U6" s="39">
        <f t="shared" ref="U6:U24" si="13">AA6</f>
        <v>0.86109999999999998</v>
      </c>
      <c r="V6" s="584" t="str">
        <f t="shared" ref="V6:V19" si="14">AZ6&amp;","&amp;BC6&amp;","&amp;BF6&amp;","&amp;BI6&amp;","&amp;BL6</f>
        <v>1.5882,0.9294,1.5882,0.9294,1.6</v>
      </c>
      <c r="W6" s="39" t="str">
        <f t="shared" si="2"/>
        <v>1,1,0.002</v>
      </c>
      <c r="Y6" s="39" t="str">
        <f t="shared" si="3"/>
        <v>[[0,0,0],[0,0,0],[0,0,0]]</v>
      </c>
      <c r="AA6" s="10">
        <f t="shared" ref="AA6:AA9" si="15">ROUND((0-$AD$5)/($A6*AC6*60*6)+1,4)</f>
        <v>0.86109999999999998</v>
      </c>
      <c r="AB6" s="11">
        <f t="shared" si="4"/>
        <v>33.336000000000006</v>
      </c>
      <c r="AC6" s="591">
        <f>AC$5*(A$5/A6)</f>
        <v>5</v>
      </c>
      <c r="AF6" s="1">
        <f>ROUND(($AJ$5)/(AH6*60*A6*6)+1,4)</f>
        <v>2.2625999999999999</v>
      </c>
      <c r="AG6" s="1">
        <f t="shared" si="5"/>
        <v>303.024</v>
      </c>
      <c r="AH6" s="79">
        <f>AH5-0.5</f>
        <v>5.5</v>
      </c>
      <c r="AI6" s="596" t="s">
        <v>105</v>
      </c>
      <c r="AJ6" s="68">
        <v>1000000</v>
      </c>
      <c r="AK6" s="597" t="s">
        <v>106</v>
      </c>
      <c r="AL6" s="83"/>
      <c r="AM6" s="83"/>
      <c r="AN6" s="598" t="s">
        <v>107</v>
      </c>
      <c r="AO6" s="83">
        <f>AH9+AH14+AH19</f>
        <v>13</v>
      </c>
      <c r="AP6" s="83"/>
      <c r="AQ6" s="83"/>
      <c r="AR6" s="83"/>
      <c r="AS6" s="83"/>
      <c r="AT6" s="83"/>
      <c r="AU6" s="83"/>
      <c r="AV6" s="83"/>
      <c r="AW6" s="83"/>
      <c r="AY6" s="1">
        <f t="shared" si="6"/>
        <v>5185</v>
      </c>
      <c r="AZ6" s="6">
        <f t="shared" ref="AZ6:AZ9" si="16">ROUND((BB$1)/(BB6*$A6)+1,4)</f>
        <v>1.5882000000000001</v>
      </c>
      <c r="BA6" s="6">
        <f t="shared" ref="BA6:BA19" si="17">(AZ6-1)*$A6*6</f>
        <v>141.16800000000001</v>
      </c>
      <c r="BB6" s="604">
        <f>BB5-7.5</f>
        <v>42.5</v>
      </c>
      <c r="BC6" s="6">
        <f t="shared" ref="BC6:BC9" si="18">ROUND((-BE$1)/(BE6*$A6)+1,4)</f>
        <v>0.9294</v>
      </c>
      <c r="BD6" s="6">
        <f t="shared" ref="BD6:BD10" si="19">(BC6-1)*$A6*6</f>
        <v>-16.943999999999999</v>
      </c>
      <c r="BE6" s="604">
        <f>BE5-75</f>
        <v>425</v>
      </c>
      <c r="BF6" s="6">
        <f t="shared" ref="BF6:BF9" si="20">ROUND((BH$1)/(BH6*$A6)+1,4)</f>
        <v>1.5882000000000001</v>
      </c>
      <c r="BG6" s="6">
        <f t="shared" ref="BG6:BG19" si="21">(BF6-1)*$A6*6</f>
        <v>141.16800000000001</v>
      </c>
      <c r="BH6" s="604">
        <f>BH5-7.5</f>
        <v>42.5</v>
      </c>
      <c r="BI6" s="6">
        <f t="shared" ref="BI6:BI9" si="22">ROUND((-BK$1)/(BK6*$A6)+1,4)</f>
        <v>0.9294</v>
      </c>
      <c r="BJ6" s="6">
        <f t="shared" ref="BJ6:BJ10" si="23">(BI6-1)*$A6*6</f>
        <v>-16.943999999999999</v>
      </c>
      <c r="BK6" s="604">
        <f>BK5-75</f>
        <v>425</v>
      </c>
      <c r="BL6" s="6">
        <f t="shared" ref="BL6:BL9" si="24">ROUND((BN$1)/(BN6*$A6)+1,4)</f>
        <v>1.6</v>
      </c>
      <c r="BM6" s="6">
        <f t="shared" ref="BM6:BM19" si="25">(BL6-1)*$A6*6</f>
        <v>144.00000000000003</v>
      </c>
      <c r="BN6" s="604">
        <f>BN5-750</f>
        <v>4250</v>
      </c>
      <c r="BO6" s="68"/>
      <c r="BP6" s="597"/>
      <c r="BQ6" s="83"/>
      <c r="BR6" s="83"/>
      <c r="BS6" s="83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39" t="s">
        <v>108</v>
      </c>
      <c r="CG6" s="71">
        <v>20000</v>
      </c>
      <c r="CH6" s="39"/>
      <c r="CI6" s="615">
        <f t="shared" si="7"/>
        <v>2E-3</v>
      </c>
      <c r="CJ6" s="39">
        <v>1</v>
      </c>
      <c r="CK6" s="39">
        <v>1</v>
      </c>
      <c r="CL6" s="615">
        <f t="shared" si="8"/>
        <v>2E-3</v>
      </c>
      <c r="CM6" s="39"/>
      <c r="CN6" s="62">
        <f t="shared" si="9"/>
        <v>2000</v>
      </c>
      <c r="CO6" s="62">
        <v>0</v>
      </c>
      <c r="CP6" s="62">
        <v>0</v>
      </c>
      <c r="CQ6" s="62">
        <v>0</v>
      </c>
      <c r="CR6" s="62">
        <f t="shared" si="10"/>
        <v>4000</v>
      </c>
      <c r="CS6" s="62">
        <v>0</v>
      </c>
      <c r="CT6" s="62">
        <v>0</v>
      </c>
      <c r="CU6" s="62">
        <v>0</v>
      </c>
      <c r="CV6" s="62">
        <f t="shared" si="11"/>
        <v>6000</v>
      </c>
      <c r="CW6" s="62">
        <v>0</v>
      </c>
      <c r="CX6" s="62">
        <v>0</v>
      </c>
      <c r="CY6" s="62">
        <v>0</v>
      </c>
    </row>
    <row r="7" spans="1:103" x14ac:dyDescent="0.35">
      <c r="A7" s="63">
        <v>60</v>
      </c>
      <c r="B7" s="39">
        <v>0</v>
      </c>
      <c r="C7" s="39">
        <v>1</v>
      </c>
      <c r="D7" s="39">
        <v>0</v>
      </c>
      <c r="E7" s="39">
        <v>-1</v>
      </c>
      <c r="F7" s="39">
        <v>1005</v>
      </c>
      <c r="G7" s="39">
        <f t="shared" si="0"/>
        <v>300000</v>
      </c>
      <c r="H7" s="39">
        <v>100</v>
      </c>
      <c r="I7" s="39">
        <v>100</v>
      </c>
      <c r="J7" s="39">
        <v>0</v>
      </c>
      <c r="M7" s="39">
        <v>1</v>
      </c>
      <c r="N7" s="39">
        <f t="shared" si="12"/>
        <v>3</v>
      </c>
      <c r="T7" s="39">
        <f t="shared" si="1"/>
        <v>1.9258999999999999</v>
      </c>
      <c r="U7" s="39">
        <f t="shared" si="13"/>
        <v>0.86109999999999998</v>
      </c>
      <c r="V7" s="584" t="str">
        <f t="shared" si="14"/>
        <v>1.4762,0.9429,1.4762,0.9429,1.4857</v>
      </c>
      <c r="W7" s="39" t="str">
        <f t="shared" si="2"/>
        <v>1,1,0.003</v>
      </c>
      <c r="Y7" s="39" t="str">
        <f t="shared" si="3"/>
        <v>[[0,0,0],[0,0,0],[0,0,0]]</v>
      </c>
      <c r="AA7" s="10">
        <f t="shared" si="15"/>
        <v>0.86109999999999998</v>
      </c>
      <c r="AB7" s="11">
        <f t="shared" si="4"/>
        <v>50.004000000000005</v>
      </c>
      <c r="AC7" s="592">
        <f t="shared" ref="AC7:AC9" si="26">AC$5*(A$5/A7)</f>
        <v>3.333333333333333</v>
      </c>
      <c r="AF7" s="1">
        <f>ROUND(($AJ$5)/(AH7*60*A7*6)+1,4)</f>
        <v>1.9258999999999999</v>
      </c>
      <c r="AG7" s="1">
        <f t="shared" si="5"/>
        <v>333.32399999999996</v>
      </c>
      <c r="AH7" s="79">
        <f t="shared" ref="AH7:AH9" si="27">AH6-0.5</f>
        <v>5</v>
      </c>
      <c r="AI7" s="596" t="s">
        <v>109</v>
      </c>
      <c r="AJ7" s="68">
        <v>10000000</v>
      </c>
      <c r="AK7" s="597" t="s">
        <v>110</v>
      </c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Y7" s="1">
        <f t="shared" si="6"/>
        <v>4270</v>
      </c>
      <c r="AZ7" s="6">
        <f t="shared" si="16"/>
        <v>1.4762</v>
      </c>
      <c r="BA7" s="6">
        <f t="shared" si="17"/>
        <v>171.43199999999996</v>
      </c>
      <c r="BB7" s="604">
        <f t="shared" ref="BB7:BB9" si="28">BB6-7.5</f>
        <v>35</v>
      </c>
      <c r="BC7" s="6">
        <f t="shared" si="18"/>
        <v>0.94289999999999996</v>
      </c>
      <c r="BD7" s="6">
        <f t="shared" si="19"/>
        <v>-20.556000000000015</v>
      </c>
      <c r="BE7" s="604">
        <f t="shared" ref="BE7:BE9" si="29">BE6-75</f>
        <v>350</v>
      </c>
      <c r="BF7" s="6">
        <f t="shared" si="20"/>
        <v>1.4762</v>
      </c>
      <c r="BG7" s="6">
        <f t="shared" si="21"/>
        <v>171.43199999999996</v>
      </c>
      <c r="BH7" s="604">
        <f t="shared" ref="BH7:BH9" si="30">BH6-7.5</f>
        <v>35</v>
      </c>
      <c r="BI7" s="6">
        <f t="shared" si="22"/>
        <v>0.94289999999999996</v>
      </c>
      <c r="BJ7" s="6">
        <f t="shared" si="23"/>
        <v>-20.556000000000015</v>
      </c>
      <c r="BK7" s="604">
        <f t="shared" ref="BK7:BK9" si="31">BK6-75</f>
        <v>350</v>
      </c>
      <c r="BL7" s="6">
        <f t="shared" si="24"/>
        <v>1.4857</v>
      </c>
      <c r="BM7" s="6">
        <f t="shared" si="25"/>
        <v>174.85200000000003</v>
      </c>
      <c r="BN7" s="604">
        <f t="shared" ref="BN7:BN9" si="32">BN6-750</f>
        <v>3500</v>
      </c>
      <c r="BO7" s="68"/>
      <c r="BP7" s="597"/>
      <c r="BQ7" s="83"/>
      <c r="BR7" s="83"/>
      <c r="BS7" s="83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39" t="s">
        <v>111</v>
      </c>
      <c r="CG7" s="614">
        <v>0</v>
      </c>
      <c r="CH7" s="39"/>
      <c r="CI7" s="615">
        <f t="shared" si="7"/>
        <v>3.0000000000000001E-3</v>
      </c>
      <c r="CJ7" s="39">
        <v>1</v>
      </c>
      <c r="CK7" s="39">
        <v>1</v>
      </c>
      <c r="CL7" s="615">
        <f t="shared" si="8"/>
        <v>3.0000000000000001E-3</v>
      </c>
      <c r="CM7" s="39"/>
      <c r="CN7" s="62">
        <f t="shared" si="9"/>
        <v>3000</v>
      </c>
      <c r="CO7" s="62">
        <v>0</v>
      </c>
      <c r="CP7" s="62">
        <v>0</v>
      </c>
      <c r="CQ7" s="62">
        <v>0</v>
      </c>
      <c r="CR7" s="62">
        <f t="shared" si="10"/>
        <v>6000</v>
      </c>
      <c r="CS7" s="62">
        <v>0</v>
      </c>
      <c r="CT7" s="62">
        <v>0</v>
      </c>
      <c r="CU7" s="62">
        <v>0</v>
      </c>
      <c r="CV7" s="62">
        <f t="shared" si="11"/>
        <v>9000</v>
      </c>
      <c r="CW7" s="62">
        <v>0</v>
      </c>
      <c r="CX7" s="62">
        <v>0</v>
      </c>
      <c r="CY7" s="62">
        <v>0</v>
      </c>
    </row>
    <row r="8" spans="1:103" x14ac:dyDescent="0.35">
      <c r="A8" s="63">
        <v>80</v>
      </c>
      <c r="B8" s="39">
        <v>0</v>
      </c>
      <c r="C8" s="39">
        <v>1</v>
      </c>
      <c r="D8" s="39">
        <v>0</v>
      </c>
      <c r="E8" s="39">
        <v>-1</v>
      </c>
      <c r="F8" s="39">
        <v>1005</v>
      </c>
      <c r="G8" s="39">
        <f t="shared" si="0"/>
        <v>400000</v>
      </c>
      <c r="H8" s="39">
        <v>100</v>
      </c>
      <c r="I8" s="39">
        <v>100</v>
      </c>
      <c r="J8" s="39">
        <v>10000</v>
      </c>
      <c r="M8" s="39">
        <v>1</v>
      </c>
      <c r="N8" s="39">
        <f t="shared" si="12"/>
        <v>4</v>
      </c>
      <c r="T8" s="39">
        <f t="shared" si="1"/>
        <v>1.7716000000000001</v>
      </c>
      <c r="U8" s="39">
        <f t="shared" si="13"/>
        <v>0.86109999999999998</v>
      </c>
      <c r="V8" s="584" t="str">
        <f t="shared" si="14"/>
        <v>1.4545,0.9455,1.4545,0.9455,1.4636</v>
      </c>
      <c r="W8" s="39" t="str">
        <f t="shared" si="2"/>
        <v>1,1,0.004</v>
      </c>
      <c r="Y8" s="39" t="str">
        <f t="shared" si="3"/>
        <v>[[0,0,0],[0,0,0],[0,0,0]]</v>
      </c>
      <c r="AA8" s="10">
        <f t="shared" si="15"/>
        <v>0.86109999999999998</v>
      </c>
      <c r="AB8" s="11">
        <f t="shared" si="4"/>
        <v>66.672000000000011</v>
      </c>
      <c r="AC8" s="591">
        <f t="shared" si="26"/>
        <v>2.5</v>
      </c>
      <c r="AF8" s="1">
        <f>ROUND(($AJ$5)/(AH8*60*A8*6)+1,4)</f>
        <v>1.7716000000000001</v>
      </c>
      <c r="AG8" s="1">
        <f t="shared" si="5"/>
        <v>370.36800000000005</v>
      </c>
      <c r="AH8" s="79">
        <f t="shared" si="27"/>
        <v>4.5</v>
      </c>
      <c r="AI8" s="596" t="s">
        <v>112</v>
      </c>
      <c r="AJ8" s="68">
        <v>12000000</v>
      </c>
      <c r="AK8" s="597" t="s">
        <v>113</v>
      </c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Y8" s="1">
        <f t="shared" si="6"/>
        <v>3355</v>
      </c>
      <c r="AZ8" s="6">
        <f t="shared" si="16"/>
        <v>1.4544999999999999</v>
      </c>
      <c r="BA8" s="6">
        <f t="shared" si="17"/>
        <v>218.15999999999997</v>
      </c>
      <c r="BB8" s="604">
        <f t="shared" si="28"/>
        <v>27.5</v>
      </c>
      <c r="BC8" s="6">
        <f t="shared" si="18"/>
        <v>0.94550000000000001</v>
      </c>
      <c r="BD8" s="6">
        <f t="shared" si="19"/>
        <v>-26.159999999999997</v>
      </c>
      <c r="BE8" s="604">
        <f t="shared" si="29"/>
        <v>275</v>
      </c>
      <c r="BF8" s="6">
        <f t="shared" si="20"/>
        <v>1.4544999999999999</v>
      </c>
      <c r="BG8" s="6">
        <f t="shared" si="21"/>
        <v>218.15999999999997</v>
      </c>
      <c r="BH8" s="604">
        <f t="shared" si="30"/>
        <v>27.5</v>
      </c>
      <c r="BI8" s="6">
        <f t="shared" si="22"/>
        <v>0.94550000000000001</v>
      </c>
      <c r="BJ8" s="6">
        <f t="shared" si="23"/>
        <v>-26.159999999999997</v>
      </c>
      <c r="BK8" s="604">
        <f t="shared" si="31"/>
        <v>275</v>
      </c>
      <c r="BL8" s="6">
        <f t="shared" si="24"/>
        <v>1.4636</v>
      </c>
      <c r="BM8" s="6">
        <f t="shared" si="25"/>
        <v>222.52800000000002</v>
      </c>
      <c r="BN8" s="604">
        <f t="shared" si="32"/>
        <v>2750</v>
      </c>
      <c r="BO8" s="68"/>
      <c r="BP8" s="597"/>
      <c r="BQ8" s="83"/>
      <c r="BR8" s="83"/>
      <c r="BS8" s="83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39" t="s">
        <v>114</v>
      </c>
      <c r="CG8" s="71">
        <v>500</v>
      </c>
      <c r="CH8" s="39"/>
      <c r="CI8" s="615">
        <f t="shared" si="7"/>
        <v>4.0000000000000001E-3</v>
      </c>
      <c r="CJ8" s="39">
        <v>1</v>
      </c>
      <c r="CK8" s="39">
        <v>1</v>
      </c>
      <c r="CL8" s="615">
        <f t="shared" si="8"/>
        <v>4.0000000000000001E-3</v>
      </c>
      <c r="CM8" s="39"/>
      <c r="CN8" s="62">
        <f t="shared" si="9"/>
        <v>4000</v>
      </c>
      <c r="CO8" s="62">
        <v>0</v>
      </c>
      <c r="CP8" s="62">
        <v>0</v>
      </c>
      <c r="CQ8" s="62">
        <v>0</v>
      </c>
      <c r="CR8" s="62">
        <f t="shared" si="10"/>
        <v>8000</v>
      </c>
      <c r="CS8" s="62">
        <v>0</v>
      </c>
      <c r="CT8" s="62">
        <v>0</v>
      </c>
      <c r="CU8" s="62">
        <v>0</v>
      </c>
      <c r="CV8" s="62">
        <f t="shared" si="11"/>
        <v>12000</v>
      </c>
      <c r="CW8" s="62">
        <v>0</v>
      </c>
      <c r="CX8" s="62">
        <v>0</v>
      </c>
      <c r="CY8" s="62">
        <v>0</v>
      </c>
    </row>
    <row r="9" spans="1:103" x14ac:dyDescent="0.35">
      <c r="A9" s="63">
        <v>100</v>
      </c>
      <c r="B9" s="39">
        <v>0</v>
      </c>
      <c r="C9" s="39">
        <v>1</v>
      </c>
      <c r="D9" s="39">
        <v>0</v>
      </c>
      <c r="E9" s="39">
        <v>-1</v>
      </c>
      <c r="F9" s="39">
        <v>1005</v>
      </c>
      <c r="G9" s="39">
        <f t="shared" si="0"/>
        <v>500000</v>
      </c>
      <c r="H9" s="39">
        <v>100</v>
      </c>
      <c r="I9" s="39">
        <v>100</v>
      </c>
      <c r="J9" s="39">
        <v>10000</v>
      </c>
      <c r="M9" s="39">
        <v>1</v>
      </c>
      <c r="N9" s="39">
        <f t="shared" si="12"/>
        <v>5</v>
      </c>
      <c r="T9" s="39">
        <f t="shared" si="1"/>
        <v>1.6943999999999999</v>
      </c>
      <c r="U9" s="39">
        <f t="shared" si="13"/>
        <v>0.86109999999999998</v>
      </c>
      <c r="V9" s="584" t="str">
        <f t="shared" si="14"/>
        <v>1.5,0.94,1.5,0.94,1.51</v>
      </c>
      <c r="W9" s="39" t="str">
        <f t="shared" si="2"/>
        <v>1,1,0.005</v>
      </c>
      <c r="Y9" s="39" t="str">
        <f t="shared" si="3"/>
        <v>[[0,0,0],[0,0,0],[0,0,0]]</v>
      </c>
      <c r="AA9" s="13">
        <f t="shared" si="15"/>
        <v>0.86109999999999998</v>
      </c>
      <c r="AB9" s="14">
        <f t="shared" si="4"/>
        <v>83.340000000000018</v>
      </c>
      <c r="AC9" s="593">
        <f t="shared" si="26"/>
        <v>2</v>
      </c>
      <c r="AF9" s="1">
        <f>ROUND(($AJ$5)/(AH9*60*A9*6)+1,4)</f>
        <v>1.6943999999999999</v>
      </c>
      <c r="AG9" s="1">
        <f t="shared" si="5"/>
        <v>416.64</v>
      </c>
      <c r="AH9" s="79">
        <f t="shared" si="27"/>
        <v>4</v>
      </c>
      <c r="AI9" s="596" t="s">
        <v>115</v>
      </c>
      <c r="AJ9" s="68">
        <v>6000000</v>
      </c>
      <c r="AK9" s="597" t="s">
        <v>116</v>
      </c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Y9" s="1">
        <f t="shared" si="6"/>
        <v>2440</v>
      </c>
      <c r="AZ9" s="6">
        <f t="shared" si="16"/>
        <v>1.5</v>
      </c>
      <c r="BA9" s="6">
        <f t="shared" si="17"/>
        <v>300</v>
      </c>
      <c r="BB9" s="604">
        <f t="shared" si="28"/>
        <v>20</v>
      </c>
      <c r="BC9" s="6">
        <f t="shared" si="18"/>
        <v>0.94</v>
      </c>
      <c r="BD9" s="6">
        <f t="shared" si="19"/>
        <v>-36.000000000000028</v>
      </c>
      <c r="BE9" s="604">
        <f t="shared" si="29"/>
        <v>200</v>
      </c>
      <c r="BF9" s="6">
        <f t="shared" si="20"/>
        <v>1.5</v>
      </c>
      <c r="BG9" s="6">
        <f t="shared" si="21"/>
        <v>300</v>
      </c>
      <c r="BH9" s="604">
        <f t="shared" si="30"/>
        <v>20</v>
      </c>
      <c r="BI9" s="6">
        <f t="shared" si="22"/>
        <v>0.94</v>
      </c>
      <c r="BJ9" s="6">
        <f t="shared" si="23"/>
        <v>-36.000000000000028</v>
      </c>
      <c r="BK9" s="604">
        <f t="shared" si="31"/>
        <v>200</v>
      </c>
      <c r="BL9" s="6">
        <f t="shared" si="24"/>
        <v>1.51</v>
      </c>
      <c r="BM9" s="6">
        <f t="shared" si="25"/>
        <v>306</v>
      </c>
      <c r="BN9" s="604">
        <f t="shared" si="32"/>
        <v>2000</v>
      </c>
      <c r="BO9" s="68"/>
      <c r="BP9" s="597"/>
      <c r="BQ9" s="83"/>
      <c r="BR9" s="83"/>
      <c r="BS9" s="83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39"/>
      <c r="CG9" s="310"/>
      <c r="CH9" s="39"/>
      <c r="CI9" s="615">
        <f t="shared" si="7"/>
        <v>5.0000000000000001E-3</v>
      </c>
      <c r="CJ9" s="39">
        <v>1</v>
      </c>
      <c r="CK9" s="39">
        <v>1</v>
      </c>
      <c r="CL9" s="615">
        <f t="shared" si="8"/>
        <v>5.0000000000000001E-3</v>
      </c>
      <c r="CM9" s="39"/>
      <c r="CN9" s="62">
        <f t="shared" si="9"/>
        <v>5000</v>
      </c>
      <c r="CO9" s="62">
        <v>0</v>
      </c>
      <c r="CP9" s="62">
        <v>0</v>
      </c>
      <c r="CQ9" s="62">
        <v>0</v>
      </c>
      <c r="CR9" s="62">
        <f t="shared" si="10"/>
        <v>10000</v>
      </c>
      <c r="CS9" s="62">
        <v>0</v>
      </c>
      <c r="CT9" s="62">
        <v>0</v>
      </c>
      <c r="CU9" s="62">
        <v>0</v>
      </c>
      <c r="CV9" s="62">
        <f t="shared" si="11"/>
        <v>15000</v>
      </c>
      <c r="CW9" s="62">
        <v>0</v>
      </c>
      <c r="CX9" s="62">
        <v>0</v>
      </c>
      <c r="CY9" s="62">
        <v>0</v>
      </c>
    </row>
    <row r="10" spans="1:103" x14ac:dyDescent="0.35">
      <c r="A10" s="63">
        <v>200</v>
      </c>
      <c r="B10" s="39">
        <v>0</v>
      </c>
      <c r="C10" s="39">
        <v>2</v>
      </c>
      <c r="D10" s="39">
        <v>0</v>
      </c>
      <c r="E10" s="39">
        <v>-1</v>
      </c>
      <c r="F10" s="39">
        <v>1005</v>
      </c>
      <c r="G10" s="39">
        <f t="shared" si="0"/>
        <v>1000000</v>
      </c>
      <c r="H10" s="39">
        <v>100</v>
      </c>
      <c r="I10" s="39">
        <v>100</v>
      </c>
      <c r="J10" s="39">
        <v>10000</v>
      </c>
      <c r="M10" s="39">
        <v>1</v>
      </c>
      <c r="N10" s="39">
        <f t="shared" si="12"/>
        <v>6</v>
      </c>
      <c r="T10" s="39">
        <f t="shared" si="1"/>
        <v>2.7856999999999998</v>
      </c>
      <c r="U10" s="39">
        <f t="shared" si="13"/>
        <v>0.86109999999999998</v>
      </c>
      <c r="V10" s="584" t="str">
        <f t="shared" si="14"/>
        <v>2,0.88,2,0.88,2.02</v>
      </c>
      <c r="W10" s="39" t="str">
        <f t="shared" si="2"/>
        <v>1,1,0.01</v>
      </c>
      <c r="Y10" s="39" t="str">
        <f t="shared" si="3"/>
        <v>[[0,0,0],[0,0,0],[0,0,0]]</v>
      </c>
      <c r="AA10" s="47">
        <f>ROUND((0-$AD$10)/($A10*AC10*60*6)+1,4)</f>
        <v>0.86109999999999998</v>
      </c>
      <c r="AB10" s="48">
        <f t="shared" si="4"/>
        <v>166.68000000000004</v>
      </c>
      <c r="AC10" s="590">
        <v>10</v>
      </c>
      <c r="AD10" s="39">
        <v>100000</v>
      </c>
      <c r="AE10" s="39">
        <f>15*60*6</f>
        <v>5400</v>
      </c>
      <c r="AF10" s="1">
        <f>ROUND(($AJ$6-$AJ$5)/(AH10*60*A10*6)+1,4)</f>
        <v>2.7856999999999998</v>
      </c>
      <c r="AG10" s="1">
        <f t="shared" si="5"/>
        <v>2142.84</v>
      </c>
      <c r="AH10" s="599">
        <v>7</v>
      </c>
      <c r="AI10" s="596" t="s">
        <v>117</v>
      </c>
      <c r="AJ10" s="68">
        <v>8000000</v>
      </c>
      <c r="AK10" s="597" t="s">
        <v>118</v>
      </c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Y10" s="1">
        <f t="shared" si="6"/>
        <v>6100</v>
      </c>
      <c r="AZ10" s="605">
        <f>ROUND((BB$2)/(BB10*$A10)+1,4)</f>
        <v>2</v>
      </c>
      <c r="BA10" s="6">
        <f t="shared" si="17"/>
        <v>1200</v>
      </c>
      <c r="BB10" s="606">
        <f>BB5</f>
        <v>50</v>
      </c>
      <c r="BC10" s="6">
        <f>ROUND((-BE$2)/(BE10*$A10)+1,4)</f>
        <v>0.88</v>
      </c>
      <c r="BD10" s="6">
        <f t="shared" si="19"/>
        <v>-144</v>
      </c>
      <c r="BE10" s="606">
        <f>BE5</f>
        <v>500</v>
      </c>
      <c r="BF10" s="6">
        <f>ROUND((BH$2)/(BH10*$A10)+1,4)</f>
        <v>2</v>
      </c>
      <c r="BG10" s="6">
        <f t="shared" si="21"/>
        <v>1200</v>
      </c>
      <c r="BH10" s="606">
        <f>BH5</f>
        <v>50</v>
      </c>
      <c r="BI10" s="6">
        <f>ROUND((-BK$2)/(BK10*$A10)+1,4)</f>
        <v>0.88</v>
      </c>
      <c r="BJ10" s="6">
        <f t="shared" si="23"/>
        <v>-144</v>
      </c>
      <c r="BK10" s="606">
        <f>BK5</f>
        <v>500</v>
      </c>
      <c r="BL10" s="6">
        <f>ROUND((BN$2)/(BN10*$A10)+1,4)</f>
        <v>2.02</v>
      </c>
      <c r="BM10" s="6">
        <f t="shared" si="25"/>
        <v>1224</v>
      </c>
      <c r="BN10" s="606">
        <f>BN5</f>
        <v>5000</v>
      </c>
      <c r="BO10" s="68"/>
      <c r="BP10" s="597"/>
      <c r="BQ10" s="83"/>
      <c r="BR10" s="83"/>
      <c r="BS10" s="83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39" t="s">
        <v>119</v>
      </c>
      <c r="CG10" s="39" t="s">
        <v>97</v>
      </c>
      <c r="CH10" s="39"/>
      <c r="CI10" s="615">
        <f t="shared" si="7"/>
        <v>0.01</v>
      </c>
      <c r="CJ10" s="39">
        <v>1</v>
      </c>
      <c r="CK10" s="39">
        <v>1</v>
      </c>
      <c r="CL10" s="615">
        <f t="shared" si="8"/>
        <v>0.01</v>
      </c>
      <c r="CM10" s="39"/>
      <c r="CN10" s="62">
        <f t="shared" si="9"/>
        <v>10000</v>
      </c>
      <c r="CO10" s="62">
        <v>0</v>
      </c>
      <c r="CP10" s="62">
        <v>0</v>
      </c>
      <c r="CQ10" s="62">
        <v>0</v>
      </c>
      <c r="CR10" s="62">
        <f t="shared" si="10"/>
        <v>20000</v>
      </c>
      <c r="CS10" s="62">
        <v>0</v>
      </c>
      <c r="CT10" s="62">
        <v>0</v>
      </c>
      <c r="CU10" s="62">
        <v>0</v>
      </c>
      <c r="CV10" s="62">
        <f t="shared" si="11"/>
        <v>30000</v>
      </c>
      <c r="CW10" s="62">
        <v>0</v>
      </c>
      <c r="CX10" s="62">
        <v>0</v>
      </c>
      <c r="CY10" s="62">
        <v>0</v>
      </c>
    </row>
    <row r="11" spans="1:103" x14ac:dyDescent="0.35">
      <c r="A11" s="63">
        <v>400</v>
      </c>
      <c r="B11" s="39">
        <v>0</v>
      </c>
      <c r="C11" s="39">
        <v>4</v>
      </c>
      <c r="D11" s="39">
        <v>0</v>
      </c>
      <c r="E11" s="39">
        <v>-1</v>
      </c>
      <c r="F11" s="39">
        <v>1005</v>
      </c>
      <c r="G11" s="39">
        <f t="shared" si="0"/>
        <v>2000000</v>
      </c>
      <c r="H11" s="39">
        <v>120</v>
      </c>
      <c r="I11" s="39">
        <v>100</v>
      </c>
      <c r="J11" s="39">
        <v>10000</v>
      </c>
      <c r="M11" s="39">
        <v>1</v>
      </c>
      <c r="N11" s="39">
        <f t="shared" si="12"/>
        <v>7</v>
      </c>
      <c r="T11" s="39">
        <f t="shared" si="1"/>
        <v>2</v>
      </c>
      <c r="U11" s="39">
        <f t="shared" si="13"/>
        <v>0.86109999999999998</v>
      </c>
      <c r="V11" s="584" t="str">
        <f t="shared" si="14"/>
        <v>1.5882,0.9294,1.5882,0.9294,1.6</v>
      </c>
      <c r="W11" s="39" t="str">
        <f t="shared" si="2"/>
        <v>1,1,0.02</v>
      </c>
      <c r="Y11" s="39" t="str">
        <f t="shared" si="3"/>
        <v>[[0,0,0],[0,0,0],[0,0,0]]</v>
      </c>
      <c r="AA11" s="10">
        <f>ROUND((0-$AD$10)/($A11*AC11*60*6)+1,4)</f>
        <v>0.86109999999999998</v>
      </c>
      <c r="AB11" s="11">
        <f t="shared" si="4"/>
        <v>333.36000000000007</v>
      </c>
      <c r="AC11" s="591">
        <f>AC$10*(A$10/A11)</f>
        <v>5</v>
      </c>
      <c r="AF11" s="1">
        <f>ROUND(($AJ$6-$AJ$5)/(AH11*60*A11*6)+1,4)</f>
        <v>2</v>
      </c>
      <c r="AG11" s="1">
        <f t="shared" si="5"/>
        <v>2400</v>
      </c>
      <c r="AH11" s="599">
        <f>AH10-0.75</f>
        <v>6.25</v>
      </c>
      <c r="AI11" s="596" t="s">
        <v>120</v>
      </c>
      <c r="AJ11" s="68">
        <v>2000000</v>
      </c>
      <c r="AK11" s="597" t="s">
        <v>121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Y11" s="1">
        <f t="shared" si="6"/>
        <v>5185</v>
      </c>
      <c r="AZ11" s="605">
        <f t="shared" ref="AZ11:AZ14" si="33">ROUND((BB$2)/(BB11*$A11)+1,4)</f>
        <v>1.5882000000000001</v>
      </c>
      <c r="BA11" s="6">
        <f t="shared" si="17"/>
        <v>1411.6800000000003</v>
      </c>
      <c r="BB11" s="604">
        <f>BB10-7.5</f>
        <v>42.5</v>
      </c>
      <c r="BC11" s="6">
        <f t="shared" ref="BC11:BC14" si="34">ROUND((-BE$2)/(BE11*$A11)+1,4)</f>
        <v>0.9294</v>
      </c>
      <c r="BD11" s="6">
        <f t="shared" ref="BD11:BD15" si="35">(BC11-1)*$A11*6</f>
        <v>-169.44</v>
      </c>
      <c r="BE11" s="604">
        <f>BE10-75</f>
        <v>425</v>
      </c>
      <c r="BF11" s="6">
        <f t="shared" ref="BF11:BF14" si="36">ROUND((BH$2)/(BH11*$A11)+1,4)</f>
        <v>1.5882000000000001</v>
      </c>
      <c r="BG11" s="6">
        <f t="shared" si="21"/>
        <v>1411.6800000000003</v>
      </c>
      <c r="BH11" s="604">
        <f>BH10-7.5</f>
        <v>42.5</v>
      </c>
      <c r="BI11" s="6">
        <f t="shared" ref="BI11:BI14" si="37">ROUND((-BK$2)/(BK11*$A11)+1,4)</f>
        <v>0.9294</v>
      </c>
      <c r="BJ11" s="6">
        <f t="shared" ref="BJ11:BJ15" si="38">(BI11-1)*$A11*6</f>
        <v>-169.44</v>
      </c>
      <c r="BK11" s="604">
        <f>BK10-75</f>
        <v>425</v>
      </c>
      <c r="BL11" s="6">
        <f t="shared" ref="BL11:BL14" si="39">ROUND((BN$2)/(BN11*$A11)+1,4)</f>
        <v>1.6</v>
      </c>
      <c r="BM11" s="6">
        <f t="shared" si="25"/>
        <v>1440.0000000000002</v>
      </c>
      <c r="BN11" s="604">
        <f>BN10-750</f>
        <v>4250</v>
      </c>
      <c r="BO11" s="68"/>
      <c r="BP11" s="597"/>
      <c r="BQ11" s="83"/>
      <c r="BR11" s="83"/>
      <c r="BS11" s="83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39">
        <v>1005</v>
      </c>
      <c r="CG11" s="39" t="str">
        <f>'弹头价值|Dantou'!B5</f>
        <v>1000000</v>
      </c>
      <c r="CH11" s="39"/>
      <c r="CI11" s="615">
        <f t="shared" si="7"/>
        <v>0.02</v>
      </c>
      <c r="CJ11" s="39">
        <v>1</v>
      </c>
      <c r="CK11" s="39">
        <v>1</v>
      </c>
      <c r="CL11" s="615">
        <f t="shared" si="8"/>
        <v>0.02</v>
      </c>
      <c r="CM11" s="39"/>
      <c r="CN11" s="62">
        <f t="shared" si="9"/>
        <v>20000</v>
      </c>
      <c r="CO11" s="62">
        <v>0</v>
      </c>
      <c r="CP11" s="62">
        <v>0</v>
      </c>
      <c r="CQ11" s="62">
        <v>0</v>
      </c>
      <c r="CR11" s="62">
        <f t="shared" si="10"/>
        <v>40000</v>
      </c>
      <c r="CS11" s="62">
        <v>0</v>
      </c>
      <c r="CT11" s="62">
        <v>0</v>
      </c>
      <c r="CU11" s="62">
        <v>0</v>
      </c>
      <c r="CV11" s="62">
        <f t="shared" si="11"/>
        <v>60000</v>
      </c>
      <c r="CW11" s="62">
        <v>0</v>
      </c>
      <c r="CX11" s="62">
        <v>0</v>
      </c>
      <c r="CY11" s="62">
        <v>0</v>
      </c>
    </row>
    <row r="12" spans="1:103" x14ac:dyDescent="0.35">
      <c r="A12" s="63">
        <v>600</v>
      </c>
      <c r="B12" s="39">
        <v>0</v>
      </c>
      <c r="C12" s="39">
        <v>6</v>
      </c>
      <c r="D12" s="39">
        <v>0</v>
      </c>
      <c r="E12" s="39">
        <v>-1</v>
      </c>
      <c r="F12" s="39">
        <v>1005</v>
      </c>
      <c r="G12" s="39">
        <f t="shared" si="0"/>
        <v>3000000</v>
      </c>
      <c r="H12" s="39">
        <v>150</v>
      </c>
      <c r="I12" s="39">
        <v>100</v>
      </c>
      <c r="J12" s="39">
        <v>10000</v>
      </c>
      <c r="M12" s="39">
        <v>1</v>
      </c>
      <c r="N12" s="39">
        <f t="shared" si="12"/>
        <v>8</v>
      </c>
      <c r="T12" s="39">
        <f t="shared" si="1"/>
        <v>1.7576000000000001</v>
      </c>
      <c r="U12" s="39">
        <f t="shared" si="13"/>
        <v>0.86109999999999998</v>
      </c>
      <c r="V12" s="584" t="str">
        <f t="shared" si="14"/>
        <v>1.4762,0.9429,1.4762,0.9429,1.4857</v>
      </c>
      <c r="W12" s="39" t="str">
        <f t="shared" si="2"/>
        <v>1,1,0.03</v>
      </c>
      <c r="Y12" s="39" t="str">
        <f t="shared" si="3"/>
        <v>[[0,0,0],[0,0,0],[0,0,0]]</v>
      </c>
      <c r="AA12" s="10">
        <f>ROUND((0-$AD$10)/($A12*AC12*60*6)+1,4)</f>
        <v>0.86109999999999998</v>
      </c>
      <c r="AB12" s="11">
        <f t="shared" si="4"/>
        <v>500.04000000000008</v>
      </c>
      <c r="AC12" s="592">
        <f t="shared" ref="AC12:AC14" si="40">AC$10*(A$10/A12)</f>
        <v>3.333333333333333</v>
      </c>
      <c r="AF12" s="1">
        <f>ROUND(($AJ$6-$AJ$5)/(AH12*60*A12*6)+1,4)</f>
        <v>1.7576000000000001</v>
      </c>
      <c r="AG12" s="1">
        <f t="shared" si="5"/>
        <v>2727.3600000000006</v>
      </c>
      <c r="AH12" s="599">
        <f t="shared" ref="AH12:AH14" si="41">AH11-0.75</f>
        <v>5.5</v>
      </c>
      <c r="AI12" s="596" t="s">
        <v>122</v>
      </c>
      <c r="AJ12" s="68">
        <v>4000000</v>
      </c>
      <c r="AK12" s="597" t="s">
        <v>123</v>
      </c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Y12" s="1">
        <f t="shared" si="6"/>
        <v>4270</v>
      </c>
      <c r="AZ12" s="605">
        <f t="shared" si="33"/>
        <v>1.4762</v>
      </c>
      <c r="BA12" s="6">
        <f t="shared" si="17"/>
        <v>1714.3199999999997</v>
      </c>
      <c r="BB12" s="604">
        <f t="shared" ref="BB12:BB14" si="42">BB11-7.5</f>
        <v>35</v>
      </c>
      <c r="BC12" s="6">
        <f t="shared" si="34"/>
        <v>0.94289999999999996</v>
      </c>
      <c r="BD12" s="6">
        <f t="shared" si="35"/>
        <v>-205.56000000000017</v>
      </c>
      <c r="BE12" s="604">
        <f t="shared" ref="BE12:BE14" si="43">BE11-75</f>
        <v>350</v>
      </c>
      <c r="BF12" s="6">
        <f t="shared" si="36"/>
        <v>1.4762</v>
      </c>
      <c r="BG12" s="6">
        <f t="shared" si="21"/>
        <v>1714.3199999999997</v>
      </c>
      <c r="BH12" s="604">
        <f t="shared" ref="BH12:BH14" si="44">BH11-7.5</f>
        <v>35</v>
      </c>
      <c r="BI12" s="6">
        <f t="shared" si="37"/>
        <v>0.94289999999999996</v>
      </c>
      <c r="BJ12" s="6">
        <f t="shared" si="38"/>
        <v>-205.56000000000017</v>
      </c>
      <c r="BK12" s="604">
        <f t="shared" ref="BK12:BK14" si="45">BK11-75</f>
        <v>350</v>
      </c>
      <c r="BL12" s="6">
        <f t="shared" si="39"/>
        <v>1.4857</v>
      </c>
      <c r="BM12" s="6">
        <f t="shared" si="25"/>
        <v>1748.52</v>
      </c>
      <c r="BN12" s="604">
        <f t="shared" ref="BN12:BN14" si="46">BN11-750</f>
        <v>3500</v>
      </c>
      <c r="BO12" s="68"/>
      <c r="BP12" s="597"/>
      <c r="BQ12" s="83"/>
      <c r="BR12" s="83"/>
      <c r="BS12" s="83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39">
        <v>1006</v>
      </c>
      <c r="CG12" s="39" t="str">
        <f>'弹头价值|Dantou'!B6</f>
        <v>2000000</v>
      </c>
      <c r="CH12" s="39"/>
      <c r="CI12" s="615">
        <f t="shared" si="7"/>
        <v>3.0000000000000002E-2</v>
      </c>
      <c r="CJ12" s="39">
        <v>1</v>
      </c>
      <c r="CK12" s="39">
        <v>1</v>
      </c>
      <c r="CL12" s="615">
        <f t="shared" si="8"/>
        <v>0.03</v>
      </c>
      <c r="CM12" s="39"/>
      <c r="CN12" s="62">
        <f t="shared" si="9"/>
        <v>30000</v>
      </c>
      <c r="CO12" s="62">
        <v>0</v>
      </c>
      <c r="CP12" s="62">
        <v>0</v>
      </c>
      <c r="CQ12" s="62">
        <v>0</v>
      </c>
      <c r="CR12" s="62">
        <f t="shared" si="10"/>
        <v>60000</v>
      </c>
      <c r="CS12" s="62">
        <v>0</v>
      </c>
      <c r="CT12" s="62">
        <v>0</v>
      </c>
      <c r="CU12" s="62">
        <v>0</v>
      </c>
      <c r="CV12" s="62">
        <f t="shared" si="11"/>
        <v>90000</v>
      </c>
      <c r="CW12" s="62">
        <v>0</v>
      </c>
      <c r="CX12" s="62">
        <v>0</v>
      </c>
      <c r="CY12" s="62">
        <v>0</v>
      </c>
    </row>
    <row r="13" spans="1:103" x14ac:dyDescent="0.35">
      <c r="A13" s="63">
        <v>800</v>
      </c>
      <c r="B13" s="39">
        <v>0</v>
      </c>
      <c r="C13" s="39">
        <v>8</v>
      </c>
      <c r="D13" s="39">
        <v>0.5</v>
      </c>
      <c r="E13" s="39">
        <v>-1</v>
      </c>
      <c r="F13" s="39">
        <v>1005</v>
      </c>
      <c r="G13" s="39">
        <f t="shared" si="0"/>
        <v>4000000</v>
      </c>
      <c r="H13" s="39">
        <v>170</v>
      </c>
      <c r="I13" s="39">
        <v>100</v>
      </c>
      <c r="J13" s="39">
        <v>10000</v>
      </c>
      <c r="M13" s="39">
        <v>1</v>
      </c>
      <c r="N13" s="39">
        <f t="shared" si="12"/>
        <v>9</v>
      </c>
      <c r="T13" s="39">
        <f t="shared" si="1"/>
        <v>1.6578999999999999</v>
      </c>
      <c r="U13" s="39">
        <f t="shared" si="13"/>
        <v>0.86109999999999998</v>
      </c>
      <c r="V13" s="584" t="str">
        <f t="shared" si="14"/>
        <v>1.4545,0.9455,1.4545,0.9455,1.4636</v>
      </c>
      <c r="W13" s="39" t="str">
        <f t="shared" si="2"/>
        <v>1,1,0.04</v>
      </c>
      <c r="Y13" s="39" t="str">
        <f t="shared" si="3"/>
        <v>[[0,0,0],[0,0,0],[0,0,0]]</v>
      </c>
      <c r="AA13" s="10">
        <f>ROUND((0-$AD$10)/($A13*AC13*60*6)+1,4)</f>
        <v>0.86109999999999998</v>
      </c>
      <c r="AB13" s="11">
        <f t="shared" si="4"/>
        <v>666.72000000000014</v>
      </c>
      <c r="AC13" s="591">
        <f t="shared" si="40"/>
        <v>2.5</v>
      </c>
      <c r="AF13" s="1">
        <f>ROUND(($AJ$6-$AJ$5)/(AH13*60*A13*6)+1,4)</f>
        <v>1.6578999999999999</v>
      </c>
      <c r="AG13" s="1">
        <f t="shared" si="5"/>
        <v>3157.9199999999996</v>
      </c>
      <c r="AH13" s="599">
        <f t="shared" si="41"/>
        <v>4.75</v>
      </c>
      <c r="AI13" s="596" t="s">
        <v>124</v>
      </c>
      <c r="AJ13" s="68">
        <v>0</v>
      </c>
      <c r="AK13" s="597" t="s">
        <v>125</v>
      </c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Y13" s="1">
        <f t="shared" si="6"/>
        <v>3355</v>
      </c>
      <c r="AZ13" s="605">
        <f t="shared" si="33"/>
        <v>1.4544999999999999</v>
      </c>
      <c r="BA13" s="6">
        <f t="shared" si="17"/>
        <v>2181.5999999999995</v>
      </c>
      <c r="BB13" s="604">
        <f t="shared" si="42"/>
        <v>27.5</v>
      </c>
      <c r="BC13" s="6">
        <f t="shared" si="34"/>
        <v>0.94550000000000001</v>
      </c>
      <c r="BD13" s="6">
        <f t="shared" si="35"/>
        <v>-261.59999999999997</v>
      </c>
      <c r="BE13" s="604">
        <f t="shared" si="43"/>
        <v>275</v>
      </c>
      <c r="BF13" s="6">
        <f t="shared" si="36"/>
        <v>1.4544999999999999</v>
      </c>
      <c r="BG13" s="6">
        <f t="shared" si="21"/>
        <v>2181.5999999999995</v>
      </c>
      <c r="BH13" s="604">
        <f t="shared" si="44"/>
        <v>27.5</v>
      </c>
      <c r="BI13" s="6">
        <f t="shared" si="37"/>
        <v>0.94550000000000001</v>
      </c>
      <c r="BJ13" s="6">
        <f t="shared" si="38"/>
        <v>-261.59999999999997</v>
      </c>
      <c r="BK13" s="604">
        <f t="shared" si="45"/>
        <v>275</v>
      </c>
      <c r="BL13" s="6">
        <f t="shared" si="39"/>
        <v>1.4636</v>
      </c>
      <c r="BM13" s="6">
        <f t="shared" si="25"/>
        <v>2225.2799999999997</v>
      </c>
      <c r="BN13" s="604">
        <f t="shared" si="46"/>
        <v>2750</v>
      </c>
      <c r="BO13" s="68"/>
      <c r="BP13" s="597"/>
      <c r="BQ13" s="83"/>
      <c r="BR13" s="83"/>
      <c r="BS13" s="83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39">
        <v>1007</v>
      </c>
      <c r="CG13" s="39" t="str">
        <f>'弹头价值|Dantou'!B7</f>
        <v>5000000</v>
      </c>
      <c r="CH13" s="39"/>
      <c r="CI13" s="615">
        <f t="shared" si="7"/>
        <v>0.04</v>
      </c>
      <c r="CJ13" s="39">
        <v>1</v>
      </c>
      <c r="CK13" s="39">
        <v>1</v>
      </c>
      <c r="CL13" s="615">
        <f t="shared" si="8"/>
        <v>0.04</v>
      </c>
      <c r="CM13" s="39"/>
      <c r="CN13" s="62">
        <f t="shared" si="9"/>
        <v>40000</v>
      </c>
      <c r="CO13" s="62">
        <v>0</v>
      </c>
      <c r="CP13" s="62">
        <v>0</v>
      </c>
      <c r="CQ13" s="62">
        <v>0</v>
      </c>
      <c r="CR13" s="62">
        <f t="shared" si="10"/>
        <v>80000</v>
      </c>
      <c r="CS13" s="62">
        <v>0</v>
      </c>
      <c r="CT13" s="62">
        <v>0</v>
      </c>
      <c r="CU13" s="62">
        <v>0</v>
      </c>
      <c r="CV13" s="62">
        <f t="shared" si="11"/>
        <v>120000</v>
      </c>
      <c r="CW13" s="62">
        <v>0</v>
      </c>
      <c r="CX13" s="62">
        <v>0</v>
      </c>
      <c r="CY13" s="62">
        <v>0</v>
      </c>
    </row>
    <row r="14" spans="1:103" x14ac:dyDescent="0.35">
      <c r="A14" s="63">
        <v>1000</v>
      </c>
      <c r="B14" s="39">
        <v>1</v>
      </c>
      <c r="C14" s="39">
        <f t="shared" ref="C14:C24" si="47">C9*10</f>
        <v>10</v>
      </c>
      <c r="D14" s="39">
        <v>0.5</v>
      </c>
      <c r="E14" s="39">
        <v>-1</v>
      </c>
      <c r="F14" s="39">
        <v>1005</v>
      </c>
      <c r="G14" s="39">
        <f t="shared" si="0"/>
        <v>5000000</v>
      </c>
      <c r="H14" s="39">
        <v>200</v>
      </c>
      <c r="I14" s="39">
        <v>100</v>
      </c>
      <c r="J14" s="39">
        <v>10000</v>
      </c>
      <c r="M14" s="39">
        <v>1</v>
      </c>
      <c r="N14" s="39">
        <f t="shared" si="12"/>
        <v>10</v>
      </c>
      <c r="T14" s="39">
        <f t="shared" si="1"/>
        <v>1.625</v>
      </c>
      <c r="U14" s="39">
        <f t="shared" si="13"/>
        <v>0.86109999999999998</v>
      </c>
      <c r="V14" s="584" t="str">
        <f t="shared" si="14"/>
        <v>1.5,0.94,1.5,0.94,1.51</v>
      </c>
      <c r="W14" s="39" t="str">
        <f t="shared" si="2"/>
        <v>1,1,0.05</v>
      </c>
      <c r="Y14" s="39" t="str">
        <f t="shared" si="3"/>
        <v>[[0,0,0],[0,0,0],[0,0,0]]</v>
      </c>
      <c r="AA14" s="13">
        <f>ROUND((0-$AD$10)/($A14*AC14*60*6)+1,4)</f>
        <v>0.86109999999999998</v>
      </c>
      <c r="AB14" s="14">
        <f t="shared" si="4"/>
        <v>833.4000000000002</v>
      </c>
      <c r="AC14" s="593">
        <f t="shared" si="40"/>
        <v>2</v>
      </c>
      <c r="AF14" s="1">
        <f>ROUND(($AJ$6-$AJ$5)/(AH14*60*A14*6)+1,4)</f>
        <v>1.625</v>
      </c>
      <c r="AG14" s="1">
        <f t="shared" si="5"/>
        <v>3750</v>
      </c>
      <c r="AH14" s="599">
        <f t="shared" si="41"/>
        <v>4</v>
      </c>
      <c r="AI14" s="600"/>
      <c r="AJ14" s="600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Y14" s="1">
        <f t="shared" si="6"/>
        <v>2440</v>
      </c>
      <c r="AZ14" s="605">
        <f t="shared" si="33"/>
        <v>1.5</v>
      </c>
      <c r="BA14" s="6">
        <f t="shared" si="17"/>
        <v>3000</v>
      </c>
      <c r="BB14" s="604">
        <f t="shared" si="42"/>
        <v>20</v>
      </c>
      <c r="BC14" s="6">
        <f t="shared" si="34"/>
        <v>0.94</v>
      </c>
      <c r="BD14" s="6">
        <f t="shared" si="35"/>
        <v>-360.00000000000034</v>
      </c>
      <c r="BE14" s="604">
        <f t="shared" si="43"/>
        <v>200</v>
      </c>
      <c r="BF14" s="6">
        <f t="shared" si="36"/>
        <v>1.5</v>
      </c>
      <c r="BG14" s="6">
        <f t="shared" si="21"/>
        <v>3000</v>
      </c>
      <c r="BH14" s="604">
        <f t="shared" si="44"/>
        <v>20</v>
      </c>
      <c r="BI14" s="6">
        <f t="shared" si="37"/>
        <v>0.94</v>
      </c>
      <c r="BJ14" s="6">
        <f t="shared" si="38"/>
        <v>-360.00000000000034</v>
      </c>
      <c r="BK14" s="604">
        <f t="shared" si="45"/>
        <v>200</v>
      </c>
      <c r="BL14" s="6">
        <f t="shared" si="39"/>
        <v>1.51</v>
      </c>
      <c r="BM14" s="6">
        <f t="shared" si="25"/>
        <v>3060</v>
      </c>
      <c r="BN14" s="604">
        <f t="shared" si="46"/>
        <v>2000</v>
      </c>
      <c r="CF14" s="39">
        <v>1008</v>
      </c>
      <c r="CG14" s="39" t="str">
        <f>'弹头价值|Dantou'!B8</f>
        <v>10000000</v>
      </c>
      <c r="CH14" s="39"/>
      <c r="CI14" s="615">
        <f t="shared" si="7"/>
        <v>0.05</v>
      </c>
      <c r="CJ14" s="39">
        <v>1</v>
      </c>
      <c r="CK14" s="39">
        <v>1</v>
      </c>
      <c r="CL14" s="615">
        <f t="shared" si="8"/>
        <v>0.05</v>
      </c>
      <c r="CM14" s="39"/>
      <c r="CN14" s="62">
        <f t="shared" si="9"/>
        <v>50000</v>
      </c>
      <c r="CO14" s="62">
        <v>0</v>
      </c>
      <c r="CP14" s="62">
        <v>0</v>
      </c>
      <c r="CQ14" s="62">
        <v>0</v>
      </c>
      <c r="CR14" s="62">
        <f t="shared" si="10"/>
        <v>100000</v>
      </c>
      <c r="CS14" s="62">
        <v>0</v>
      </c>
      <c r="CT14" s="62">
        <v>0</v>
      </c>
      <c r="CU14" s="62">
        <v>0</v>
      </c>
      <c r="CV14" s="62">
        <f t="shared" si="11"/>
        <v>150000</v>
      </c>
      <c r="CW14" s="62">
        <v>0</v>
      </c>
      <c r="CX14" s="62">
        <v>0</v>
      </c>
      <c r="CY14" s="62">
        <v>0</v>
      </c>
    </row>
    <row r="15" spans="1:103" x14ac:dyDescent="0.35">
      <c r="A15" s="63">
        <v>2000</v>
      </c>
      <c r="B15" s="39">
        <v>1</v>
      </c>
      <c r="C15" s="39">
        <f t="shared" si="47"/>
        <v>20</v>
      </c>
      <c r="D15" s="39">
        <v>0.5</v>
      </c>
      <c r="E15" s="39">
        <v>-1</v>
      </c>
      <c r="F15" s="39">
        <v>1005</v>
      </c>
      <c r="G15" s="39">
        <f t="shared" si="0"/>
        <v>10000000</v>
      </c>
      <c r="H15" s="39">
        <f>H10</f>
        <v>100</v>
      </c>
      <c r="I15" s="39">
        <v>100</v>
      </c>
      <c r="J15" s="39">
        <v>10000</v>
      </c>
      <c r="M15" s="39">
        <v>1</v>
      </c>
      <c r="N15" s="39">
        <f t="shared" si="12"/>
        <v>11</v>
      </c>
      <c r="T15" s="39">
        <f t="shared" si="1"/>
        <v>2.5625</v>
      </c>
      <c r="U15" s="39">
        <f t="shared" si="13"/>
        <v>0.86109999999999998</v>
      </c>
      <c r="V15" s="584" t="str">
        <f t="shared" si="14"/>
        <v>2,0.88,2,0.88,2.02</v>
      </c>
      <c r="W15" s="39" t="str">
        <f t="shared" si="2"/>
        <v>1,1,0.1</v>
      </c>
      <c r="Y15" s="39" t="str">
        <f t="shared" si="3"/>
        <v>[[0,0,0],[0,0,0],[0,0,0]]</v>
      </c>
      <c r="AA15" s="47">
        <f>ROUND((0-$AD$15)/($A15*AC15*60*6)+1,4)</f>
        <v>0.86109999999999998</v>
      </c>
      <c r="AB15" s="48">
        <f t="shared" si="4"/>
        <v>1666.8000000000004</v>
      </c>
      <c r="AC15" s="590">
        <v>10</v>
      </c>
      <c r="AD15" s="39">
        <v>1000000</v>
      </c>
      <c r="AE15" s="39">
        <f>18*60*6</f>
        <v>6480</v>
      </c>
      <c r="AF15" s="1">
        <f>ROUND(($AJ$7-$AJ$6)/(AH15*60*A15*6)+1,4)</f>
        <v>2.5625</v>
      </c>
      <c r="AG15" s="1">
        <f t="shared" si="5"/>
        <v>18750</v>
      </c>
      <c r="AH15" s="601">
        <v>8</v>
      </c>
      <c r="AI15" s="600"/>
      <c r="AJ15" s="600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Y15" s="1">
        <f t="shared" si="6"/>
        <v>6100</v>
      </c>
      <c r="AZ15" s="605">
        <f>ROUND((BB$3)/(BB15*$A15)+1,4)</f>
        <v>2</v>
      </c>
      <c r="BA15" s="6">
        <f t="shared" si="17"/>
        <v>12000</v>
      </c>
      <c r="BB15" s="607">
        <f>BB5</f>
        <v>50</v>
      </c>
      <c r="BC15" s="6">
        <f>ROUND((-BE$3)/(BE15*$A15)+1,4)</f>
        <v>0.88</v>
      </c>
      <c r="BD15" s="6">
        <f t="shared" si="35"/>
        <v>-1440</v>
      </c>
      <c r="BE15" s="607">
        <f>BE5</f>
        <v>500</v>
      </c>
      <c r="BF15" s="6">
        <f>ROUND((BH$3)/(BH15*$A15)+1,4)</f>
        <v>2</v>
      </c>
      <c r="BG15" s="6">
        <f t="shared" si="21"/>
        <v>12000</v>
      </c>
      <c r="BH15" s="607">
        <f>BH5</f>
        <v>50</v>
      </c>
      <c r="BI15" s="6">
        <f>ROUND((-BK$3)/(BK15*$A15)+1,4)</f>
        <v>0.88</v>
      </c>
      <c r="BJ15" s="6">
        <f t="shared" si="38"/>
        <v>-1440</v>
      </c>
      <c r="BK15" s="607">
        <f>BK5</f>
        <v>500</v>
      </c>
      <c r="BL15" s="6">
        <f>ROUND((BN$3)/(BN15*$A15)+1,4)</f>
        <v>2.02</v>
      </c>
      <c r="BM15" s="6">
        <f t="shared" si="25"/>
        <v>12240</v>
      </c>
      <c r="BN15" s="607">
        <f>BN5</f>
        <v>5000</v>
      </c>
      <c r="CH15" s="39"/>
      <c r="CI15" s="615">
        <f t="shared" si="7"/>
        <v>0.1</v>
      </c>
      <c r="CJ15" s="39">
        <v>1</v>
      </c>
      <c r="CK15" s="39">
        <v>1</v>
      </c>
      <c r="CL15" s="615">
        <f t="shared" si="8"/>
        <v>0.1</v>
      </c>
      <c r="CM15" s="39"/>
      <c r="CN15" s="62">
        <f t="shared" si="9"/>
        <v>100000</v>
      </c>
      <c r="CO15" s="62">
        <v>0</v>
      </c>
      <c r="CP15" s="62">
        <v>0</v>
      </c>
      <c r="CQ15" s="62">
        <v>0</v>
      </c>
      <c r="CR15" s="62">
        <f t="shared" si="10"/>
        <v>200000</v>
      </c>
      <c r="CS15" s="62">
        <v>0</v>
      </c>
      <c r="CT15" s="62">
        <v>0</v>
      </c>
      <c r="CU15" s="62">
        <v>0</v>
      </c>
      <c r="CV15" s="62">
        <f t="shared" si="11"/>
        <v>300000</v>
      </c>
      <c r="CW15" s="62">
        <v>0</v>
      </c>
      <c r="CX15" s="62">
        <v>0</v>
      </c>
      <c r="CY15" s="62">
        <v>0</v>
      </c>
    </row>
    <row r="16" spans="1:103" x14ac:dyDescent="0.35">
      <c r="A16" s="63">
        <v>4000</v>
      </c>
      <c r="B16" s="39">
        <v>1</v>
      </c>
      <c r="C16" s="39">
        <f t="shared" si="47"/>
        <v>40</v>
      </c>
      <c r="D16" s="39">
        <v>0.5</v>
      </c>
      <c r="E16" s="39">
        <v>-1</v>
      </c>
      <c r="F16" s="39">
        <v>1005</v>
      </c>
      <c r="G16" s="39">
        <f t="shared" si="0"/>
        <v>20000000</v>
      </c>
      <c r="H16" s="39">
        <f t="shared" ref="H16:H24" si="48">H11</f>
        <v>120</v>
      </c>
      <c r="I16" s="39">
        <v>100</v>
      </c>
      <c r="J16" s="39">
        <v>10000</v>
      </c>
      <c r="M16" s="39">
        <v>1</v>
      </c>
      <c r="N16" s="39">
        <f t="shared" si="12"/>
        <v>12</v>
      </c>
      <c r="T16" s="39">
        <f t="shared" si="1"/>
        <v>1.8621000000000001</v>
      </c>
      <c r="U16" s="39">
        <f t="shared" si="13"/>
        <v>0.86109999999999998</v>
      </c>
      <c r="V16" s="584" t="str">
        <f t="shared" si="14"/>
        <v>1.5882,0.9294,1.5882,0.9294,1.6</v>
      </c>
      <c r="W16" s="39" t="str">
        <f t="shared" si="2"/>
        <v>2,1,0.1</v>
      </c>
      <c r="Y16" s="39" t="str">
        <f t="shared" si="3"/>
        <v>[[0,0,0],[0,0,0],[0,0,0]]</v>
      </c>
      <c r="AA16" s="10">
        <f>ROUND((0-$AD$15)/($A16*AC16*60*6)+1,4)</f>
        <v>0.86109999999999998</v>
      </c>
      <c r="AB16" s="11">
        <f t="shared" si="4"/>
        <v>3333.6000000000008</v>
      </c>
      <c r="AC16" s="591">
        <f>AC$15*(A$15/A16)</f>
        <v>5</v>
      </c>
      <c r="AF16" s="1">
        <f>ROUND(($AJ$7-$AJ$6)/(AH16*60*A16*6)+1,4)</f>
        <v>1.8621000000000001</v>
      </c>
      <c r="AG16" s="1">
        <f t="shared" si="5"/>
        <v>20690.400000000001</v>
      </c>
      <c r="AH16" s="601">
        <f>AH15-0.75</f>
        <v>7.25</v>
      </c>
      <c r="AI16" s="600"/>
      <c r="AJ16" s="600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Y16" s="1">
        <f t="shared" si="6"/>
        <v>5185</v>
      </c>
      <c r="AZ16" s="605">
        <f t="shared" ref="AZ16:AZ19" si="49">ROUND((BB$3)/(BB16*$A16)+1,4)</f>
        <v>1.5882000000000001</v>
      </c>
      <c r="BA16" s="6">
        <f t="shared" si="17"/>
        <v>14116.800000000001</v>
      </c>
      <c r="BB16" s="604">
        <f>BB15-7.5</f>
        <v>42.5</v>
      </c>
      <c r="BC16" s="6">
        <f t="shared" ref="BC16:BC19" si="50">ROUND((-BE$3)/(BE16*$A16)+1,4)</f>
        <v>0.9294</v>
      </c>
      <c r="BD16" s="6">
        <f t="shared" ref="BD16:BD19" si="51">(BC16-1)*$A16*6</f>
        <v>-1694.3999999999999</v>
      </c>
      <c r="BE16" s="604">
        <f>BE15-75</f>
        <v>425</v>
      </c>
      <c r="BF16" s="6">
        <f t="shared" ref="BF16:BF19" si="52">ROUND((BH$3)/(BH16*$A16)+1,4)</f>
        <v>1.5882000000000001</v>
      </c>
      <c r="BG16" s="6">
        <f t="shared" si="21"/>
        <v>14116.800000000001</v>
      </c>
      <c r="BH16" s="604">
        <f>BH15-7.5</f>
        <v>42.5</v>
      </c>
      <c r="BI16" s="6">
        <f t="shared" ref="BI16:BI19" si="53">ROUND((-BK$3)/(BK16*$A16)+1,4)</f>
        <v>0.9294</v>
      </c>
      <c r="BJ16" s="6">
        <f t="shared" ref="BJ16:BJ19" si="54">(BI16-1)*$A16*6</f>
        <v>-1694.3999999999999</v>
      </c>
      <c r="BK16" s="604">
        <f>BK15-75</f>
        <v>425</v>
      </c>
      <c r="BL16" s="6">
        <f t="shared" ref="BL16:BL19" si="55">ROUND((BN$3)/(BN16*$A16)+1,4)</f>
        <v>1.6</v>
      </c>
      <c r="BM16" s="6">
        <f t="shared" si="25"/>
        <v>14400.000000000004</v>
      </c>
      <c r="BN16" s="604">
        <f>BN15-750</f>
        <v>4250</v>
      </c>
      <c r="CH16" s="39"/>
      <c r="CI16" s="615">
        <f t="shared" si="7"/>
        <v>0.2</v>
      </c>
      <c r="CJ16" s="39">
        <v>2</v>
      </c>
      <c r="CK16" s="39">
        <v>1</v>
      </c>
      <c r="CL16" s="615">
        <f t="shared" si="8"/>
        <v>0.1</v>
      </c>
      <c r="CM16" s="39"/>
      <c r="CN16" s="62">
        <f t="shared" si="9"/>
        <v>200000</v>
      </c>
      <c r="CO16" s="62">
        <v>0</v>
      </c>
      <c r="CP16" s="62">
        <v>0</v>
      </c>
      <c r="CQ16" s="62">
        <v>0</v>
      </c>
      <c r="CR16" s="62">
        <f t="shared" si="10"/>
        <v>400000</v>
      </c>
      <c r="CS16" s="62">
        <v>0</v>
      </c>
      <c r="CT16" s="62">
        <v>0</v>
      </c>
      <c r="CU16" s="62">
        <v>0</v>
      </c>
      <c r="CV16" s="62">
        <f t="shared" si="11"/>
        <v>600000</v>
      </c>
      <c r="CW16" s="62">
        <v>0</v>
      </c>
      <c r="CX16" s="62">
        <v>0</v>
      </c>
      <c r="CY16" s="62">
        <v>0</v>
      </c>
    </row>
    <row r="17" spans="1:103" x14ac:dyDescent="0.35">
      <c r="A17" s="63">
        <v>6000</v>
      </c>
      <c r="B17" s="39">
        <v>1</v>
      </c>
      <c r="C17" s="39">
        <f t="shared" si="47"/>
        <v>60</v>
      </c>
      <c r="D17" s="39">
        <v>0.5</v>
      </c>
      <c r="E17" s="39">
        <v>-1</v>
      </c>
      <c r="F17" s="39">
        <v>1005</v>
      </c>
      <c r="G17" s="39">
        <f t="shared" si="0"/>
        <v>30000000</v>
      </c>
      <c r="H17" s="39">
        <f t="shared" si="48"/>
        <v>150</v>
      </c>
      <c r="I17" s="39">
        <v>100</v>
      </c>
      <c r="J17" s="39">
        <v>9000</v>
      </c>
      <c r="M17" s="39">
        <v>1</v>
      </c>
      <c r="N17" s="39">
        <f t="shared" si="12"/>
        <v>13</v>
      </c>
      <c r="T17" s="39">
        <f t="shared" si="1"/>
        <v>1.641</v>
      </c>
      <c r="U17" s="39">
        <f t="shared" si="13"/>
        <v>0.86109999999999998</v>
      </c>
      <c r="V17" s="584" t="str">
        <f t="shared" si="14"/>
        <v>1.4762,0.9429,1.4762,0.9429,1.4857</v>
      </c>
      <c r="W17" s="39" t="str">
        <f t="shared" si="2"/>
        <v>2,1,0.15</v>
      </c>
      <c r="Y17" s="39" t="str">
        <f t="shared" si="3"/>
        <v>[[0,0,0],[0,0,0],[0,0,0]]</v>
      </c>
      <c r="AA17" s="10">
        <f>ROUND((0-$AD$15)/($A17*AC17*60*6)+1,4)</f>
        <v>0.86109999999999998</v>
      </c>
      <c r="AB17" s="11">
        <f t="shared" si="4"/>
        <v>5000.4000000000005</v>
      </c>
      <c r="AC17" s="592">
        <f t="shared" ref="AC17:AC19" si="56">AC$15*(A$15/A17)</f>
        <v>3.333333333333333</v>
      </c>
      <c r="AF17" s="1">
        <f>ROUND(($AJ$7-$AJ$6)/(AH17*60*A17*6)+1,4)</f>
        <v>1.641</v>
      </c>
      <c r="AG17" s="1">
        <f t="shared" si="5"/>
        <v>23076</v>
      </c>
      <c r="AH17" s="601">
        <f t="shared" ref="AH17:AH19" si="57">AH16-0.75</f>
        <v>6.5</v>
      </c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Y17" s="1">
        <f t="shared" si="6"/>
        <v>4270</v>
      </c>
      <c r="AZ17" s="605">
        <f t="shared" si="49"/>
        <v>1.4762</v>
      </c>
      <c r="BA17" s="6">
        <f t="shared" si="17"/>
        <v>17143.199999999997</v>
      </c>
      <c r="BB17" s="604">
        <f t="shared" ref="BB17:BB19" si="58">BB16-7.5</f>
        <v>35</v>
      </c>
      <c r="BC17" s="6">
        <f t="shared" si="50"/>
        <v>0.94289999999999996</v>
      </c>
      <c r="BD17" s="6">
        <f t="shared" si="51"/>
        <v>-2055.6000000000013</v>
      </c>
      <c r="BE17" s="604">
        <f t="shared" ref="BE17:BE19" si="59">BE16-75</f>
        <v>350</v>
      </c>
      <c r="BF17" s="6">
        <f t="shared" si="52"/>
        <v>1.4762</v>
      </c>
      <c r="BG17" s="6">
        <f t="shared" si="21"/>
        <v>17143.199999999997</v>
      </c>
      <c r="BH17" s="604">
        <f t="shared" ref="BH17:BH19" si="60">BH16-7.5</f>
        <v>35</v>
      </c>
      <c r="BI17" s="6">
        <f t="shared" si="53"/>
        <v>0.94289999999999996</v>
      </c>
      <c r="BJ17" s="6">
        <f t="shared" si="54"/>
        <v>-2055.6000000000013</v>
      </c>
      <c r="BK17" s="604">
        <f t="shared" ref="BK17:BK19" si="61">BK16-75</f>
        <v>350</v>
      </c>
      <c r="BL17" s="6">
        <f t="shared" si="55"/>
        <v>1.4857</v>
      </c>
      <c r="BM17" s="6">
        <f t="shared" si="25"/>
        <v>17485.2</v>
      </c>
      <c r="BN17" s="604">
        <f t="shared" ref="BN17:BN19" si="62">BN16-750</f>
        <v>3500</v>
      </c>
      <c r="CH17" s="39"/>
      <c r="CI17" s="615">
        <f t="shared" si="7"/>
        <v>0.3</v>
      </c>
      <c r="CJ17" s="39">
        <v>2</v>
      </c>
      <c r="CK17" s="39">
        <v>1</v>
      </c>
      <c r="CL17" s="615">
        <f t="shared" si="8"/>
        <v>0.15</v>
      </c>
      <c r="CM17" s="39"/>
      <c r="CN17" s="62">
        <f t="shared" si="9"/>
        <v>300000</v>
      </c>
      <c r="CO17" s="62">
        <v>0</v>
      </c>
      <c r="CP17" s="62">
        <v>0</v>
      </c>
      <c r="CQ17" s="62">
        <v>0</v>
      </c>
      <c r="CR17" s="62">
        <f t="shared" si="10"/>
        <v>600000</v>
      </c>
      <c r="CS17" s="62">
        <v>0</v>
      </c>
      <c r="CT17" s="62">
        <v>0</v>
      </c>
      <c r="CU17" s="62">
        <v>0</v>
      </c>
      <c r="CV17" s="62">
        <f t="shared" si="11"/>
        <v>900000</v>
      </c>
      <c r="CW17" s="62">
        <v>0</v>
      </c>
      <c r="CX17" s="62">
        <v>0</v>
      </c>
      <c r="CY17" s="62">
        <v>0</v>
      </c>
    </row>
    <row r="18" spans="1:103" x14ac:dyDescent="0.35">
      <c r="A18" s="63">
        <v>8000</v>
      </c>
      <c r="B18" s="39">
        <v>1</v>
      </c>
      <c r="C18" s="39">
        <f t="shared" si="47"/>
        <v>80</v>
      </c>
      <c r="D18" s="39">
        <v>0.5</v>
      </c>
      <c r="E18" s="39">
        <v>-1</v>
      </c>
      <c r="F18" s="39">
        <v>1005</v>
      </c>
      <c r="G18" s="39">
        <f t="shared" si="0"/>
        <v>40000000</v>
      </c>
      <c r="H18" s="39">
        <f t="shared" si="48"/>
        <v>170</v>
      </c>
      <c r="I18" s="39">
        <v>100</v>
      </c>
      <c r="J18" s="39">
        <v>8000</v>
      </c>
      <c r="M18" s="39">
        <v>1</v>
      </c>
      <c r="N18" s="39">
        <f t="shared" si="12"/>
        <v>14</v>
      </c>
      <c r="T18" s="39">
        <f t="shared" si="1"/>
        <v>1.5435000000000001</v>
      </c>
      <c r="U18" s="39">
        <f t="shared" si="13"/>
        <v>0.86109999999999998</v>
      </c>
      <c r="V18" s="584" t="str">
        <f t="shared" si="14"/>
        <v>1.4545,0.9455,1.4545,0.9455,1.4636</v>
      </c>
      <c r="W18" s="39" t="str">
        <f t="shared" si="2"/>
        <v>3,1,0.133333</v>
      </c>
      <c r="Y18" s="39" t="str">
        <f t="shared" si="3"/>
        <v>[[0,0,0],[0,0,0],[0,0,0]]</v>
      </c>
      <c r="AA18" s="10">
        <f>ROUND((0-$AD$15)/($A18*AC18*60*6)+1,4)</f>
        <v>0.86109999999999998</v>
      </c>
      <c r="AB18" s="11">
        <f t="shared" si="4"/>
        <v>6667.2000000000016</v>
      </c>
      <c r="AC18" s="591">
        <f t="shared" si="56"/>
        <v>2.5</v>
      </c>
      <c r="AF18" s="1">
        <f>ROUND(($AJ$7-$AJ$6)/(AH18*60*A18*6)+1,4)</f>
        <v>1.5435000000000001</v>
      </c>
      <c r="AG18" s="1">
        <f t="shared" si="5"/>
        <v>26088.000000000007</v>
      </c>
      <c r="AH18" s="601">
        <f t="shared" si="57"/>
        <v>5.75</v>
      </c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Y18" s="1">
        <f t="shared" si="6"/>
        <v>3355</v>
      </c>
      <c r="AZ18" s="605">
        <f t="shared" si="49"/>
        <v>1.4544999999999999</v>
      </c>
      <c r="BA18" s="6">
        <f t="shared" si="17"/>
        <v>21815.999999999993</v>
      </c>
      <c r="BB18" s="604">
        <f t="shared" si="58"/>
        <v>27.5</v>
      </c>
      <c r="BC18" s="6">
        <f t="shared" si="50"/>
        <v>0.94550000000000001</v>
      </c>
      <c r="BD18" s="6">
        <f t="shared" si="51"/>
        <v>-2615.9999999999995</v>
      </c>
      <c r="BE18" s="604">
        <f t="shared" si="59"/>
        <v>275</v>
      </c>
      <c r="BF18" s="6">
        <f t="shared" si="52"/>
        <v>1.4544999999999999</v>
      </c>
      <c r="BG18" s="6">
        <f t="shared" si="21"/>
        <v>21815.999999999993</v>
      </c>
      <c r="BH18" s="604">
        <f t="shared" si="60"/>
        <v>27.5</v>
      </c>
      <c r="BI18" s="6">
        <f t="shared" si="53"/>
        <v>0.94550000000000001</v>
      </c>
      <c r="BJ18" s="6">
        <f t="shared" si="54"/>
        <v>-2615.9999999999995</v>
      </c>
      <c r="BK18" s="604">
        <f t="shared" si="61"/>
        <v>275</v>
      </c>
      <c r="BL18" s="6">
        <f t="shared" si="55"/>
        <v>1.4636</v>
      </c>
      <c r="BM18" s="6">
        <f t="shared" si="25"/>
        <v>22252.800000000003</v>
      </c>
      <c r="BN18" s="604">
        <f t="shared" si="62"/>
        <v>2750</v>
      </c>
      <c r="CH18" s="39"/>
      <c r="CI18" s="615">
        <f t="shared" si="7"/>
        <v>0.4</v>
      </c>
      <c r="CJ18" s="39">
        <v>3</v>
      </c>
      <c r="CK18" s="39">
        <v>1</v>
      </c>
      <c r="CL18" s="615">
        <f t="shared" si="8"/>
        <v>0.13333300000000001</v>
      </c>
      <c r="CM18" s="39"/>
      <c r="CN18" s="62">
        <f t="shared" si="9"/>
        <v>400000</v>
      </c>
      <c r="CO18" s="62">
        <v>0</v>
      </c>
      <c r="CP18" s="62">
        <v>0</v>
      </c>
      <c r="CQ18" s="62">
        <v>0</v>
      </c>
      <c r="CR18" s="62">
        <f t="shared" si="10"/>
        <v>800000</v>
      </c>
      <c r="CS18" s="62">
        <v>0</v>
      </c>
      <c r="CT18" s="62">
        <v>0</v>
      </c>
      <c r="CU18" s="62">
        <v>0</v>
      </c>
      <c r="CV18" s="62">
        <f t="shared" si="11"/>
        <v>1200000</v>
      </c>
      <c r="CW18" s="62">
        <v>0</v>
      </c>
      <c r="CX18" s="62">
        <v>0</v>
      </c>
      <c r="CY18" s="62">
        <v>0</v>
      </c>
    </row>
    <row r="19" spans="1:103" x14ac:dyDescent="0.35">
      <c r="A19" s="63">
        <v>10000</v>
      </c>
      <c r="B19" s="39">
        <v>1</v>
      </c>
      <c r="C19" s="39">
        <f t="shared" si="47"/>
        <v>100</v>
      </c>
      <c r="D19" s="39">
        <v>0.5</v>
      </c>
      <c r="E19" s="39">
        <v>-1</v>
      </c>
      <c r="F19" s="39">
        <v>1005</v>
      </c>
      <c r="G19" s="39">
        <f t="shared" si="0"/>
        <v>50000000</v>
      </c>
      <c r="H19" s="39">
        <f t="shared" si="48"/>
        <v>200</v>
      </c>
      <c r="I19" s="39">
        <v>100</v>
      </c>
      <c r="J19" s="39">
        <v>8000</v>
      </c>
      <c r="M19" s="39">
        <v>1</v>
      </c>
      <c r="N19" s="39">
        <f t="shared" si="12"/>
        <v>15</v>
      </c>
      <c r="T19" s="39">
        <f t="shared" si="1"/>
        <v>1.5</v>
      </c>
      <c r="U19" s="39">
        <f t="shared" si="13"/>
        <v>0.86109999999999998</v>
      </c>
      <c r="V19" s="584" t="str">
        <f t="shared" si="14"/>
        <v>1.5,0.94,1.5,0.94,1.51</v>
      </c>
      <c r="W19" s="39" t="str">
        <f t="shared" si="2"/>
        <v>4,1,0.125</v>
      </c>
      <c r="Y19" s="39" t="str">
        <f t="shared" si="3"/>
        <v>[[0,0,0],[0,0,0],[0,0,0]]</v>
      </c>
      <c r="AA19" s="13">
        <f>ROUND((0-$AD$15)/($A19*AC19*60*6)+1,4)</f>
        <v>0.86109999999999998</v>
      </c>
      <c r="AB19" s="14">
        <f t="shared" si="4"/>
        <v>8334.0000000000018</v>
      </c>
      <c r="AC19" s="593">
        <f t="shared" si="56"/>
        <v>2</v>
      </c>
      <c r="AF19" s="1">
        <f>ROUND(($AJ$7-$AJ$6)/(AH19*60*A19*6)+1,4)</f>
        <v>1.5</v>
      </c>
      <c r="AG19" s="1">
        <f t="shared" si="5"/>
        <v>30000</v>
      </c>
      <c r="AH19" s="601">
        <f t="shared" si="57"/>
        <v>5</v>
      </c>
      <c r="AI19" s="83" t="s">
        <v>126</v>
      </c>
      <c r="AJ19" s="598" t="s">
        <v>86</v>
      </c>
      <c r="AK19" s="598" t="s">
        <v>127</v>
      </c>
      <c r="AL19" s="83" t="s">
        <v>128</v>
      </c>
      <c r="AM19" s="598" t="s">
        <v>86</v>
      </c>
      <c r="AN19" s="598" t="s">
        <v>127</v>
      </c>
      <c r="AO19" s="83" t="s">
        <v>129</v>
      </c>
      <c r="AP19" s="598" t="s">
        <v>86</v>
      </c>
      <c r="AQ19" s="598" t="s">
        <v>127</v>
      </c>
      <c r="AR19" s="83" t="s">
        <v>130</v>
      </c>
      <c r="AS19" s="598" t="s">
        <v>86</v>
      </c>
      <c r="AT19" s="598" t="s">
        <v>127</v>
      </c>
      <c r="AU19" s="83" t="s">
        <v>131</v>
      </c>
      <c r="AV19" s="598" t="s">
        <v>86</v>
      </c>
      <c r="AW19" s="598" t="s">
        <v>127</v>
      </c>
      <c r="AY19" s="1">
        <f t="shared" si="6"/>
        <v>2440</v>
      </c>
      <c r="AZ19" s="605">
        <f t="shared" si="49"/>
        <v>1.5</v>
      </c>
      <c r="BA19" s="6">
        <f t="shared" si="17"/>
        <v>30000</v>
      </c>
      <c r="BB19" s="604">
        <f t="shared" si="58"/>
        <v>20</v>
      </c>
      <c r="BC19" s="6">
        <f t="shared" si="50"/>
        <v>0.94</v>
      </c>
      <c r="BD19" s="6">
        <f t="shared" si="51"/>
        <v>-3600.0000000000036</v>
      </c>
      <c r="BE19" s="604">
        <f t="shared" si="59"/>
        <v>200</v>
      </c>
      <c r="BF19" s="6">
        <f t="shared" si="52"/>
        <v>1.5</v>
      </c>
      <c r="BG19" s="6">
        <f t="shared" si="21"/>
        <v>30000</v>
      </c>
      <c r="BH19" s="604">
        <f t="shared" si="60"/>
        <v>20</v>
      </c>
      <c r="BI19" s="6">
        <f t="shared" si="53"/>
        <v>0.94</v>
      </c>
      <c r="BJ19" s="6">
        <f t="shared" si="54"/>
        <v>-3600.0000000000036</v>
      </c>
      <c r="BK19" s="604">
        <f t="shared" si="61"/>
        <v>200</v>
      </c>
      <c r="BL19" s="6">
        <f t="shared" si="55"/>
        <v>1.51</v>
      </c>
      <c r="BM19" s="6">
        <f t="shared" si="25"/>
        <v>30600</v>
      </c>
      <c r="BN19" s="604">
        <f t="shared" si="62"/>
        <v>2000</v>
      </c>
      <c r="CH19" s="39"/>
      <c r="CI19" s="615">
        <f t="shared" si="7"/>
        <v>0.5</v>
      </c>
      <c r="CJ19" s="39">
        <v>4</v>
      </c>
      <c r="CK19" s="39">
        <v>1</v>
      </c>
      <c r="CL19" s="615">
        <f t="shared" si="8"/>
        <v>0.125</v>
      </c>
      <c r="CM19" s="39"/>
      <c r="CN19" s="62">
        <f t="shared" si="9"/>
        <v>500000</v>
      </c>
      <c r="CO19" s="62">
        <v>0</v>
      </c>
      <c r="CP19" s="62">
        <v>0</v>
      </c>
      <c r="CQ19" s="62">
        <v>0</v>
      </c>
      <c r="CR19" s="62">
        <f t="shared" si="10"/>
        <v>1000000</v>
      </c>
      <c r="CS19" s="62">
        <v>0</v>
      </c>
      <c r="CT19" s="62">
        <v>0</v>
      </c>
      <c r="CU19" s="62">
        <v>0</v>
      </c>
      <c r="CV19" s="62">
        <f t="shared" si="11"/>
        <v>1500000</v>
      </c>
      <c r="CW19" s="62">
        <v>0</v>
      </c>
      <c r="CX19" s="62">
        <v>0</v>
      </c>
      <c r="CY19" s="62">
        <v>0</v>
      </c>
    </row>
    <row r="20" spans="1:103" x14ac:dyDescent="0.35">
      <c r="A20" s="63">
        <v>20000</v>
      </c>
      <c r="B20" s="39">
        <v>1</v>
      </c>
      <c r="C20" s="39">
        <f t="shared" si="47"/>
        <v>200</v>
      </c>
      <c r="D20" s="39">
        <v>0.5</v>
      </c>
      <c r="E20" s="39">
        <v>-1</v>
      </c>
      <c r="F20" s="39">
        <v>1005</v>
      </c>
      <c r="G20" s="39">
        <f t="shared" si="0"/>
        <v>100000000</v>
      </c>
      <c r="H20" s="39">
        <f t="shared" si="48"/>
        <v>100</v>
      </c>
      <c r="I20" s="39">
        <v>120</v>
      </c>
      <c r="J20" s="39">
        <v>5000</v>
      </c>
      <c r="M20" s="39">
        <v>1</v>
      </c>
      <c r="N20" s="39">
        <f t="shared" si="12"/>
        <v>16</v>
      </c>
      <c r="T20" s="585" t="str">
        <f>AF20&amp;","&amp;AI20&amp;","&amp;AL20&amp;","&amp;AO20&amp;","&amp;AR20&amp;","&amp;AU20</f>
        <v>1.1389,0.8611,1.1389,0.8611,1.1389,0.8611</v>
      </c>
      <c r="U20" s="39">
        <f t="shared" si="13"/>
        <v>0.82640000000000002</v>
      </c>
      <c r="V20" s="584"/>
      <c r="W20" s="39" t="str">
        <f t="shared" si="2"/>
        <v>5,1,0.2</v>
      </c>
      <c r="Y20" s="39" t="str">
        <f t="shared" si="3"/>
        <v>[[0,0,0],[1006,1,0.3],[1005,3,0.5]]</v>
      </c>
      <c r="AA20" s="47">
        <f>ROUND((0-$AD$20)/($A20*AC20*60*6)+1,4)</f>
        <v>0.82640000000000002</v>
      </c>
      <c r="AB20" s="48">
        <f t="shared" si="4"/>
        <v>20831.999999999996</v>
      </c>
      <c r="AC20" s="590">
        <v>8</v>
      </c>
      <c r="AD20" s="39">
        <v>10000000</v>
      </c>
      <c r="AE20" s="39">
        <f>25*60*6</f>
        <v>9000</v>
      </c>
      <c r="AF20" s="1">
        <f>ROUND(($AJ$8-$AJ$7)/(AH20*60*$A20*6)+1,4)</f>
        <v>1.1389</v>
      </c>
      <c r="AG20" s="1">
        <f>(AF20-1)*$A20*6</f>
        <v>16668.000000000004</v>
      </c>
      <c r="AH20" s="602">
        <v>2</v>
      </c>
      <c r="AI20" s="1">
        <f>ROUND(($AJ$9-$AJ$8)/(A20*6*60*AK20)+1,4)</f>
        <v>0.86109999999999998</v>
      </c>
      <c r="AJ20" s="1">
        <f>(AI20-1)*$A20*6</f>
        <v>-16668.000000000004</v>
      </c>
      <c r="AK20" s="602">
        <f>AH20*3</f>
        <v>6</v>
      </c>
      <c r="AL20" s="1">
        <f>ROUND(($AJ$10-$AJ$9)/(AN20*60*A20*6)+1,4)</f>
        <v>1.1389</v>
      </c>
      <c r="AM20" s="1">
        <f>(AL20-1)*$A20*6</f>
        <v>16668.000000000004</v>
      </c>
      <c r="AN20" s="602">
        <v>2</v>
      </c>
      <c r="AO20" s="1">
        <f>ROUND(($AJ$11-$AJ$10)/(A20*6*60*AQ20)+1,4)</f>
        <v>0.86109999999999998</v>
      </c>
      <c r="AP20" s="1">
        <f>(AO20-1)*$A20*6</f>
        <v>-16668.000000000004</v>
      </c>
      <c r="AQ20" s="602">
        <f>AN20*3</f>
        <v>6</v>
      </c>
      <c r="AR20" s="1">
        <f>ROUND(($AJ$12-$AJ$11)/(AT20*60*A20*6)+1,4)</f>
        <v>1.1389</v>
      </c>
      <c r="AS20" s="1">
        <f>(AR20-1)*$A20*6</f>
        <v>16668.000000000004</v>
      </c>
      <c r="AT20" s="602">
        <v>2</v>
      </c>
      <c r="AU20" s="1">
        <f>ROUND(($AJ$13-$AJ$12)/(A20*6*60*AW20)+1,4)</f>
        <v>0.86109999999999998</v>
      </c>
      <c r="AV20" s="1">
        <f>(AU20-1)*$A20*6</f>
        <v>-16668.000000000004</v>
      </c>
      <c r="AW20" s="602">
        <f>AT20*2</f>
        <v>4</v>
      </c>
      <c r="CH20" s="39"/>
      <c r="CI20" s="615">
        <f t="shared" si="7"/>
        <v>1</v>
      </c>
      <c r="CJ20" s="39">
        <v>5</v>
      </c>
      <c r="CK20" s="39">
        <v>1</v>
      </c>
      <c r="CL20" s="615">
        <f t="shared" si="8"/>
        <v>0.2</v>
      </c>
      <c r="CM20" s="39"/>
      <c r="CN20" s="62">
        <f t="shared" si="9"/>
        <v>1000000</v>
      </c>
      <c r="CO20" s="62">
        <v>0</v>
      </c>
      <c r="CP20" s="62">
        <v>0</v>
      </c>
      <c r="CQ20" s="62">
        <v>0</v>
      </c>
      <c r="CR20" s="62">
        <f t="shared" si="10"/>
        <v>2000000</v>
      </c>
      <c r="CS20" s="62">
        <v>1006</v>
      </c>
      <c r="CT20" s="62">
        <v>1</v>
      </c>
      <c r="CU20" s="619">
        <v>0.3</v>
      </c>
      <c r="CV20" s="62">
        <f t="shared" si="11"/>
        <v>3000000</v>
      </c>
      <c r="CW20" s="62">
        <v>1005</v>
      </c>
      <c r="CX20" s="62">
        <v>3</v>
      </c>
      <c r="CY20" s="619">
        <v>0.5</v>
      </c>
    </row>
    <row r="21" spans="1:103" x14ac:dyDescent="0.35">
      <c r="A21" s="63">
        <v>40000</v>
      </c>
      <c r="B21" s="39">
        <v>1</v>
      </c>
      <c r="C21" s="39">
        <f t="shared" si="47"/>
        <v>400</v>
      </c>
      <c r="D21" s="39">
        <v>0.5</v>
      </c>
      <c r="E21" s="39">
        <v>-1</v>
      </c>
      <c r="F21" s="39">
        <v>1006</v>
      </c>
      <c r="G21" s="39">
        <f t="shared" si="0"/>
        <v>200000000</v>
      </c>
      <c r="H21" s="39">
        <f t="shared" si="48"/>
        <v>120</v>
      </c>
      <c r="I21" s="39">
        <v>140</v>
      </c>
      <c r="J21" s="39">
        <v>5000</v>
      </c>
      <c r="M21" s="39">
        <v>1</v>
      </c>
      <c r="N21" s="39">
        <f t="shared" si="12"/>
        <v>17</v>
      </c>
      <c r="T21" s="585" t="str">
        <f t="shared" ref="T21:T24" si="63">AF21&amp;","&amp;AI21&amp;","&amp;AL21&amp;","&amp;AO21&amp;","&amp;AR21&amp;","&amp;AU21</f>
        <v>1.0794,0.9206,1.0794,0.9206,1.0794,0.9206</v>
      </c>
      <c r="U21" s="39">
        <f t="shared" si="13"/>
        <v>0.90739999999999998</v>
      </c>
      <c r="V21" s="584"/>
      <c r="W21" s="39" t="str">
        <f t="shared" si="2"/>
        <v>6,1,0.333333</v>
      </c>
      <c r="Y21" s="39" t="str">
        <f t="shared" si="3"/>
        <v>[[0,0,0],[1006,2,0.3],[1006,3,0.5]]</v>
      </c>
      <c r="AA21" s="10">
        <f>ROUND((0-$AD$20)/($A21*AC21*60*6)+1,4)</f>
        <v>0.90739999999999998</v>
      </c>
      <c r="AB21" s="11">
        <f t="shared" si="4"/>
        <v>22224.000000000004</v>
      </c>
      <c r="AC21" s="591">
        <v>7.5</v>
      </c>
      <c r="AF21" s="1">
        <f t="shared" ref="AF21:AF24" si="64">ROUND(($AJ$8-$AJ$7)/(AH21*60*$A21*6)+1,4)</f>
        <v>1.0793999999999999</v>
      </c>
      <c r="AG21" s="1">
        <f t="shared" ref="AG21:AG24" si="65">(AF21-1)*$A21*6</f>
        <v>19055.999999999982</v>
      </c>
      <c r="AH21" s="602">
        <v>1.75</v>
      </c>
      <c r="AI21" s="1">
        <f t="shared" ref="AI21:AI24" si="66">ROUND(($AJ$9-$AJ$8)/(A21*6*60*AK21)+1,4)</f>
        <v>0.92059999999999997</v>
      </c>
      <c r="AJ21" s="1">
        <f t="shared" ref="AJ21:AJ24" si="67">(AI21-1)*$A21*6</f>
        <v>-19056.000000000007</v>
      </c>
      <c r="AK21" s="602">
        <f>AH21*3</f>
        <v>5.25</v>
      </c>
      <c r="AL21" s="1">
        <f t="shared" ref="AL21:AL24" si="68">ROUND(($AJ$10-$AJ$9)/(AN21*60*A21*6)+1,4)</f>
        <v>1.0793999999999999</v>
      </c>
      <c r="AM21" s="1">
        <f t="shared" ref="AM21:AM24" si="69">(AL21-1)*$A21*6</f>
        <v>19055.999999999982</v>
      </c>
      <c r="AN21" s="602">
        <v>1.75</v>
      </c>
      <c r="AO21" s="1">
        <f t="shared" ref="AO21:AO24" si="70">ROUND(($AJ$11-$AJ$10)/(A21*6*60*AQ21)+1,4)</f>
        <v>0.92059999999999997</v>
      </c>
      <c r="AP21" s="1">
        <f t="shared" ref="AP21:AP24" si="71">(AO21-1)*$A21*6</f>
        <v>-19056.000000000007</v>
      </c>
      <c r="AQ21" s="602">
        <f>AN21*3</f>
        <v>5.25</v>
      </c>
      <c r="AR21" s="1">
        <f t="shared" ref="AR21:AR24" si="72">ROUND(($AJ$12-$AJ$11)/(AT21*60*A21*6)+1,4)</f>
        <v>1.0793999999999999</v>
      </c>
      <c r="AS21" s="1">
        <f t="shared" ref="AS21:AS24" si="73">(AR21-1)*$A21*6</f>
        <v>19055.999999999982</v>
      </c>
      <c r="AT21" s="602">
        <v>1.75</v>
      </c>
      <c r="AU21" s="1">
        <f t="shared" ref="AU21:AU24" si="74">ROUND(($AJ$13-$AJ$12)/(A21*6*60*AW21)+1,4)</f>
        <v>0.92059999999999997</v>
      </c>
      <c r="AV21" s="1">
        <f t="shared" ref="AV21:AV24" si="75">(AU21-1)*$A21*6</f>
        <v>-19056.000000000007</v>
      </c>
      <c r="AW21" s="602">
        <f>AT21*2</f>
        <v>3.5</v>
      </c>
      <c r="CH21" s="39"/>
      <c r="CI21" s="615">
        <f t="shared" si="7"/>
        <v>2</v>
      </c>
      <c r="CJ21" s="39">
        <v>6</v>
      </c>
      <c r="CK21" s="39">
        <v>1</v>
      </c>
      <c r="CL21" s="615">
        <f t="shared" si="8"/>
        <v>0.33333299999999999</v>
      </c>
      <c r="CM21" s="39"/>
      <c r="CN21" s="62">
        <f t="shared" si="9"/>
        <v>2000000</v>
      </c>
      <c r="CO21" s="62">
        <v>0</v>
      </c>
      <c r="CP21" s="62">
        <v>0</v>
      </c>
      <c r="CQ21" s="62">
        <v>0</v>
      </c>
      <c r="CR21" s="62">
        <f t="shared" si="10"/>
        <v>4000000</v>
      </c>
      <c r="CS21" s="62">
        <v>1006</v>
      </c>
      <c r="CT21" s="62">
        <v>2</v>
      </c>
      <c r="CU21" s="619">
        <v>0.3</v>
      </c>
      <c r="CV21" s="62">
        <f t="shared" si="11"/>
        <v>6000000</v>
      </c>
      <c r="CW21" s="62">
        <v>1006</v>
      </c>
      <c r="CX21" s="62">
        <v>3</v>
      </c>
      <c r="CY21" s="619">
        <v>0.5</v>
      </c>
    </row>
    <row r="22" spans="1:103" x14ac:dyDescent="0.35">
      <c r="A22" s="63">
        <v>60000</v>
      </c>
      <c r="B22" s="39">
        <v>1</v>
      </c>
      <c r="C22" s="39">
        <f t="shared" si="47"/>
        <v>600</v>
      </c>
      <c r="D22" s="39">
        <v>0.5</v>
      </c>
      <c r="E22" s="39">
        <v>-1</v>
      </c>
      <c r="F22" s="39">
        <v>1006</v>
      </c>
      <c r="G22" s="39">
        <f t="shared" si="0"/>
        <v>300000000</v>
      </c>
      <c r="H22" s="39">
        <f t="shared" si="48"/>
        <v>150</v>
      </c>
      <c r="I22" s="39">
        <v>160</v>
      </c>
      <c r="J22" s="39">
        <v>5000</v>
      </c>
      <c r="M22" s="39">
        <v>1</v>
      </c>
      <c r="N22" s="39">
        <f t="shared" si="12"/>
        <v>18</v>
      </c>
      <c r="T22" s="585" t="str">
        <f t="shared" si="63"/>
        <v>1.0617,0.9383,1.0617,0.9383,1.0617,0.9383</v>
      </c>
      <c r="U22" s="39">
        <f t="shared" si="13"/>
        <v>0.93389999999999995</v>
      </c>
      <c r="V22" s="584"/>
      <c r="W22" s="39" t="str">
        <f t="shared" si="2"/>
        <v>8,1,0.375</v>
      </c>
      <c r="Y22" s="39" t="str">
        <f t="shared" si="3"/>
        <v>[[0,0,0],[1006,3,0.3],[1005,9,0.5]]</v>
      </c>
      <c r="AA22" s="10">
        <f>ROUND((0-$AD$20)/($A22*AC22*60*6)+1,4)</f>
        <v>0.93389999999999995</v>
      </c>
      <c r="AB22" s="11">
        <f t="shared" si="4"/>
        <v>23796.000000000015</v>
      </c>
      <c r="AC22" s="591">
        <v>7</v>
      </c>
      <c r="AF22" s="1">
        <f t="shared" si="64"/>
        <v>1.0617000000000001</v>
      </c>
      <c r="AG22" s="1">
        <f t="shared" si="65"/>
        <v>22212.000000000033</v>
      </c>
      <c r="AH22" s="602">
        <v>1.5</v>
      </c>
      <c r="AI22" s="1">
        <f t="shared" si="66"/>
        <v>0.93830000000000002</v>
      </c>
      <c r="AJ22" s="1">
        <f t="shared" si="67"/>
        <v>-22211.999999999993</v>
      </c>
      <c r="AK22" s="602">
        <f>AH22*3</f>
        <v>4.5</v>
      </c>
      <c r="AL22" s="1">
        <f t="shared" si="68"/>
        <v>1.0617000000000001</v>
      </c>
      <c r="AM22" s="1">
        <f t="shared" si="69"/>
        <v>22212.000000000033</v>
      </c>
      <c r="AN22" s="602">
        <v>1.5</v>
      </c>
      <c r="AO22" s="1">
        <f t="shared" si="70"/>
        <v>0.93830000000000002</v>
      </c>
      <c r="AP22" s="1">
        <f t="shared" si="71"/>
        <v>-22211.999999999993</v>
      </c>
      <c r="AQ22" s="602">
        <f>AN22*3</f>
        <v>4.5</v>
      </c>
      <c r="AR22" s="1">
        <f t="shared" si="72"/>
        <v>1.0617000000000001</v>
      </c>
      <c r="AS22" s="1">
        <f t="shared" si="73"/>
        <v>22212.000000000033</v>
      </c>
      <c r="AT22" s="602">
        <v>1.5</v>
      </c>
      <c r="AU22" s="1">
        <f t="shared" si="74"/>
        <v>0.93830000000000002</v>
      </c>
      <c r="AV22" s="1">
        <f t="shared" si="75"/>
        <v>-22211.999999999993</v>
      </c>
      <c r="AW22" s="602">
        <f>AT22*2</f>
        <v>3</v>
      </c>
      <c r="CH22" s="39"/>
      <c r="CI22" s="615">
        <f t="shared" si="7"/>
        <v>3</v>
      </c>
      <c r="CJ22" s="39">
        <v>8</v>
      </c>
      <c r="CK22" s="39">
        <v>1</v>
      </c>
      <c r="CL22" s="615">
        <f t="shared" si="8"/>
        <v>0.375</v>
      </c>
      <c r="CM22" s="39"/>
      <c r="CN22" s="62">
        <f t="shared" si="9"/>
        <v>3000000</v>
      </c>
      <c r="CO22" s="62">
        <v>0</v>
      </c>
      <c r="CP22" s="62">
        <v>0</v>
      </c>
      <c r="CQ22" s="62">
        <v>0</v>
      </c>
      <c r="CR22" s="62">
        <f t="shared" si="10"/>
        <v>6000000</v>
      </c>
      <c r="CS22" s="62">
        <v>1006</v>
      </c>
      <c r="CT22" s="62">
        <v>3</v>
      </c>
      <c r="CU22" s="619">
        <v>0.3</v>
      </c>
      <c r="CV22" s="62">
        <f t="shared" si="11"/>
        <v>9000000</v>
      </c>
      <c r="CW22" s="62">
        <v>1005</v>
      </c>
      <c r="CX22" s="62">
        <v>9</v>
      </c>
      <c r="CY22" s="619">
        <v>0.5</v>
      </c>
    </row>
    <row r="23" spans="1:103" x14ac:dyDescent="0.35">
      <c r="A23" s="63">
        <v>80000</v>
      </c>
      <c r="B23" s="39">
        <v>1</v>
      </c>
      <c r="C23" s="39">
        <f t="shared" si="47"/>
        <v>800</v>
      </c>
      <c r="D23" s="39">
        <v>0.5</v>
      </c>
      <c r="E23" s="39">
        <v>-1</v>
      </c>
      <c r="F23" s="39">
        <v>1007</v>
      </c>
      <c r="G23" s="39">
        <f t="shared" si="0"/>
        <v>400000000</v>
      </c>
      <c r="H23" s="39">
        <f t="shared" si="48"/>
        <v>170</v>
      </c>
      <c r="I23" s="39">
        <v>180</v>
      </c>
      <c r="J23" s="39">
        <v>5000</v>
      </c>
      <c r="M23" s="39">
        <v>1</v>
      </c>
      <c r="N23" s="39">
        <f t="shared" si="12"/>
        <v>19</v>
      </c>
      <c r="T23" s="585" t="str">
        <f t="shared" si="63"/>
        <v>1.0556,0.9444,1.0556,0.9444,1.0556,0.9444</v>
      </c>
      <c r="U23" s="39">
        <f t="shared" si="13"/>
        <v>0.9466</v>
      </c>
      <c r="V23" s="584"/>
      <c r="W23" s="39" t="str">
        <f t="shared" si="2"/>
        <v>10,1,0.4</v>
      </c>
      <c r="Y23" s="39" t="str">
        <f t="shared" si="3"/>
        <v>[[0,0,0],[1006,4,0.3],[1006,6,0.5]]</v>
      </c>
      <c r="AA23" s="10">
        <f>ROUND((0-$AD$20)/($A23*AC23*60*6)+1,4)</f>
        <v>0.9466</v>
      </c>
      <c r="AB23" s="11">
        <f t="shared" si="4"/>
        <v>25632</v>
      </c>
      <c r="AC23" s="591">
        <v>6.5</v>
      </c>
      <c r="AF23" s="1">
        <f t="shared" si="64"/>
        <v>1.0556000000000001</v>
      </c>
      <c r="AG23" s="1">
        <f t="shared" si="65"/>
        <v>26688.000000000044</v>
      </c>
      <c r="AH23" s="602">
        <v>1.25</v>
      </c>
      <c r="AI23" s="1">
        <f t="shared" si="66"/>
        <v>0.94440000000000002</v>
      </c>
      <c r="AJ23" s="1">
        <f t="shared" si="67"/>
        <v>-26687.999999999989</v>
      </c>
      <c r="AK23" s="602">
        <f>AH23*3</f>
        <v>3.75</v>
      </c>
      <c r="AL23" s="1">
        <f t="shared" si="68"/>
        <v>1.0556000000000001</v>
      </c>
      <c r="AM23" s="1">
        <f t="shared" si="69"/>
        <v>26688.000000000044</v>
      </c>
      <c r="AN23" s="602">
        <v>1.25</v>
      </c>
      <c r="AO23" s="1">
        <f t="shared" si="70"/>
        <v>0.94440000000000002</v>
      </c>
      <c r="AP23" s="1">
        <f t="shared" si="71"/>
        <v>-26687.999999999989</v>
      </c>
      <c r="AQ23" s="602">
        <f>AN23*3</f>
        <v>3.75</v>
      </c>
      <c r="AR23" s="1">
        <f t="shared" si="72"/>
        <v>1.0556000000000001</v>
      </c>
      <c r="AS23" s="1">
        <f t="shared" si="73"/>
        <v>26688.000000000044</v>
      </c>
      <c r="AT23" s="602">
        <v>1.25</v>
      </c>
      <c r="AU23" s="1">
        <f t="shared" si="74"/>
        <v>0.94440000000000002</v>
      </c>
      <c r="AV23" s="1">
        <f t="shared" si="75"/>
        <v>-26687.999999999989</v>
      </c>
      <c r="AW23" s="602">
        <f>AT23*2</f>
        <v>2.5</v>
      </c>
      <c r="BA23" s="608" t="s">
        <v>132</v>
      </c>
      <c r="CH23" s="39"/>
      <c r="CI23" s="615">
        <f t="shared" si="7"/>
        <v>4</v>
      </c>
      <c r="CJ23" s="39">
        <v>10</v>
      </c>
      <c r="CK23" s="39">
        <v>1</v>
      </c>
      <c r="CL23" s="615">
        <f t="shared" si="8"/>
        <v>0.4</v>
      </c>
      <c r="CM23" s="39"/>
      <c r="CN23" s="62">
        <f t="shared" si="9"/>
        <v>4000000</v>
      </c>
      <c r="CO23" s="62">
        <v>0</v>
      </c>
      <c r="CP23" s="62">
        <v>0</v>
      </c>
      <c r="CQ23" s="62">
        <v>0</v>
      </c>
      <c r="CR23" s="62">
        <f t="shared" si="10"/>
        <v>8000000</v>
      </c>
      <c r="CS23" s="62">
        <v>1006</v>
      </c>
      <c r="CT23" s="62">
        <v>4</v>
      </c>
      <c r="CU23" s="619">
        <v>0.3</v>
      </c>
      <c r="CV23" s="62">
        <f t="shared" si="11"/>
        <v>12000000</v>
      </c>
      <c r="CW23" s="62">
        <v>1006</v>
      </c>
      <c r="CX23" s="62">
        <v>6</v>
      </c>
      <c r="CY23" s="619">
        <v>0.5</v>
      </c>
    </row>
    <row r="24" spans="1:103" x14ac:dyDescent="0.35">
      <c r="A24" s="63">
        <v>100000</v>
      </c>
      <c r="B24" s="39">
        <v>1</v>
      </c>
      <c r="C24" s="39">
        <f t="shared" si="47"/>
        <v>1000</v>
      </c>
      <c r="D24" s="39">
        <v>0.5</v>
      </c>
      <c r="E24" s="39">
        <v>-1</v>
      </c>
      <c r="F24" s="39">
        <v>1007</v>
      </c>
      <c r="G24" s="39">
        <f t="shared" si="0"/>
        <v>500000000</v>
      </c>
      <c r="H24" s="39">
        <f t="shared" si="48"/>
        <v>200</v>
      </c>
      <c r="I24" s="39">
        <v>200</v>
      </c>
      <c r="J24" s="39">
        <v>4000</v>
      </c>
      <c r="M24" s="39">
        <v>1</v>
      </c>
      <c r="N24" s="39">
        <f t="shared" si="12"/>
        <v>20</v>
      </c>
      <c r="T24" s="585" t="str">
        <f t="shared" si="63"/>
        <v>1.0556,0.9444,1.0556,0.9444,1.0556,0.9444</v>
      </c>
      <c r="U24" s="39">
        <f t="shared" si="13"/>
        <v>0.95369999999999999</v>
      </c>
      <c r="V24" s="584"/>
      <c r="W24" s="39" t="str">
        <f t="shared" si="2"/>
        <v>10,1,0.5</v>
      </c>
      <c r="Y24" s="39" t="str">
        <f t="shared" si="3"/>
        <v>[[0,0,0],[1008,1,0.3],[1007,3,0.5]]</v>
      </c>
      <c r="AA24" s="13">
        <f>ROUND((0-$AD$20)/($A24*AC24*60*6)+1,4)</f>
        <v>0.95369999999999999</v>
      </c>
      <c r="AB24" s="14">
        <f t="shared" si="4"/>
        <v>27780.000000000007</v>
      </c>
      <c r="AC24" s="593">
        <v>6</v>
      </c>
      <c r="AF24" s="1">
        <f t="shared" si="64"/>
        <v>1.0556000000000001</v>
      </c>
      <c r="AG24" s="1">
        <f t="shared" si="65"/>
        <v>33360.000000000058</v>
      </c>
      <c r="AH24" s="602">
        <v>1</v>
      </c>
      <c r="AI24" s="1">
        <f t="shared" si="66"/>
        <v>0.94440000000000002</v>
      </c>
      <c r="AJ24" s="1">
        <f t="shared" si="67"/>
        <v>-33359.999999999985</v>
      </c>
      <c r="AK24" s="602">
        <f>AH24*3</f>
        <v>3</v>
      </c>
      <c r="AL24" s="1">
        <f t="shared" si="68"/>
        <v>1.0556000000000001</v>
      </c>
      <c r="AM24" s="1">
        <f t="shared" si="69"/>
        <v>33360.000000000058</v>
      </c>
      <c r="AN24" s="602">
        <v>1</v>
      </c>
      <c r="AO24" s="1">
        <f t="shared" si="70"/>
        <v>0.94440000000000002</v>
      </c>
      <c r="AP24" s="1">
        <f t="shared" si="71"/>
        <v>-33359.999999999985</v>
      </c>
      <c r="AQ24" s="602">
        <f>AN24*3</f>
        <v>3</v>
      </c>
      <c r="AR24" s="1">
        <f t="shared" si="72"/>
        <v>1.0556000000000001</v>
      </c>
      <c r="AS24" s="1">
        <f t="shared" si="73"/>
        <v>33360.000000000058</v>
      </c>
      <c r="AT24" s="602">
        <v>1</v>
      </c>
      <c r="AU24" s="1">
        <f t="shared" si="74"/>
        <v>0.94440000000000002</v>
      </c>
      <c r="AV24" s="1">
        <f t="shared" si="75"/>
        <v>-33359.999999999985</v>
      </c>
      <c r="AW24" s="602">
        <f>AT24*2</f>
        <v>2</v>
      </c>
      <c r="CH24" s="39"/>
      <c r="CI24" s="615">
        <f t="shared" si="7"/>
        <v>5</v>
      </c>
      <c r="CJ24" s="39">
        <v>10</v>
      </c>
      <c r="CK24" s="39">
        <v>1</v>
      </c>
      <c r="CL24" s="615">
        <f t="shared" si="8"/>
        <v>0.5</v>
      </c>
      <c r="CM24" s="39"/>
      <c r="CN24" s="62">
        <f t="shared" si="9"/>
        <v>5000000</v>
      </c>
      <c r="CO24" s="62">
        <v>0</v>
      </c>
      <c r="CP24" s="62">
        <v>0</v>
      </c>
      <c r="CQ24" s="62">
        <v>0</v>
      </c>
      <c r="CR24" s="62">
        <f t="shared" si="10"/>
        <v>10000000</v>
      </c>
      <c r="CS24" s="62">
        <v>1008</v>
      </c>
      <c r="CT24" s="62">
        <v>1</v>
      </c>
      <c r="CU24" s="619">
        <v>0.3</v>
      </c>
      <c r="CV24" s="62">
        <f t="shared" si="11"/>
        <v>15000000</v>
      </c>
      <c r="CW24" s="62">
        <v>1007</v>
      </c>
      <c r="CX24" s="62">
        <v>3</v>
      </c>
      <c r="CY24" s="619">
        <v>0.5</v>
      </c>
    </row>
    <row r="25" spans="1:103" x14ac:dyDescent="0.35"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103" x14ac:dyDescent="0.35"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103" x14ac:dyDescent="0.35"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103" x14ac:dyDescent="0.35"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103" x14ac:dyDescent="0.35"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103" x14ac:dyDescent="0.35"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103" x14ac:dyDescent="0.35"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103" x14ac:dyDescent="0.35"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32:49" x14ac:dyDescent="0.35"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32:49" x14ac:dyDescent="0.35"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32:49" x14ac:dyDescent="0.35"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32:49" x14ac:dyDescent="0.35"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32:49" x14ac:dyDescent="0.35"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32:49" x14ac:dyDescent="0.35"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32:49" x14ac:dyDescent="0.35"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32:49" x14ac:dyDescent="0.35"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32:49" x14ac:dyDescent="0.35"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32:49" x14ac:dyDescent="0.35"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32:49" x14ac:dyDescent="0.35"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32:49" x14ac:dyDescent="0.35"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32:49" x14ac:dyDescent="0.35"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32:49" x14ac:dyDescent="0.35"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32:49" x14ac:dyDescent="0.35"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32:49" x14ac:dyDescent="0.35"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32:49" x14ac:dyDescent="0.35"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32:49" x14ac:dyDescent="0.35">
      <c r="AF50" s="1"/>
      <c r="AG50" s="1"/>
    </row>
    <row r="51" spans="32:49" x14ac:dyDescent="0.35">
      <c r="AF51" s="1"/>
      <c r="AG51" s="1"/>
    </row>
    <row r="52" spans="32:49" x14ac:dyDescent="0.35">
      <c r="AF52" s="1"/>
      <c r="AG52" s="1"/>
    </row>
    <row r="53" spans="32:49" x14ac:dyDescent="0.35"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32:49" x14ac:dyDescent="0.35">
      <c r="AF54" s="1"/>
      <c r="AG54" s="1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</row>
    <row r="55" spans="32:49" x14ac:dyDescent="0.35">
      <c r="AF55" s="1"/>
      <c r="AG55" s="1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</row>
    <row r="56" spans="32:49" x14ac:dyDescent="0.35">
      <c r="AF56" s="1"/>
      <c r="AG56" s="1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</row>
    <row r="57" spans="32:49" x14ac:dyDescent="0.35">
      <c r="AF57" s="1"/>
      <c r="AG57" s="1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</row>
    <row r="58" spans="32:49" x14ac:dyDescent="0.35">
      <c r="AF58" s="1"/>
      <c r="AG58" s="1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</row>
    <row r="59" spans="32:49" x14ac:dyDescent="0.35">
      <c r="AF59" s="1"/>
      <c r="AG59" s="1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</row>
    <row r="60" spans="32:49" x14ac:dyDescent="0.35">
      <c r="AF60" s="1"/>
      <c r="AG60" s="1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</row>
    <row r="61" spans="32:49" x14ac:dyDescent="0.35">
      <c r="AF61" s="1"/>
      <c r="AG61" s="1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</row>
    <row r="62" spans="32:49" x14ac:dyDescent="0.35">
      <c r="AF62" s="1"/>
      <c r="AG62" s="1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</row>
    <row r="63" spans="32:49" x14ac:dyDescent="0.35">
      <c r="AF63" s="1"/>
      <c r="AG63" s="1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</row>
    <row r="64" spans="32:49" x14ac:dyDescent="0.35">
      <c r="AF64" s="1"/>
      <c r="AG64" s="1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</row>
    <row r="65" spans="32:49" x14ac:dyDescent="0.35">
      <c r="AF65" s="1"/>
      <c r="AG65" s="1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</row>
    <row r="66" spans="32:49" x14ac:dyDescent="0.35">
      <c r="AF66" s="1"/>
      <c r="AG66" s="1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</row>
    <row r="67" spans="32:49" x14ac:dyDescent="0.35">
      <c r="AF67" s="1"/>
      <c r="AG67" s="1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</row>
    <row r="68" spans="32:49" x14ac:dyDescent="0.35">
      <c r="AF68" s="1"/>
      <c r="AG68" s="1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</row>
    <row r="69" spans="32:49" x14ac:dyDescent="0.35">
      <c r="AF69" s="1"/>
      <c r="AG69" s="1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</row>
    <row r="70" spans="32:49" x14ac:dyDescent="0.35">
      <c r="AF70" s="1"/>
      <c r="AG70" s="1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</row>
    <row r="71" spans="32:49" x14ac:dyDescent="0.35">
      <c r="AF71" s="1"/>
      <c r="AG71" s="1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</row>
    <row r="72" spans="32:49" x14ac:dyDescent="0.35">
      <c r="AF72" s="1"/>
      <c r="AG72" s="1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</row>
    <row r="73" spans="32:49" x14ac:dyDescent="0.35">
      <c r="AF73" s="1"/>
      <c r="AG73" s="1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</row>
  </sheetData>
  <mergeCells count="11">
    <mergeCell ref="CI2:CL2"/>
    <mergeCell ref="CN2:CY2"/>
    <mergeCell ref="AA3:AC3"/>
    <mergeCell ref="AF3:AH3"/>
    <mergeCell ref="CI3:CL3"/>
    <mergeCell ref="AZ1:BA3"/>
    <mergeCell ref="BF1:BG3"/>
    <mergeCell ref="BL1:BM3"/>
    <mergeCell ref="BC1:BD3"/>
    <mergeCell ref="BI1:BJ3"/>
    <mergeCell ref="AA1:AI2"/>
  </mergeCells>
  <phoneticPr fontId="57" type="noConversion"/>
  <conditionalFormatting sqref="AE15">
    <cfRule type="containsText" dxfId="1746" priority="6" operator="containsText" text=" ">
      <formula>NOT(ISERROR(SEARCH(" ",AE15)))</formula>
    </cfRule>
  </conditionalFormatting>
  <conditionalFormatting sqref="J5:J2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745" priority="2" operator="containsText" text=" ">
      <formula>NOT(ISERROR(SEARCH(" ",J5)))</formula>
    </cfRule>
  </conditionalFormatting>
  <conditionalFormatting sqref="AA5:AA9">
    <cfRule type="cellIs" dxfId="1744" priority="101" operator="greaterThan">
      <formula>1</formula>
    </cfRule>
    <cfRule type="cellIs" dxfId="1743" priority="102" operator="lessThan">
      <formula>1</formula>
    </cfRule>
  </conditionalFormatting>
  <conditionalFormatting sqref="AA10:AA24">
    <cfRule type="cellIs" dxfId="1742" priority="98" operator="greaterThan">
      <formula>1</formula>
    </cfRule>
    <cfRule type="cellIs" dxfId="1741" priority="99" operator="lessThan">
      <formula>1</formula>
    </cfRule>
  </conditionalFormatting>
  <conditionalFormatting sqref="AB10:AB24">
    <cfRule type="containsText" dxfId="1740" priority="100" operator="containsText" text=" ">
      <formula>NOT(ISERROR(SEARCH(" ",AB10)))</formula>
    </cfRule>
  </conditionalFormatting>
  <conditionalFormatting sqref="AF5:AF24">
    <cfRule type="cellIs" dxfId="1739" priority="117" operator="greaterThan">
      <formula>1</formula>
    </cfRule>
    <cfRule type="cellIs" dxfId="1738" priority="118" operator="lessThan">
      <formula>1</formula>
    </cfRule>
  </conditionalFormatting>
  <conditionalFormatting sqref="AU20:AU24">
    <cfRule type="cellIs" dxfId="1737" priority="103" operator="greaterThan">
      <formula>1</formula>
    </cfRule>
    <cfRule type="cellIs" dxfId="1736" priority="104" operator="lessThan">
      <formula>1</formula>
    </cfRule>
  </conditionalFormatting>
  <conditionalFormatting sqref="AZ5:AZ19">
    <cfRule type="cellIs" dxfId="1735" priority="92" operator="greaterThan">
      <formula>1</formula>
    </cfRule>
    <cfRule type="cellIs" dxfId="1734" priority="93" operator="lessThan">
      <formula>1</formula>
    </cfRule>
  </conditionalFormatting>
  <conditionalFormatting sqref="BC5:BC19">
    <cfRule type="cellIs" dxfId="1733" priority="44" operator="greaterThan">
      <formula>1</formula>
    </cfRule>
    <cfRule type="cellIs" dxfId="1732" priority="45" operator="lessThan">
      <formula>1</formula>
    </cfRule>
  </conditionalFormatting>
  <conditionalFormatting sqref="BF5:BF19">
    <cfRule type="cellIs" dxfId="1731" priority="12" operator="greaterThan">
      <formula>1</formula>
    </cfRule>
    <cfRule type="cellIs" dxfId="1730" priority="13" operator="lessThan">
      <formula>1</formula>
    </cfRule>
  </conditionalFormatting>
  <conditionalFormatting sqref="BI5:BI19">
    <cfRule type="cellIs" dxfId="1729" priority="10" operator="greaterThan">
      <formula>1</formula>
    </cfRule>
    <cfRule type="cellIs" dxfId="1728" priority="11" operator="lessThan">
      <formula>1</formula>
    </cfRule>
  </conditionalFormatting>
  <conditionalFormatting sqref="BL5:BL19">
    <cfRule type="cellIs" dxfId="1727" priority="8" operator="greaterThan">
      <formula>1</formula>
    </cfRule>
    <cfRule type="cellIs" dxfId="1726" priority="9" operator="lessThan">
      <formula>1</formula>
    </cfRule>
  </conditionalFormatting>
  <conditionalFormatting sqref="CL5:CL24">
    <cfRule type="cellIs" dxfId="1725" priority="124" operator="greaterThan">
      <formula>1</formula>
    </cfRule>
  </conditionalFormatting>
  <conditionalFormatting sqref="CM5:CM24">
    <cfRule type="cellIs" dxfId="1724" priority="121" operator="greaterThan">
      <formula>0</formula>
    </cfRule>
    <cfRule type="cellIs" dxfId="1723" priority="122" operator="greaterThan">
      <formula>0</formula>
    </cfRule>
  </conditionalFormatting>
  <conditionalFormatting sqref="B7:B24 CZ1:XFD24 A5:A24 F5:F18 E5:E17 AB5:AB9 AD13:AE14 AE11:AE12 AD17:AE19 AE16 AD21:AE24 AE20 C5:D10 D11:D16 C11:C24 Q5:Z24 G5:I24 K5:L24">
    <cfRule type="containsText" dxfId="1722" priority="310" operator="containsText" text=" ">
      <formula>NOT(ISERROR(SEARCH(" ",A1)))</formula>
    </cfRule>
  </conditionalFormatting>
  <conditionalFormatting sqref="AD3:AE3 Z1:Z3">
    <cfRule type="containsText" dxfId="1721" priority="312" operator="containsText" text=" ">
      <formula>NOT(ISERROR(SEARCH(" ",Z1)))</formula>
    </cfRule>
  </conditionalFormatting>
  <conditionalFormatting sqref="AE10 AA1">
    <cfRule type="containsText" dxfId="1720" priority="7" operator="containsText" text=" ">
      <formula>NOT(ISERROR(SEARCH(" ",AA1)))</formula>
    </cfRule>
  </conditionalFormatting>
  <conditionalFormatting sqref="B6 A25:AE1048576 Z4 AB4 AD4:AE5 AD9:AE9 AE6:AE8 AD10 AD15 AD20 D17:E24">
    <cfRule type="containsText" dxfId="1719" priority="316" operator="containsText" text=" ">
      <formula>NOT(ISERROR(SEARCH(" ",A4)))</formula>
    </cfRule>
  </conditionalFormatting>
  <conditionalFormatting sqref="B5 CF52:XFD1048576 CH25:XFD51">
    <cfRule type="containsText" dxfId="1718" priority="318" operator="containsText" text=" ">
      <formula>NOT(ISERROR(SEARCH(" ",B5)))</formula>
    </cfRule>
  </conditionalFormatting>
  <conditionalFormatting sqref="H5:I2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Y11 T6:Y24">
    <cfRule type="cellIs" dxfId="1717" priority="140" operator="equal">
      <formula>" "</formula>
    </cfRule>
  </conditionalFormatting>
  <conditionalFormatting sqref="AI20:AI24 AL20:AL24 AO20:AO24 AR20:AR24">
    <cfRule type="cellIs" dxfId="1716" priority="105" operator="greaterThan">
      <formula>1</formula>
    </cfRule>
    <cfRule type="cellIs" dxfId="1715" priority="106" operator="lessThan">
      <formula>1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55"/>
  <sheetViews>
    <sheetView topLeftCell="F1" workbookViewId="0">
      <selection activeCell="X7" sqref="X7"/>
    </sheetView>
  </sheetViews>
  <sheetFormatPr defaultColWidth="9" defaultRowHeight="15.6" x14ac:dyDescent="0.25"/>
  <cols>
    <col min="1" max="1" width="9" style="1"/>
    <col min="2" max="2" width="15.109375" style="1" customWidth="1"/>
    <col min="3" max="3" width="42.21875" style="1" customWidth="1"/>
    <col min="4" max="4" width="21.33203125" style="1" customWidth="1"/>
    <col min="5" max="5" width="9.88671875" style="1" customWidth="1"/>
    <col min="6" max="6" width="21.33203125" style="1" customWidth="1"/>
    <col min="7" max="7" width="17.44140625" style="1" customWidth="1"/>
    <col min="8" max="10" width="9.6640625" style="1" customWidth="1"/>
    <col min="11" max="11" width="12.5546875" style="1" customWidth="1"/>
    <col min="12" max="12" width="12" style="1" customWidth="1"/>
    <col min="13" max="13" width="10.21875" style="1" customWidth="1"/>
    <col min="14" max="14" width="7.88671875" style="1" customWidth="1"/>
    <col min="15" max="15" width="9" style="1"/>
    <col min="16" max="16" width="13.88671875" style="83" customWidth="1"/>
    <col min="17" max="17" width="8" style="83" customWidth="1"/>
    <col min="18" max="18" width="7.6640625" style="83" customWidth="1"/>
    <col min="19" max="19" width="10.77734375" style="83" customWidth="1"/>
    <col min="20" max="20" width="11.88671875" style="83" customWidth="1"/>
    <col min="21" max="21" width="9" style="83"/>
    <col min="22" max="22" width="9" style="1"/>
    <col min="23" max="23" width="10.33203125" style="1" customWidth="1"/>
    <col min="24" max="24" width="13.5546875" style="1" customWidth="1"/>
    <col min="25" max="16384" width="9" style="1"/>
  </cols>
  <sheetData>
    <row r="1" spans="1:40" x14ac:dyDescent="0.3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796</v>
      </c>
      <c r="I1" s="2" t="s">
        <v>796</v>
      </c>
      <c r="J1" s="2" t="s">
        <v>0</v>
      </c>
      <c r="K1" s="2" t="s">
        <v>796</v>
      </c>
      <c r="W1" s="116" t="s">
        <v>1777</v>
      </c>
    </row>
    <row r="2" spans="1:40" x14ac:dyDescent="0.35">
      <c r="A2" s="2" t="s">
        <v>11</v>
      </c>
      <c r="B2" s="2" t="s">
        <v>11</v>
      </c>
      <c r="C2" s="2" t="s">
        <v>14</v>
      </c>
      <c r="D2" s="2" t="s">
        <v>14</v>
      </c>
      <c r="E2" s="2" t="s">
        <v>11</v>
      </c>
      <c r="F2" s="2" t="s">
        <v>11</v>
      </c>
      <c r="G2" s="2" t="s">
        <v>14</v>
      </c>
      <c r="H2" s="2" t="s">
        <v>11</v>
      </c>
      <c r="I2" s="2" t="s">
        <v>11</v>
      </c>
      <c r="J2" s="2" t="s">
        <v>11</v>
      </c>
      <c r="K2" s="2" t="s">
        <v>11</v>
      </c>
      <c r="L2" s="12"/>
      <c r="W2" s="116" t="s">
        <v>1778</v>
      </c>
    </row>
    <row r="3" spans="1:40" ht="16.2" x14ac:dyDescent="0.35">
      <c r="A3" s="2" t="s">
        <v>98</v>
      </c>
      <c r="B3" s="2" t="s">
        <v>1779</v>
      </c>
      <c r="C3" s="2" t="s">
        <v>1780</v>
      </c>
      <c r="D3" s="2" t="s">
        <v>1781</v>
      </c>
      <c r="E3" s="2" t="s">
        <v>1782</v>
      </c>
      <c r="F3" s="2" t="s">
        <v>1783</v>
      </c>
      <c r="G3" s="2" t="s">
        <v>1784</v>
      </c>
      <c r="H3" s="2" t="s">
        <v>1785</v>
      </c>
      <c r="I3" s="111" t="s">
        <v>1786</v>
      </c>
      <c r="J3" s="111" t="s">
        <v>1787</v>
      </c>
      <c r="K3" s="111" t="s">
        <v>1788</v>
      </c>
      <c r="P3" s="112" t="s">
        <v>1789</v>
      </c>
    </row>
    <row r="4" spans="1:40" ht="79.2" x14ac:dyDescent="0.25">
      <c r="A4" s="4" t="s">
        <v>1790</v>
      </c>
      <c r="B4" s="4" t="s">
        <v>1791</v>
      </c>
      <c r="C4" s="4" t="s">
        <v>1792</v>
      </c>
      <c r="D4" s="4" t="s">
        <v>1793</v>
      </c>
      <c r="E4" s="4" t="s">
        <v>1794</v>
      </c>
      <c r="F4" s="4" t="s">
        <v>1795</v>
      </c>
      <c r="G4" s="4" t="s">
        <v>1796</v>
      </c>
      <c r="H4" s="4" t="s">
        <v>1797</v>
      </c>
      <c r="I4" s="4" t="s">
        <v>1798</v>
      </c>
      <c r="J4" s="4" t="s">
        <v>1799</v>
      </c>
      <c r="K4" s="4" t="s">
        <v>1800</v>
      </c>
      <c r="L4" s="113" t="s">
        <v>1801</v>
      </c>
      <c r="M4" s="56" t="s">
        <v>1802</v>
      </c>
      <c r="N4" s="56"/>
      <c r="P4" s="36" t="s">
        <v>1638</v>
      </c>
      <c r="Q4" s="37" t="s">
        <v>1134</v>
      </c>
      <c r="R4" s="37" t="s">
        <v>1135</v>
      </c>
      <c r="S4" s="38" t="s">
        <v>99</v>
      </c>
      <c r="T4" s="105" t="s">
        <v>1647</v>
      </c>
      <c r="V4" s="113"/>
      <c r="W4" s="47">
        <f>'抽奖|MoonBless'!DN4</f>
        <v>0</v>
      </c>
      <c r="X4" s="48" t="str">
        <f>'抽奖|MoonBless'!DO4</f>
        <v>人民币价值</v>
      </c>
      <c r="Y4" s="49" t="str">
        <f>'抽奖|MoonBless'!DP4</f>
        <v>价值
钻石价值</v>
      </c>
      <c r="Z4" s="48" t="str">
        <f>'抽奖|MoonBless'!DQ4</f>
        <v>物品类型</v>
      </c>
      <c r="AA4" s="50" t="str">
        <f>'抽奖|MoonBless'!DR4</f>
        <v>id</v>
      </c>
      <c r="AB4" s="56" t="s">
        <v>1803</v>
      </c>
      <c r="AK4" s="56" t="s">
        <v>1648</v>
      </c>
      <c r="AL4" s="1" t="s">
        <v>1134</v>
      </c>
      <c r="AM4" s="1" t="s">
        <v>98</v>
      </c>
      <c r="AN4" s="1" t="s">
        <v>1647</v>
      </c>
    </row>
    <row r="5" spans="1:40" x14ac:dyDescent="0.25">
      <c r="A5" s="1">
        <v>1</v>
      </c>
      <c r="B5" s="1">
        <v>1</v>
      </c>
      <c r="C5" s="66" t="s">
        <v>1804</v>
      </c>
      <c r="D5" s="1" t="str">
        <f t="shared" ref="D5:D12" si="0">Q5&amp;"|"&amp;R5&amp;"|"&amp;S5</f>
        <v>2|1008|1</v>
      </c>
      <c r="E5" s="1">
        <v>1</v>
      </c>
      <c r="F5" s="1">
        <v>1</v>
      </c>
      <c r="G5" s="1" t="str">
        <f>"2|1204|"&amp;L5</f>
        <v>2|1204|65000</v>
      </c>
      <c r="H5" s="1">
        <v>0</v>
      </c>
      <c r="I5" s="1">
        <v>1</v>
      </c>
      <c r="L5" s="59">
        <v>65000</v>
      </c>
      <c r="M5" s="83">
        <f t="shared" ref="M5:M12" si="1">ROUND(T5/$X$12,0)</f>
        <v>66667</v>
      </c>
      <c r="P5" s="40" t="s">
        <v>1108</v>
      </c>
      <c r="Q5" s="11">
        <f t="shared" ref="Q5:Q43" si="2">VLOOKUP(P5,W:AA,4,0)</f>
        <v>2</v>
      </c>
      <c r="R5" s="11">
        <f t="shared" ref="R5:R43" si="3">VLOOKUP(P5,W:AA,5,0)</f>
        <v>1008</v>
      </c>
      <c r="S5" s="41">
        <v>1</v>
      </c>
      <c r="T5" s="19">
        <f t="shared" ref="T5:T43" si="4">VLOOKUP(P5,W:AA,2,0)*S5</f>
        <v>66.666666666666671</v>
      </c>
      <c r="W5" s="117" t="str">
        <f>'抽奖|MoonBless'!DN5</f>
        <v>人民币</v>
      </c>
      <c r="X5" s="118">
        <f>'抽奖|MoonBless'!DO5</f>
        <v>1</v>
      </c>
      <c r="Y5" s="118">
        <f>'抽奖|MoonBless'!DP5</f>
        <v>10</v>
      </c>
      <c r="Z5" s="11">
        <f>'抽奖|MoonBless'!DQ5</f>
        <v>1</v>
      </c>
      <c r="AA5" s="19">
        <f>'抽奖|MoonBless'!DR5</f>
        <v>0</v>
      </c>
      <c r="AB5" s="120">
        <v>1</v>
      </c>
      <c r="AJ5" s="1" t="s">
        <v>1652</v>
      </c>
      <c r="AK5" s="1">
        <v>0.1</v>
      </c>
      <c r="AL5" s="1">
        <v>1</v>
      </c>
      <c r="AN5" s="1">
        <v>1</v>
      </c>
    </row>
    <row r="6" spans="1:40" x14ac:dyDescent="0.25">
      <c r="A6" s="1">
        <v>2</v>
      </c>
      <c r="B6" s="1">
        <v>1</v>
      </c>
      <c r="C6" s="66" t="s">
        <v>1804</v>
      </c>
      <c r="D6" s="1" t="str">
        <f t="shared" si="0"/>
        <v>2|1007|1</v>
      </c>
      <c r="E6" s="1">
        <v>1</v>
      </c>
      <c r="F6" s="1">
        <v>1</v>
      </c>
      <c r="G6" s="1" t="str">
        <f t="shared" ref="G6:G21" si="5">"2|1204|"&amp;L6</f>
        <v>2|1204|33000</v>
      </c>
      <c r="H6" s="1">
        <v>0</v>
      </c>
      <c r="I6" s="1">
        <v>2</v>
      </c>
      <c r="L6" s="59">
        <v>33000</v>
      </c>
      <c r="M6" s="83">
        <f t="shared" si="1"/>
        <v>33333</v>
      </c>
      <c r="P6" s="40" t="s">
        <v>1119</v>
      </c>
      <c r="Q6" s="11">
        <f t="shared" si="2"/>
        <v>2</v>
      </c>
      <c r="R6" s="11">
        <f t="shared" si="3"/>
        <v>1007</v>
      </c>
      <c r="S6" s="41">
        <v>1</v>
      </c>
      <c r="T6" s="19">
        <f t="shared" si="4"/>
        <v>33.333333333333336</v>
      </c>
      <c r="W6" s="10" t="str">
        <f>'抽奖|MoonBless'!DN6</f>
        <v>钻石</v>
      </c>
      <c r="X6" s="41">
        <f>'抽奖|MoonBless'!DO6</f>
        <v>0.1</v>
      </c>
      <c r="Y6" s="41">
        <f>'抽奖|MoonBless'!DP6</f>
        <v>1</v>
      </c>
      <c r="Z6" s="11">
        <f>'抽奖|MoonBless'!DQ6</f>
        <v>1</v>
      </c>
      <c r="AA6" s="19">
        <f>'抽奖|MoonBless'!DR6</f>
        <v>1</v>
      </c>
      <c r="AB6" s="120">
        <v>1</v>
      </c>
      <c r="AJ6" s="1" t="s">
        <v>1107</v>
      </c>
      <c r="AK6" s="1">
        <v>1</v>
      </c>
      <c r="AL6" s="1">
        <v>1</v>
      </c>
      <c r="AM6" s="1">
        <v>1</v>
      </c>
      <c r="AN6" s="1">
        <f>AK6/10</f>
        <v>0.1</v>
      </c>
    </row>
    <row r="7" spans="1:40" x14ac:dyDescent="0.25">
      <c r="A7" s="1">
        <v>3</v>
      </c>
      <c r="B7" s="1">
        <v>1</v>
      </c>
      <c r="C7" s="66" t="s">
        <v>1804</v>
      </c>
      <c r="D7" s="1" t="str">
        <f t="shared" si="0"/>
        <v>2|1006|1</v>
      </c>
      <c r="E7" s="1">
        <v>1</v>
      </c>
      <c r="F7" s="1">
        <v>1</v>
      </c>
      <c r="G7" s="1" t="str">
        <f t="shared" si="5"/>
        <v>2|1204|13300</v>
      </c>
      <c r="H7" s="1">
        <v>0</v>
      </c>
      <c r="I7" s="1">
        <v>100</v>
      </c>
      <c r="L7" s="59">
        <v>13300</v>
      </c>
      <c r="M7" s="83">
        <f t="shared" si="1"/>
        <v>13333</v>
      </c>
      <c r="P7" s="40" t="s">
        <v>1109</v>
      </c>
      <c r="Q7" s="11">
        <f t="shared" si="2"/>
        <v>2</v>
      </c>
      <c r="R7" s="11">
        <f t="shared" si="3"/>
        <v>1006</v>
      </c>
      <c r="S7" s="41">
        <v>1</v>
      </c>
      <c r="T7" s="19">
        <f t="shared" si="4"/>
        <v>13.333333333333336</v>
      </c>
      <c r="W7" s="10" t="str">
        <f>'抽奖|MoonBless'!DN7</f>
        <v>金币</v>
      </c>
      <c r="X7" s="11">
        <f>X12*(1000/150000)</f>
        <v>6.6666666666666675E-6</v>
      </c>
      <c r="Y7" s="11">
        <f>X7*10</f>
        <v>6.666666666666667E-5</v>
      </c>
      <c r="Z7" s="11">
        <f>'抽奖|MoonBless'!DQ7</f>
        <v>1</v>
      </c>
      <c r="AA7" s="19">
        <f>'抽奖|MoonBless'!DR7</f>
        <v>2</v>
      </c>
      <c r="AB7" s="120">
        <v>1</v>
      </c>
      <c r="AJ7" s="1" t="s">
        <v>169</v>
      </c>
      <c r="AK7" s="1">
        <f>1/500</f>
        <v>2E-3</v>
      </c>
      <c r="AL7" s="1">
        <v>1</v>
      </c>
      <c r="AM7" s="1">
        <v>2</v>
      </c>
      <c r="AN7" s="1">
        <f t="shared" ref="AN7:AN24" si="6">AK7/10</f>
        <v>2.0000000000000001E-4</v>
      </c>
    </row>
    <row r="8" spans="1:40" x14ac:dyDescent="0.25">
      <c r="A8" s="1">
        <v>4</v>
      </c>
      <c r="B8" s="1">
        <v>1</v>
      </c>
      <c r="C8" s="66" t="s">
        <v>1804</v>
      </c>
      <c r="D8" s="1" t="str">
        <f t="shared" si="0"/>
        <v>1|1|100</v>
      </c>
      <c r="E8" s="1">
        <v>1</v>
      </c>
      <c r="F8" s="1">
        <v>1</v>
      </c>
      <c r="G8" s="1" t="str">
        <f t="shared" si="5"/>
        <v>2|1204|10000</v>
      </c>
      <c r="H8" s="1">
        <v>0</v>
      </c>
      <c r="I8" s="1">
        <v>100</v>
      </c>
      <c r="L8" s="83">
        <f t="shared" ref="L8:L12" si="7">M8</f>
        <v>10000</v>
      </c>
      <c r="M8" s="83">
        <f t="shared" si="1"/>
        <v>10000</v>
      </c>
      <c r="N8" s="1">
        <f>L8*5/2</f>
        <v>25000</v>
      </c>
      <c r="P8" s="40" t="s">
        <v>1107</v>
      </c>
      <c r="Q8" s="11">
        <f t="shared" si="2"/>
        <v>1</v>
      </c>
      <c r="R8" s="11">
        <f t="shared" si="3"/>
        <v>1</v>
      </c>
      <c r="S8" s="41">
        <v>100</v>
      </c>
      <c r="T8" s="19">
        <f t="shared" si="4"/>
        <v>10</v>
      </c>
      <c r="W8" s="10" t="str">
        <f>'抽奖|MoonBless'!DN8</f>
        <v>锁定</v>
      </c>
      <c r="X8" s="11">
        <f>'抽奖|MoonBless'!DO8</f>
        <v>0.2</v>
      </c>
      <c r="Y8" s="11">
        <f>'抽奖|MoonBless'!DP8/AB8</f>
        <v>2</v>
      </c>
      <c r="Z8" s="11">
        <f>'抽奖|MoonBless'!DQ8</f>
        <v>2</v>
      </c>
      <c r="AA8" s="19">
        <f>'抽奖|MoonBless'!DR8</f>
        <v>1001</v>
      </c>
      <c r="AB8" s="120">
        <v>1</v>
      </c>
      <c r="AJ8" s="1" t="s">
        <v>1139</v>
      </c>
      <c r="AK8" s="1">
        <v>2</v>
      </c>
      <c r="AL8" s="1">
        <v>2</v>
      </c>
      <c r="AM8" s="1">
        <v>1001</v>
      </c>
      <c r="AN8" s="1">
        <f t="shared" si="6"/>
        <v>0.2</v>
      </c>
    </row>
    <row r="9" spans="1:40" x14ac:dyDescent="0.25">
      <c r="A9" s="1">
        <v>5</v>
      </c>
      <c r="B9" s="1">
        <v>1</v>
      </c>
      <c r="C9" s="66" t="s">
        <v>1804</v>
      </c>
      <c r="D9" s="1" t="str">
        <f t="shared" si="0"/>
        <v>2|1003|20</v>
      </c>
      <c r="E9" s="1">
        <v>1</v>
      </c>
      <c r="F9" s="1">
        <v>1</v>
      </c>
      <c r="G9" s="1" t="str">
        <f t="shared" si="5"/>
        <v>2|1204|20000</v>
      </c>
      <c r="H9" s="1">
        <v>0</v>
      </c>
      <c r="I9" s="1">
        <v>100</v>
      </c>
      <c r="L9" s="83">
        <f t="shared" si="7"/>
        <v>20000</v>
      </c>
      <c r="M9" s="83">
        <f t="shared" si="1"/>
        <v>20000</v>
      </c>
      <c r="P9" s="40" t="s">
        <v>1144</v>
      </c>
      <c r="Q9" s="11">
        <f t="shared" si="2"/>
        <v>2</v>
      </c>
      <c r="R9" s="11">
        <f t="shared" si="3"/>
        <v>1003</v>
      </c>
      <c r="S9" s="41">
        <v>20</v>
      </c>
      <c r="T9" s="19">
        <f t="shared" si="4"/>
        <v>20</v>
      </c>
      <c r="W9" s="10" t="str">
        <f>'抽奖|MoonBless'!DN9</f>
        <v>冰冻</v>
      </c>
      <c r="X9" s="11">
        <f>'抽奖|MoonBless'!DO9</f>
        <v>0.5</v>
      </c>
      <c r="Y9" s="11">
        <f>'抽奖|MoonBless'!DP9</f>
        <v>5</v>
      </c>
      <c r="Z9" s="11">
        <f>'抽奖|MoonBless'!DQ9</f>
        <v>2</v>
      </c>
      <c r="AA9" s="19">
        <f>'抽奖|MoonBless'!DR9</f>
        <v>1002</v>
      </c>
      <c r="AB9" s="120">
        <v>1</v>
      </c>
      <c r="AJ9" s="1" t="s">
        <v>1140</v>
      </c>
      <c r="AK9" s="1">
        <v>5</v>
      </c>
      <c r="AL9" s="1">
        <v>2</v>
      </c>
      <c r="AM9" s="1">
        <v>1002</v>
      </c>
      <c r="AN9" s="1">
        <f t="shared" si="6"/>
        <v>0.5</v>
      </c>
    </row>
    <row r="10" spans="1:40" x14ac:dyDescent="0.25">
      <c r="A10" s="1">
        <v>6</v>
      </c>
      <c r="B10" s="1">
        <v>1</v>
      </c>
      <c r="C10" s="66" t="s">
        <v>1804</v>
      </c>
      <c r="D10" s="1" t="str">
        <f t="shared" si="0"/>
        <v>2|1003|10</v>
      </c>
      <c r="E10" s="1">
        <v>1</v>
      </c>
      <c r="F10" s="1">
        <v>1</v>
      </c>
      <c r="G10" s="1" t="str">
        <f t="shared" si="5"/>
        <v>2|1204|10000</v>
      </c>
      <c r="H10" s="1">
        <v>0</v>
      </c>
      <c r="I10" s="1">
        <v>100</v>
      </c>
      <c r="L10" s="83">
        <f t="shared" si="7"/>
        <v>10000</v>
      </c>
      <c r="M10" s="83">
        <f t="shared" si="1"/>
        <v>10000</v>
      </c>
      <c r="P10" s="40" t="s">
        <v>1144</v>
      </c>
      <c r="Q10" s="11">
        <f t="shared" si="2"/>
        <v>2</v>
      </c>
      <c r="R10" s="11">
        <f t="shared" si="3"/>
        <v>1003</v>
      </c>
      <c r="S10" s="41">
        <v>10</v>
      </c>
      <c r="T10" s="19">
        <f t="shared" si="4"/>
        <v>10</v>
      </c>
      <c r="W10" s="10" t="str">
        <f>'抽奖|MoonBless'!DN10</f>
        <v>狂暴</v>
      </c>
      <c r="X10" s="11">
        <f>'抽奖|MoonBless'!DO10</f>
        <v>1</v>
      </c>
      <c r="Y10" s="41">
        <f>'抽奖|MoonBless'!DP10</f>
        <v>10</v>
      </c>
      <c r="Z10" s="11">
        <f>'抽奖|MoonBless'!DQ10</f>
        <v>2</v>
      </c>
      <c r="AA10" s="19">
        <f>'抽奖|MoonBless'!DR10</f>
        <v>1003</v>
      </c>
      <c r="AB10" s="120">
        <v>1</v>
      </c>
      <c r="AJ10" s="1" t="s">
        <v>1144</v>
      </c>
      <c r="AK10" s="1">
        <v>20</v>
      </c>
      <c r="AL10" s="1">
        <v>2</v>
      </c>
      <c r="AM10" s="1">
        <v>1003</v>
      </c>
      <c r="AN10" s="1">
        <f t="shared" si="6"/>
        <v>2</v>
      </c>
    </row>
    <row r="11" spans="1:40" x14ac:dyDescent="0.25">
      <c r="A11" s="1">
        <v>7</v>
      </c>
      <c r="B11" s="1">
        <v>1</v>
      </c>
      <c r="C11" s="66" t="s">
        <v>1804</v>
      </c>
      <c r="D11" s="1" t="str">
        <f t="shared" si="0"/>
        <v>1|2|3000000</v>
      </c>
      <c r="E11" s="1">
        <v>1</v>
      </c>
      <c r="F11" s="1">
        <v>1</v>
      </c>
      <c r="G11" s="1" t="str">
        <f t="shared" si="5"/>
        <v>2|1204|20000</v>
      </c>
      <c r="H11" s="1">
        <v>0</v>
      </c>
      <c r="I11" s="1">
        <v>100</v>
      </c>
      <c r="L11" s="83">
        <f t="shared" si="7"/>
        <v>20000</v>
      </c>
      <c r="M11" s="83">
        <f t="shared" si="1"/>
        <v>20000</v>
      </c>
      <c r="P11" s="40" t="s">
        <v>169</v>
      </c>
      <c r="Q11" s="11">
        <f t="shared" si="2"/>
        <v>1</v>
      </c>
      <c r="R11" s="11">
        <f t="shared" si="3"/>
        <v>2</v>
      </c>
      <c r="S11" s="41">
        <v>3000000</v>
      </c>
      <c r="T11" s="19">
        <f t="shared" si="4"/>
        <v>20.000000000000004</v>
      </c>
      <c r="W11" s="10" t="str">
        <f>'抽奖|MoonBless'!DN11</f>
        <v>召唤</v>
      </c>
      <c r="X11" s="11">
        <f>'抽奖|MoonBless'!DO11</f>
        <v>0.2</v>
      </c>
      <c r="Y11" s="11">
        <f>'抽奖|MoonBless'!DP11</f>
        <v>2</v>
      </c>
      <c r="Z11" s="11">
        <f>'抽奖|MoonBless'!DQ11</f>
        <v>2</v>
      </c>
      <c r="AA11" s="19">
        <f>'抽奖|MoonBless'!DR11</f>
        <v>1004</v>
      </c>
      <c r="AB11" s="120">
        <v>1</v>
      </c>
      <c r="AJ11" s="1" t="s">
        <v>1143</v>
      </c>
      <c r="AK11" s="1">
        <v>2</v>
      </c>
      <c r="AL11" s="1">
        <v>2</v>
      </c>
      <c r="AM11" s="1">
        <v>1004</v>
      </c>
      <c r="AN11" s="1">
        <f t="shared" si="6"/>
        <v>0.2</v>
      </c>
    </row>
    <row r="12" spans="1:40" x14ac:dyDescent="0.25">
      <c r="A12" s="1">
        <v>8</v>
      </c>
      <c r="B12" s="1">
        <v>1</v>
      </c>
      <c r="C12" s="66" t="s">
        <v>1804</v>
      </c>
      <c r="D12" s="1" t="str">
        <f t="shared" si="0"/>
        <v>1|2|1500000</v>
      </c>
      <c r="E12" s="1">
        <v>1</v>
      </c>
      <c r="F12" s="1">
        <v>1</v>
      </c>
      <c r="G12" s="1" t="str">
        <f t="shared" si="5"/>
        <v>2|1204|10000</v>
      </c>
      <c r="H12" s="1">
        <v>0</v>
      </c>
      <c r="I12" s="1">
        <v>100</v>
      </c>
      <c r="L12" s="83">
        <f t="shared" si="7"/>
        <v>10000</v>
      </c>
      <c r="M12" s="83">
        <f t="shared" si="1"/>
        <v>10000</v>
      </c>
      <c r="P12" s="114" t="s">
        <v>169</v>
      </c>
      <c r="Q12" s="14">
        <f t="shared" si="2"/>
        <v>1</v>
      </c>
      <c r="R12" s="14">
        <f t="shared" si="3"/>
        <v>2</v>
      </c>
      <c r="S12" s="45">
        <v>1500000</v>
      </c>
      <c r="T12" s="21">
        <f t="shared" si="4"/>
        <v>10.000000000000002</v>
      </c>
      <c r="W12" s="10" t="str">
        <f>'抽奖|MoonBless'!DN12</f>
        <v>福卡</v>
      </c>
      <c r="X12" s="11">
        <f>X5/1000</f>
        <v>1E-3</v>
      </c>
      <c r="Y12" s="11">
        <f>Y5/1000</f>
        <v>0.01</v>
      </c>
      <c r="Z12" s="11">
        <f>'抽奖|MoonBless'!DQ12</f>
        <v>2</v>
      </c>
      <c r="AA12" s="19">
        <f>'抽奖|MoonBless'!DR12</f>
        <v>1204</v>
      </c>
      <c r="AB12" s="120">
        <v>1</v>
      </c>
      <c r="AJ12" s="1" t="s">
        <v>1110</v>
      </c>
      <c r="AK12" s="1">
        <f>1000*AK7</f>
        <v>2</v>
      </c>
      <c r="AL12" s="1">
        <v>2</v>
      </c>
      <c r="AM12" s="1">
        <v>1204</v>
      </c>
      <c r="AN12" s="1">
        <f t="shared" si="6"/>
        <v>0.2</v>
      </c>
    </row>
    <row r="13" spans="1:40" x14ac:dyDescent="0.25">
      <c r="A13" s="1">
        <v>9</v>
      </c>
      <c r="B13" s="1">
        <v>1</v>
      </c>
      <c r="C13" s="66" t="s">
        <v>1805</v>
      </c>
      <c r="D13" s="1" t="str">
        <f t="shared" ref="D13:D20" si="8">Q13&amp;"|"&amp;R13&amp;"|"&amp;S13</f>
        <v>2|1210|1</v>
      </c>
      <c r="E13" s="1">
        <v>1</v>
      </c>
      <c r="F13" s="1">
        <v>2</v>
      </c>
      <c r="G13" s="1" t="str">
        <f t="shared" si="5"/>
        <v>2|1204|49800</v>
      </c>
      <c r="H13" s="1">
        <v>0</v>
      </c>
      <c r="I13" s="1">
        <v>1</v>
      </c>
      <c r="L13" s="59">
        <v>49800</v>
      </c>
      <c r="M13" s="83">
        <f t="shared" ref="M13:M28" si="9">ROUND(T13/$X$12,0)</f>
        <v>50000</v>
      </c>
      <c r="P13" s="40" t="s">
        <v>1667</v>
      </c>
      <c r="Q13" s="11">
        <f t="shared" si="2"/>
        <v>2</v>
      </c>
      <c r="R13" s="11">
        <f t="shared" si="3"/>
        <v>1210</v>
      </c>
      <c r="S13" s="41">
        <v>1</v>
      </c>
      <c r="T13" s="19">
        <f t="shared" si="4"/>
        <v>50</v>
      </c>
      <c r="W13" s="10" t="str">
        <f>'抽奖|MoonBless'!DN13</f>
        <v>超级武器1</v>
      </c>
      <c r="X13" s="11">
        <f>X7*1000000</f>
        <v>6.6666666666666679</v>
      </c>
      <c r="Y13" s="11">
        <f>X13*10</f>
        <v>66.666666666666686</v>
      </c>
      <c r="Z13" s="11">
        <f>'抽奖|MoonBless'!DQ13</f>
        <v>2</v>
      </c>
      <c r="AA13" s="19">
        <f>'抽奖|MoonBless'!DR13</f>
        <v>1005</v>
      </c>
      <c r="AB13" s="120">
        <v>1</v>
      </c>
    </row>
    <row r="14" spans="1:40" x14ac:dyDescent="0.25">
      <c r="A14" s="1">
        <v>10</v>
      </c>
      <c r="B14" s="1">
        <v>1</v>
      </c>
      <c r="C14" s="66" t="s">
        <v>1805</v>
      </c>
      <c r="D14" s="1" t="str">
        <f t="shared" si="8"/>
        <v>2|1209|1</v>
      </c>
      <c r="E14" s="1">
        <v>1</v>
      </c>
      <c r="F14" s="1">
        <v>2</v>
      </c>
      <c r="G14" s="1" t="str">
        <f t="shared" ref="G14:G20" si="10">"2|1204|"&amp;L14</f>
        <v>2|1204|30000</v>
      </c>
      <c r="H14" s="1">
        <v>0</v>
      </c>
      <c r="I14" s="1">
        <v>2</v>
      </c>
      <c r="L14" s="59">
        <v>30000</v>
      </c>
      <c r="M14" s="83">
        <f t="shared" si="9"/>
        <v>30000</v>
      </c>
      <c r="P14" s="40" t="s">
        <v>1666</v>
      </c>
      <c r="Q14" s="11">
        <f t="shared" si="2"/>
        <v>2</v>
      </c>
      <c r="R14" s="11">
        <f t="shared" si="3"/>
        <v>1209</v>
      </c>
      <c r="S14" s="41">
        <v>1</v>
      </c>
      <c r="T14" s="19">
        <f t="shared" si="4"/>
        <v>30</v>
      </c>
      <c r="W14" s="10" t="str">
        <f>'抽奖|MoonBless'!DN14</f>
        <v>超级武器2</v>
      </c>
      <c r="X14" s="11">
        <f>X7*2000000</f>
        <v>13.333333333333336</v>
      </c>
      <c r="Y14" s="11">
        <f t="shared" ref="Y14:Y16" si="11">X14*10</f>
        <v>133.33333333333337</v>
      </c>
      <c r="Z14" s="11">
        <f>'抽奖|MoonBless'!DQ14</f>
        <v>2</v>
      </c>
      <c r="AA14" s="19">
        <f>'抽奖|MoonBless'!DR14</f>
        <v>1006</v>
      </c>
      <c r="AB14" s="120">
        <v>1</v>
      </c>
    </row>
    <row r="15" spans="1:40" x14ac:dyDescent="0.25">
      <c r="A15" s="1">
        <v>11</v>
      </c>
      <c r="B15" s="1">
        <v>1</v>
      </c>
      <c r="C15" s="66" t="s">
        <v>1805</v>
      </c>
      <c r="D15" s="1" t="str">
        <f t="shared" si="8"/>
        <v>2|1007|1</v>
      </c>
      <c r="E15" s="1">
        <v>1</v>
      </c>
      <c r="F15" s="1">
        <v>2</v>
      </c>
      <c r="G15" s="1" t="str">
        <f t="shared" si="10"/>
        <v>2|1204|33000</v>
      </c>
      <c r="H15" s="1">
        <v>0</v>
      </c>
      <c r="I15" s="1">
        <v>100</v>
      </c>
      <c r="L15" s="59">
        <v>33000</v>
      </c>
      <c r="M15" s="83">
        <f t="shared" si="9"/>
        <v>33333</v>
      </c>
      <c r="P15" s="40" t="s">
        <v>1119</v>
      </c>
      <c r="Q15" s="11">
        <f t="shared" si="2"/>
        <v>2</v>
      </c>
      <c r="R15" s="11">
        <f t="shared" si="3"/>
        <v>1007</v>
      </c>
      <c r="S15" s="41">
        <v>1</v>
      </c>
      <c r="T15" s="19">
        <f t="shared" si="4"/>
        <v>33.333333333333336</v>
      </c>
      <c r="W15" s="10" t="str">
        <f>'抽奖|MoonBless'!DN15</f>
        <v>超级武器3</v>
      </c>
      <c r="X15" s="11">
        <f>X7*5000000</f>
        <v>33.333333333333336</v>
      </c>
      <c r="Y15" s="11">
        <f t="shared" si="11"/>
        <v>333.33333333333337</v>
      </c>
      <c r="Z15" s="11">
        <f>'抽奖|MoonBless'!DQ15</f>
        <v>2</v>
      </c>
      <c r="AA15" s="19">
        <f>'抽奖|MoonBless'!DR15</f>
        <v>1007</v>
      </c>
      <c r="AB15" s="120">
        <v>1</v>
      </c>
    </row>
    <row r="16" spans="1:40" x14ac:dyDescent="0.25">
      <c r="A16" s="1">
        <v>12</v>
      </c>
      <c r="B16" s="1">
        <v>1</v>
      </c>
      <c r="C16" s="66" t="s">
        <v>1805</v>
      </c>
      <c r="D16" s="1" t="str">
        <f t="shared" si="8"/>
        <v>1|1|100</v>
      </c>
      <c r="E16" s="1">
        <v>1</v>
      </c>
      <c r="F16" s="1">
        <v>2</v>
      </c>
      <c r="G16" s="1" t="str">
        <f t="shared" si="10"/>
        <v>2|1204|10000</v>
      </c>
      <c r="H16" s="1">
        <v>0</v>
      </c>
      <c r="I16" s="1">
        <v>100</v>
      </c>
      <c r="L16" s="83">
        <f t="shared" ref="L16:L20" si="12">M16</f>
        <v>10000</v>
      </c>
      <c r="M16" s="83">
        <f t="shared" si="9"/>
        <v>10000</v>
      </c>
      <c r="N16" s="1">
        <f>L16*5/2</f>
        <v>25000</v>
      </c>
      <c r="P16" s="40" t="s">
        <v>1107</v>
      </c>
      <c r="Q16" s="11">
        <f t="shared" si="2"/>
        <v>1</v>
      </c>
      <c r="R16" s="11">
        <f t="shared" si="3"/>
        <v>1</v>
      </c>
      <c r="S16" s="41">
        <v>100</v>
      </c>
      <c r="T16" s="19">
        <f t="shared" si="4"/>
        <v>10</v>
      </c>
      <c r="W16" s="10" t="str">
        <f>'抽奖|MoonBless'!DN16</f>
        <v>超级武器4</v>
      </c>
      <c r="X16" s="11">
        <f>X7*10000000</f>
        <v>66.666666666666671</v>
      </c>
      <c r="Y16" s="11">
        <f t="shared" si="11"/>
        <v>666.66666666666674</v>
      </c>
      <c r="Z16" s="11">
        <f>'抽奖|MoonBless'!DQ16</f>
        <v>2</v>
      </c>
      <c r="AA16" s="19">
        <f>'抽奖|MoonBless'!DR16</f>
        <v>1008</v>
      </c>
      <c r="AB16" s="120">
        <v>1</v>
      </c>
    </row>
    <row r="17" spans="1:40" x14ac:dyDescent="0.25">
      <c r="A17" s="1">
        <v>13</v>
      </c>
      <c r="B17" s="1">
        <v>1</v>
      </c>
      <c r="C17" s="66" t="s">
        <v>1805</v>
      </c>
      <c r="D17" s="1" t="str">
        <f t="shared" si="8"/>
        <v>2|1003|20</v>
      </c>
      <c r="E17" s="1">
        <v>1</v>
      </c>
      <c r="F17" s="1">
        <v>2</v>
      </c>
      <c r="G17" s="1" t="str">
        <f t="shared" si="10"/>
        <v>2|1204|20000</v>
      </c>
      <c r="H17" s="1">
        <v>0</v>
      </c>
      <c r="I17" s="1">
        <v>100</v>
      </c>
      <c r="L17" s="83">
        <f t="shared" si="12"/>
        <v>20000</v>
      </c>
      <c r="M17" s="83">
        <f t="shared" si="9"/>
        <v>20000</v>
      </c>
      <c r="P17" s="40" t="s">
        <v>1144</v>
      </c>
      <c r="Q17" s="11">
        <f t="shared" si="2"/>
        <v>2</v>
      </c>
      <c r="R17" s="11">
        <f t="shared" si="3"/>
        <v>1003</v>
      </c>
      <c r="S17" s="41">
        <v>20</v>
      </c>
      <c r="T17" s="19">
        <f t="shared" si="4"/>
        <v>20</v>
      </c>
      <c r="W17" s="10" t="str">
        <f>'抽奖|MoonBless'!DN17</f>
        <v>5元话费卡</v>
      </c>
      <c r="X17" s="11">
        <f>'抽奖|MoonBless'!DO17</f>
        <v>5</v>
      </c>
      <c r="Y17" s="11">
        <f>'抽奖|MoonBless'!DP17</f>
        <v>50</v>
      </c>
      <c r="Z17" s="11">
        <f>'抽奖|MoonBless'!DQ17</f>
        <v>2</v>
      </c>
      <c r="AA17" s="19">
        <f>'抽奖|MoonBless'!DR17</f>
        <v>1206</v>
      </c>
      <c r="AB17" s="120">
        <v>1</v>
      </c>
    </row>
    <row r="18" spans="1:40" x14ac:dyDescent="0.25">
      <c r="A18" s="1">
        <v>14</v>
      </c>
      <c r="B18" s="1">
        <v>1</v>
      </c>
      <c r="C18" s="66" t="s">
        <v>1805</v>
      </c>
      <c r="D18" s="1" t="str">
        <f t="shared" si="8"/>
        <v>2|1003|10</v>
      </c>
      <c r="E18" s="1">
        <v>1</v>
      </c>
      <c r="F18" s="1">
        <v>2</v>
      </c>
      <c r="G18" s="1" t="str">
        <f t="shared" si="10"/>
        <v>2|1204|10000</v>
      </c>
      <c r="H18" s="1">
        <v>0</v>
      </c>
      <c r="I18" s="1">
        <v>100</v>
      </c>
      <c r="L18" s="83">
        <f t="shared" si="12"/>
        <v>10000</v>
      </c>
      <c r="M18" s="83">
        <f t="shared" si="9"/>
        <v>10000</v>
      </c>
      <c r="P18" s="40" t="s">
        <v>1144</v>
      </c>
      <c r="Q18" s="11">
        <f t="shared" si="2"/>
        <v>2</v>
      </c>
      <c r="R18" s="11">
        <f t="shared" si="3"/>
        <v>1003</v>
      </c>
      <c r="S18" s="41">
        <v>10</v>
      </c>
      <c r="T18" s="19">
        <f t="shared" si="4"/>
        <v>10</v>
      </c>
      <c r="W18" s="10" t="str">
        <f>'抽奖|MoonBless'!DN18</f>
        <v>2元话费卡</v>
      </c>
      <c r="X18" s="11">
        <f>'抽奖|MoonBless'!DO18</f>
        <v>2</v>
      </c>
      <c r="Y18" s="11">
        <f>'抽奖|MoonBless'!DP18</f>
        <v>20</v>
      </c>
      <c r="Z18" s="11">
        <f>'抽奖|MoonBless'!DQ18</f>
        <v>2</v>
      </c>
      <c r="AA18" s="19">
        <f>'抽奖|MoonBless'!DR18</f>
        <v>1205</v>
      </c>
      <c r="AB18" s="120">
        <v>1</v>
      </c>
    </row>
    <row r="19" spans="1:40" x14ac:dyDescent="0.25">
      <c r="A19" s="1">
        <v>15</v>
      </c>
      <c r="B19" s="1">
        <v>1</v>
      </c>
      <c r="C19" s="66" t="s">
        <v>1805</v>
      </c>
      <c r="D19" s="1" t="str">
        <f t="shared" si="8"/>
        <v>1|2|3000000</v>
      </c>
      <c r="E19" s="1">
        <v>1</v>
      </c>
      <c r="F19" s="1">
        <v>2</v>
      </c>
      <c r="G19" s="1" t="str">
        <f t="shared" si="10"/>
        <v>2|1204|20000</v>
      </c>
      <c r="H19" s="1">
        <v>0</v>
      </c>
      <c r="I19" s="1">
        <v>100</v>
      </c>
      <c r="L19" s="83">
        <f t="shared" si="12"/>
        <v>20000</v>
      </c>
      <c r="M19" s="83">
        <f t="shared" si="9"/>
        <v>20000</v>
      </c>
      <c r="P19" s="40" t="s">
        <v>169</v>
      </c>
      <c r="Q19" s="11">
        <f t="shared" si="2"/>
        <v>1</v>
      </c>
      <c r="R19" s="11">
        <f t="shared" si="3"/>
        <v>2</v>
      </c>
      <c r="S19" s="41">
        <v>3000000</v>
      </c>
      <c r="T19" s="19">
        <f t="shared" si="4"/>
        <v>20.000000000000004</v>
      </c>
      <c r="W19" s="13" t="str">
        <f>'抽奖|MoonBless'!DN19</f>
        <v>高压锅</v>
      </c>
      <c r="X19" s="14">
        <f>'抽奖|MoonBless'!DO19</f>
        <v>200</v>
      </c>
      <c r="Y19" s="14">
        <f>'抽奖|MoonBless'!DP19</f>
        <v>2000</v>
      </c>
      <c r="Z19" s="14">
        <f>'抽奖|MoonBless'!DQ19</f>
        <v>2</v>
      </c>
      <c r="AA19" s="21">
        <f>'抽奖|MoonBless'!DR19</f>
        <v>1208</v>
      </c>
      <c r="AB19" s="120">
        <v>1</v>
      </c>
    </row>
    <row r="20" spans="1:40" x14ac:dyDescent="0.25">
      <c r="A20" s="1">
        <v>16</v>
      </c>
      <c r="B20" s="1">
        <v>1</v>
      </c>
      <c r="C20" s="66" t="s">
        <v>1805</v>
      </c>
      <c r="D20" s="1" t="str">
        <f t="shared" si="8"/>
        <v>1|2|1500000</v>
      </c>
      <c r="E20" s="1">
        <v>1</v>
      </c>
      <c r="F20" s="1">
        <v>2</v>
      </c>
      <c r="G20" s="1" t="str">
        <f t="shared" si="10"/>
        <v>2|1204|10000</v>
      </c>
      <c r="H20" s="1">
        <v>0</v>
      </c>
      <c r="I20" s="1">
        <v>100</v>
      </c>
      <c r="L20" s="83">
        <f t="shared" si="12"/>
        <v>10000</v>
      </c>
      <c r="M20" s="83">
        <f t="shared" si="9"/>
        <v>10000</v>
      </c>
      <c r="P20" s="114" t="s">
        <v>169</v>
      </c>
      <c r="Q20" s="14">
        <f t="shared" si="2"/>
        <v>1</v>
      </c>
      <c r="R20" s="14">
        <f t="shared" si="3"/>
        <v>2</v>
      </c>
      <c r="S20" s="45">
        <v>1500000</v>
      </c>
      <c r="T20" s="21">
        <f t="shared" si="4"/>
        <v>10.000000000000002</v>
      </c>
      <c r="W20" s="1" t="str">
        <f>'抽奖|MoonBless'!DN20</f>
        <v>30元话费卡</v>
      </c>
      <c r="X20" s="1">
        <f>'抽奖|MoonBless'!DO20</f>
        <v>30</v>
      </c>
      <c r="Y20" s="1">
        <f>'抽奖|MoonBless'!DP20</f>
        <v>300</v>
      </c>
      <c r="Z20" s="1">
        <f>'抽奖|MoonBless'!DQ20</f>
        <v>2</v>
      </c>
      <c r="AA20" s="1">
        <f>'抽奖|MoonBless'!DR20</f>
        <v>1209</v>
      </c>
      <c r="AB20" s="120">
        <v>1</v>
      </c>
    </row>
    <row r="21" spans="1:40" x14ac:dyDescent="0.25">
      <c r="A21" s="1">
        <v>17</v>
      </c>
      <c r="B21" s="1">
        <v>2</v>
      </c>
      <c r="C21" s="66" t="s">
        <v>1806</v>
      </c>
      <c r="D21" s="1" t="str">
        <f t="shared" ref="D21:D33" si="13">Q21&amp;"|"&amp;R21&amp;"|"&amp;S21</f>
        <v>2|1008|1</v>
      </c>
      <c r="E21" s="1">
        <v>1</v>
      </c>
      <c r="F21" s="1">
        <v>3</v>
      </c>
      <c r="G21" s="1" t="str">
        <f t="shared" si="5"/>
        <v>2|1204|65000</v>
      </c>
      <c r="H21" s="1">
        <v>0</v>
      </c>
      <c r="I21" s="1">
        <v>100</v>
      </c>
      <c r="L21" s="59">
        <v>65000</v>
      </c>
      <c r="M21" s="83">
        <f t="shared" si="9"/>
        <v>66667</v>
      </c>
      <c r="P21" s="40" t="s">
        <v>1108</v>
      </c>
      <c r="Q21" s="11">
        <f t="shared" si="2"/>
        <v>2</v>
      </c>
      <c r="R21" s="11">
        <f t="shared" si="3"/>
        <v>1008</v>
      </c>
      <c r="S21" s="41">
        <v>1</v>
      </c>
      <c r="T21" s="19">
        <f t="shared" si="4"/>
        <v>66.666666666666671</v>
      </c>
      <c r="W21" s="1" t="str">
        <f>'抽奖|MoonBless'!DN21</f>
        <v>50元话费卡</v>
      </c>
      <c r="X21" s="1">
        <f>'抽奖|MoonBless'!DO21</f>
        <v>50</v>
      </c>
      <c r="Y21" s="1">
        <f>'抽奖|MoonBless'!DP21</f>
        <v>500</v>
      </c>
      <c r="Z21" s="1">
        <f>'抽奖|MoonBless'!DQ21</f>
        <v>2</v>
      </c>
      <c r="AA21" s="1">
        <f>'抽奖|MoonBless'!DR21</f>
        <v>1210</v>
      </c>
      <c r="AB21" s="120">
        <v>1</v>
      </c>
      <c r="AJ21" s="1" t="s">
        <v>1662</v>
      </c>
      <c r="AK21" s="1">
        <f>AK7*75000</f>
        <v>150</v>
      </c>
      <c r="AL21" s="1">
        <v>2</v>
      </c>
      <c r="AM21" s="1">
        <v>1005</v>
      </c>
      <c r="AN21" s="1">
        <f t="shared" si="6"/>
        <v>15</v>
      </c>
    </row>
    <row r="22" spans="1:40" x14ac:dyDescent="0.25">
      <c r="A22" s="1">
        <v>18</v>
      </c>
      <c r="B22" s="1">
        <v>2</v>
      </c>
      <c r="C22" s="66" t="s">
        <v>1806</v>
      </c>
      <c r="D22" s="1" t="str">
        <f t="shared" si="13"/>
        <v>2|1007|1</v>
      </c>
      <c r="E22" s="1">
        <v>1</v>
      </c>
      <c r="F22" s="1">
        <v>3</v>
      </c>
      <c r="G22" s="1" t="str">
        <f t="shared" ref="G22:G28" si="14">"2|1204|"&amp;L22</f>
        <v>2|1204|33000</v>
      </c>
      <c r="H22" s="1">
        <v>0</v>
      </c>
      <c r="I22" s="1">
        <v>100</v>
      </c>
      <c r="L22" s="59">
        <v>33000</v>
      </c>
      <c r="M22" s="83">
        <f t="shared" si="9"/>
        <v>33333</v>
      </c>
      <c r="P22" s="40" t="s">
        <v>1119</v>
      </c>
      <c r="Q22" s="11">
        <f t="shared" si="2"/>
        <v>2</v>
      </c>
      <c r="R22" s="11">
        <f t="shared" si="3"/>
        <v>1007</v>
      </c>
      <c r="S22" s="41">
        <v>1</v>
      </c>
      <c r="T22" s="19">
        <f t="shared" si="4"/>
        <v>33.333333333333336</v>
      </c>
      <c r="W22" s="1" t="str">
        <f>'抽奖|MoonBless'!DN22</f>
        <v>活跃度</v>
      </c>
      <c r="X22" s="1">
        <f>'抽奖|MoonBless'!DO22</f>
        <v>1</v>
      </c>
      <c r="Y22" s="1">
        <f>'抽奖|MoonBless'!DP22</f>
        <v>10</v>
      </c>
      <c r="Z22" s="1">
        <f>'抽奖|MoonBless'!DQ22</f>
        <v>1</v>
      </c>
      <c r="AA22" s="1">
        <f>'抽奖|MoonBless'!DR22</f>
        <v>6</v>
      </c>
      <c r="AB22" s="120">
        <v>1</v>
      </c>
      <c r="AJ22" s="1" t="s">
        <v>1109</v>
      </c>
      <c r="AK22" s="1">
        <f>AK7*125000</f>
        <v>250</v>
      </c>
      <c r="AL22" s="1">
        <v>2</v>
      </c>
      <c r="AM22" s="1">
        <v>1006</v>
      </c>
      <c r="AN22" s="1">
        <f t="shared" si="6"/>
        <v>25</v>
      </c>
    </row>
    <row r="23" spans="1:40" x14ac:dyDescent="0.25">
      <c r="A23" s="1">
        <v>19</v>
      </c>
      <c r="B23" s="1">
        <v>2</v>
      </c>
      <c r="C23" s="66" t="s">
        <v>1806</v>
      </c>
      <c r="D23" s="1" t="str">
        <f t="shared" si="13"/>
        <v>2|1006|1</v>
      </c>
      <c r="E23" s="1">
        <v>1</v>
      </c>
      <c r="F23" s="1">
        <v>3</v>
      </c>
      <c r="G23" s="1" t="str">
        <f t="shared" si="14"/>
        <v>2|1204|13300</v>
      </c>
      <c r="H23" s="1">
        <v>0</v>
      </c>
      <c r="I23" s="1">
        <v>100</v>
      </c>
      <c r="L23" s="59">
        <v>13300</v>
      </c>
      <c r="M23" s="83">
        <f t="shared" si="9"/>
        <v>13333</v>
      </c>
      <c r="P23" s="40" t="s">
        <v>1109</v>
      </c>
      <c r="Q23" s="11">
        <f t="shared" si="2"/>
        <v>2</v>
      </c>
      <c r="R23" s="11">
        <f t="shared" si="3"/>
        <v>1006</v>
      </c>
      <c r="S23" s="41">
        <v>1</v>
      </c>
      <c r="T23" s="19">
        <f t="shared" si="4"/>
        <v>13.333333333333336</v>
      </c>
      <c r="W23" s="1" t="str">
        <f>'抽奖|MoonBless'!DN23</f>
        <v>红包【恭】</v>
      </c>
      <c r="X23" s="1">
        <f>'抽奖|MoonBless'!DO23</f>
        <v>1</v>
      </c>
      <c r="Y23" s="1">
        <f>'抽奖|MoonBless'!DP23</f>
        <v>10</v>
      </c>
      <c r="Z23" s="1">
        <f>'抽奖|MoonBless'!DQ23</f>
        <v>2</v>
      </c>
      <c r="AA23" s="1">
        <f>'抽奖|MoonBless'!DR23</f>
        <v>1301</v>
      </c>
      <c r="AB23" s="120">
        <v>1</v>
      </c>
      <c r="AJ23" s="1" t="s">
        <v>1119</v>
      </c>
      <c r="AK23" s="1">
        <f>AK7*250000</f>
        <v>500</v>
      </c>
      <c r="AL23" s="1">
        <v>2</v>
      </c>
      <c r="AM23" s="1">
        <v>1007</v>
      </c>
      <c r="AN23" s="1">
        <f t="shared" si="6"/>
        <v>50</v>
      </c>
    </row>
    <row r="24" spans="1:40" x14ac:dyDescent="0.25">
      <c r="A24" s="1">
        <v>20</v>
      </c>
      <c r="B24" s="1">
        <v>2</v>
      </c>
      <c r="C24" s="66" t="s">
        <v>1806</v>
      </c>
      <c r="D24" s="1" t="str">
        <f t="shared" si="13"/>
        <v>1|1|100</v>
      </c>
      <c r="E24" s="1">
        <v>1</v>
      </c>
      <c r="F24" s="1">
        <v>3</v>
      </c>
      <c r="G24" s="1" t="str">
        <f t="shared" si="14"/>
        <v>2|1204|10000</v>
      </c>
      <c r="H24" s="1">
        <v>0</v>
      </c>
      <c r="I24" s="1">
        <v>100</v>
      </c>
      <c r="L24" s="83">
        <f t="shared" ref="L24:L28" si="15">M24</f>
        <v>10000</v>
      </c>
      <c r="M24" s="83">
        <f t="shared" si="9"/>
        <v>10000</v>
      </c>
      <c r="P24" s="40" t="s">
        <v>1107</v>
      </c>
      <c r="Q24" s="11">
        <f t="shared" si="2"/>
        <v>1</v>
      </c>
      <c r="R24" s="11">
        <f t="shared" si="3"/>
        <v>1</v>
      </c>
      <c r="S24" s="41">
        <v>100</v>
      </c>
      <c r="T24" s="19">
        <f t="shared" si="4"/>
        <v>10</v>
      </c>
      <c r="W24" s="1" t="str">
        <f>'抽奖|MoonBless'!DN24</f>
        <v>红包【喜】</v>
      </c>
      <c r="X24" s="1">
        <f>'抽奖|MoonBless'!DO24</f>
        <v>1</v>
      </c>
      <c r="Y24" s="1">
        <f>'抽奖|MoonBless'!DP24</f>
        <v>10</v>
      </c>
      <c r="Z24" s="1">
        <f>'抽奖|MoonBless'!DQ24</f>
        <v>2</v>
      </c>
      <c r="AA24" s="1">
        <f>'抽奖|MoonBless'!DR24</f>
        <v>1302</v>
      </c>
      <c r="AB24" s="120">
        <v>1</v>
      </c>
      <c r="AJ24" s="1" t="s">
        <v>1108</v>
      </c>
      <c r="AK24" s="1">
        <f>AK7*500000</f>
        <v>1000</v>
      </c>
      <c r="AL24" s="1">
        <v>2</v>
      </c>
      <c r="AM24" s="1">
        <v>1008</v>
      </c>
      <c r="AN24" s="1">
        <f t="shared" si="6"/>
        <v>100</v>
      </c>
    </row>
    <row r="25" spans="1:40" x14ac:dyDescent="0.25">
      <c r="A25" s="1">
        <v>21</v>
      </c>
      <c r="B25" s="1">
        <v>2</v>
      </c>
      <c r="C25" s="66" t="s">
        <v>1806</v>
      </c>
      <c r="D25" s="1" t="str">
        <f t="shared" si="13"/>
        <v>2|1003|20</v>
      </c>
      <c r="E25" s="1">
        <v>1</v>
      </c>
      <c r="F25" s="1">
        <v>3</v>
      </c>
      <c r="G25" s="1" t="str">
        <f t="shared" si="14"/>
        <v>2|1204|20000</v>
      </c>
      <c r="H25" s="1">
        <v>0</v>
      </c>
      <c r="I25" s="1">
        <v>100</v>
      </c>
      <c r="L25" s="83">
        <f t="shared" si="15"/>
        <v>20000</v>
      </c>
      <c r="M25" s="83">
        <f t="shared" si="9"/>
        <v>20000</v>
      </c>
      <c r="P25" s="40" t="s">
        <v>1144</v>
      </c>
      <c r="Q25" s="11">
        <f t="shared" si="2"/>
        <v>2</v>
      </c>
      <c r="R25" s="11">
        <f t="shared" si="3"/>
        <v>1003</v>
      </c>
      <c r="S25" s="41">
        <v>20</v>
      </c>
      <c r="T25" s="19">
        <f t="shared" si="4"/>
        <v>20</v>
      </c>
      <c r="W25" s="1" t="str">
        <f>'抽奖|MoonBless'!DN25</f>
        <v>红包【发】</v>
      </c>
      <c r="X25" s="1">
        <f>'抽奖|MoonBless'!DO25</f>
        <v>1</v>
      </c>
      <c r="Y25" s="1">
        <f>'抽奖|MoonBless'!DP25</f>
        <v>10</v>
      </c>
      <c r="Z25" s="1">
        <f>'抽奖|MoonBless'!DQ25</f>
        <v>2</v>
      </c>
      <c r="AA25" s="1">
        <f>'抽奖|MoonBless'!DR25</f>
        <v>1303</v>
      </c>
      <c r="AB25" s="120">
        <v>1</v>
      </c>
    </row>
    <row r="26" spans="1:40" x14ac:dyDescent="0.25">
      <c r="A26" s="1">
        <v>22</v>
      </c>
      <c r="B26" s="1">
        <v>2</v>
      </c>
      <c r="C26" s="66" t="s">
        <v>1806</v>
      </c>
      <c r="D26" s="1" t="str">
        <f t="shared" si="13"/>
        <v>2|1003|10</v>
      </c>
      <c r="E26" s="1">
        <v>1</v>
      </c>
      <c r="F26" s="1">
        <v>3</v>
      </c>
      <c r="G26" s="1" t="str">
        <f t="shared" si="14"/>
        <v>2|1204|10000</v>
      </c>
      <c r="H26" s="1">
        <v>0</v>
      </c>
      <c r="I26" s="1">
        <v>100</v>
      </c>
      <c r="L26" s="83">
        <f t="shared" si="15"/>
        <v>10000</v>
      </c>
      <c r="M26" s="83">
        <f t="shared" si="9"/>
        <v>10000</v>
      </c>
      <c r="P26" s="40" t="s">
        <v>1144</v>
      </c>
      <c r="Q26" s="11">
        <f t="shared" si="2"/>
        <v>2</v>
      </c>
      <c r="R26" s="11">
        <f t="shared" si="3"/>
        <v>1003</v>
      </c>
      <c r="S26" s="41">
        <v>10</v>
      </c>
      <c r="T26" s="19">
        <f t="shared" si="4"/>
        <v>10</v>
      </c>
      <c r="W26" s="1" t="str">
        <f>'抽奖|MoonBless'!DN26</f>
        <v>红包【财】</v>
      </c>
      <c r="X26" s="1">
        <f>'抽奖|MoonBless'!DO26</f>
        <v>1</v>
      </c>
      <c r="Y26" s="1">
        <f>'抽奖|MoonBless'!DP26</f>
        <v>10</v>
      </c>
      <c r="Z26" s="1">
        <f>'抽奖|MoonBless'!DQ26</f>
        <v>2</v>
      </c>
      <c r="AA26" s="1">
        <f>'抽奖|MoonBless'!DR26</f>
        <v>1304</v>
      </c>
      <c r="AB26" s="120">
        <v>1</v>
      </c>
    </row>
    <row r="27" spans="1:40" x14ac:dyDescent="0.25">
      <c r="A27" s="1">
        <v>23</v>
      </c>
      <c r="B27" s="1">
        <v>2</v>
      </c>
      <c r="C27" s="66" t="s">
        <v>1806</v>
      </c>
      <c r="D27" s="1" t="str">
        <f t="shared" si="13"/>
        <v>1|2|3000000</v>
      </c>
      <c r="E27" s="1">
        <v>1</v>
      </c>
      <c r="F27" s="1">
        <v>3</v>
      </c>
      <c r="G27" s="1" t="str">
        <f t="shared" si="14"/>
        <v>2|1204|20000</v>
      </c>
      <c r="H27" s="1">
        <v>0</v>
      </c>
      <c r="I27" s="1">
        <v>100</v>
      </c>
      <c r="L27" s="83">
        <f t="shared" si="15"/>
        <v>20000</v>
      </c>
      <c r="M27" s="83">
        <f t="shared" si="9"/>
        <v>20000</v>
      </c>
      <c r="P27" s="40" t="s">
        <v>169</v>
      </c>
      <c r="Q27" s="11">
        <f t="shared" si="2"/>
        <v>1</v>
      </c>
      <c r="R27" s="11">
        <f t="shared" si="3"/>
        <v>2</v>
      </c>
      <c r="S27" s="41">
        <v>3000000</v>
      </c>
      <c r="T27" s="19">
        <f t="shared" si="4"/>
        <v>20.000000000000004</v>
      </c>
      <c r="W27" s="1" t="str">
        <f>'抽奖|MoonBless'!DN27</f>
        <v>双轮</v>
      </c>
      <c r="X27" s="1">
        <f>'抽奖|MoonBless'!DO27</f>
        <v>100</v>
      </c>
      <c r="Y27" s="1">
        <f>'抽奖|MoonBless'!DP27</f>
        <v>1000</v>
      </c>
      <c r="Z27" s="1">
        <f>'抽奖|MoonBless'!DQ27</f>
        <v>2</v>
      </c>
      <c r="AA27" s="1">
        <f>'抽奖|MoonBless'!DR27</f>
        <v>1500</v>
      </c>
      <c r="AB27" s="120">
        <v>1</v>
      </c>
    </row>
    <row r="28" spans="1:40" x14ac:dyDescent="0.25">
      <c r="A28" s="1">
        <v>24</v>
      </c>
      <c r="B28" s="1">
        <v>2</v>
      </c>
      <c r="C28" s="66" t="s">
        <v>1806</v>
      </c>
      <c r="D28" s="1" t="str">
        <f t="shared" si="13"/>
        <v>1|2|1500000</v>
      </c>
      <c r="E28" s="1">
        <v>1</v>
      </c>
      <c r="F28" s="1">
        <v>3</v>
      </c>
      <c r="G28" s="1" t="str">
        <f t="shared" si="14"/>
        <v>2|1204|10000</v>
      </c>
      <c r="H28" s="1">
        <v>0</v>
      </c>
      <c r="I28" s="1">
        <v>100</v>
      </c>
      <c r="L28" s="83">
        <f t="shared" si="15"/>
        <v>10000</v>
      </c>
      <c r="M28" s="83">
        <f t="shared" si="9"/>
        <v>10000</v>
      </c>
      <c r="P28" s="114" t="s">
        <v>169</v>
      </c>
      <c r="Q28" s="14">
        <f t="shared" si="2"/>
        <v>1</v>
      </c>
      <c r="R28" s="14">
        <f t="shared" si="3"/>
        <v>2</v>
      </c>
      <c r="S28" s="45">
        <v>1500000</v>
      </c>
      <c r="T28" s="21">
        <f t="shared" si="4"/>
        <v>10.000000000000002</v>
      </c>
      <c r="W28" s="1" t="str">
        <f>'抽奖|MoonBless'!DN28</f>
        <v>橄榄油</v>
      </c>
      <c r="X28" s="1">
        <f>'抽奖|MoonBless'!DO28</f>
        <v>200</v>
      </c>
      <c r="Y28" s="1">
        <f>'抽奖|MoonBless'!DP28</f>
        <v>2000</v>
      </c>
      <c r="Z28" s="1">
        <f>'抽奖|MoonBless'!DQ28</f>
        <v>2</v>
      </c>
      <c r="AA28" s="1">
        <f>'抽奖|MoonBless'!DR28</f>
        <v>1503</v>
      </c>
      <c r="AB28" s="120">
        <v>1</v>
      </c>
    </row>
    <row r="29" spans="1:40" x14ac:dyDescent="0.25">
      <c r="A29" s="1">
        <v>25</v>
      </c>
      <c r="B29" s="1">
        <v>1</v>
      </c>
      <c r="C29" s="66" t="s">
        <v>1804</v>
      </c>
      <c r="D29" s="1" t="str">
        <f t="shared" si="13"/>
        <v>2|1007|1</v>
      </c>
      <c r="E29" s="1">
        <v>2</v>
      </c>
      <c r="F29" s="1">
        <v>1</v>
      </c>
      <c r="G29" s="1" t="str">
        <f t="shared" ref="G29:G33" si="16">"2|1213|"&amp;L29</f>
        <v>2|1213|30</v>
      </c>
      <c r="H29" s="1">
        <v>0</v>
      </c>
      <c r="J29" s="1">
        <v>1</v>
      </c>
      <c r="K29" s="1">
        <v>1</v>
      </c>
      <c r="L29" s="59">
        <v>30</v>
      </c>
      <c r="M29" s="83">
        <f t="shared" ref="M29:M38" si="17">ROUND(T29/$X$30,0)</f>
        <v>33</v>
      </c>
      <c r="P29" s="40" t="s">
        <v>1119</v>
      </c>
      <c r="Q29" s="48">
        <f t="shared" si="2"/>
        <v>2</v>
      </c>
      <c r="R29" s="48">
        <f t="shared" si="3"/>
        <v>1007</v>
      </c>
      <c r="S29" s="119">
        <v>1</v>
      </c>
      <c r="T29" s="50">
        <f t="shared" si="4"/>
        <v>33.333333333333336</v>
      </c>
      <c r="W29" s="1" t="str">
        <f>'抽奖|MoonBless'!DN29</f>
        <v>米面礼包</v>
      </c>
      <c r="X29" s="1">
        <f>'抽奖|MoonBless'!DO29</f>
        <v>275</v>
      </c>
      <c r="Y29" s="1">
        <f>'抽奖|MoonBless'!DP29</f>
        <v>2750</v>
      </c>
      <c r="Z29" s="1">
        <f>'抽奖|MoonBless'!DQ29</f>
        <v>2</v>
      </c>
      <c r="AA29" s="1">
        <f>'抽奖|MoonBless'!DR29</f>
        <v>1504</v>
      </c>
      <c r="AB29" s="120">
        <v>1</v>
      </c>
    </row>
    <row r="30" spans="1:40" x14ac:dyDescent="0.25">
      <c r="A30" s="1">
        <v>26</v>
      </c>
      <c r="B30" s="1">
        <v>1</v>
      </c>
      <c r="C30" s="66" t="s">
        <v>1804</v>
      </c>
      <c r="D30" s="1" t="str">
        <f t="shared" si="13"/>
        <v>2|1006|1</v>
      </c>
      <c r="E30" s="1">
        <v>2</v>
      </c>
      <c r="F30" s="1">
        <v>1</v>
      </c>
      <c r="G30" s="1" t="str">
        <f t="shared" si="16"/>
        <v>2|1213|12</v>
      </c>
      <c r="H30" s="1">
        <v>0</v>
      </c>
      <c r="J30" s="1">
        <v>1</v>
      </c>
      <c r="L30" s="59">
        <v>12</v>
      </c>
      <c r="M30" s="83">
        <f t="shared" si="17"/>
        <v>13</v>
      </c>
      <c r="P30" s="40" t="s">
        <v>1109</v>
      </c>
      <c r="Q30" s="11">
        <f t="shared" si="2"/>
        <v>2</v>
      </c>
      <c r="R30" s="11">
        <f t="shared" si="3"/>
        <v>1006</v>
      </c>
      <c r="S30" s="41">
        <v>1</v>
      </c>
      <c r="T30" s="19">
        <f t="shared" si="4"/>
        <v>13.333333333333336</v>
      </c>
      <c r="W30" s="1" t="str">
        <f>'抽奖|MoonBless'!DN30</f>
        <v>买单券</v>
      </c>
      <c r="X30" s="1">
        <f>X12*1000</f>
        <v>1</v>
      </c>
      <c r="Y30" s="1">
        <f>X30*10</f>
        <v>10</v>
      </c>
      <c r="Z30" s="1">
        <f>'抽奖|MoonBless'!DQ30</f>
        <v>2</v>
      </c>
      <c r="AA30" s="1">
        <f>'抽奖|MoonBless'!DR30</f>
        <v>1213</v>
      </c>
      <c r="AB30" s="120">
        <v>1</v>
      </c>
    </row>
    <row r="31" spans="1:40" x14ac:dyDescent="0.25">
      <c r="A31" s="1">
        <v>27</v>
      </c>
      <c r="B31" s="1">
        <v>1</v>
      </c>
      <c r="C31" s="66" t="s">
        <v>1804</v>
      </c>
      <c r="D31" s="1" t="str">
        <f t="shared" si="13"/>
        <v>1|2|3000000</v>
      </c>
      <c r="E31" s="1">
        <v>2</v>
      </c>
      <c r="F31" s="1">
        <v>1</v>
      </c>
      <c r="G31" s="1" t="str">
        <f t="shared" si="16"/>
        <v>2|1213|20</v>
      </c>
      <c r="H31" s="1">
        <v>0</v>
      </c>
      <c r="J31" s="1">
        <v>3</v>
      </c>
      <c r="L31" s="83">
        <f t="shared" ref="L31:L33" si="18">M31</f>
        <v>20</v>
      </c>
      <c r="M31" s="83">
        <f t="shared" si="17"/>
        <v>20</v>
      </c>
      <c r="P31" s="40" t="s">
        <v>169</v>
      </c>
      <c r="Q31" s="11">
        <f t="shared" si="2"/>
        <v>1</v>
      </c>
      <c r="R31" s="11">
        <f t="shared" si="3"/>
        <v>2</v>
      </c>
      <c r="S31" s="41">
        <v>3000000</v>
      </c>
      <c r="T31" s="19">
        <f t="shared" si="4"/>
        <v>20.000000000000004</v>
      </c>
    </row>
    <row r="32" spans="1:40" x14ac:dyDescent="0.25">
      <c r="A32" s="1">
        <v>28</v>
      </c>
      <c r="B32" s="1">
        <v>1</v>
      </c>
      <c r="C32" s="66" t="s">
        <v>1804</v>
      </c>
      <c r="D32" s="1" t="str">
        <f t="shared" si="13"/>
        <v>1|2|1500000</v>
      </c>
      <c r="E32" s="1">
        <v>2</v>
      </c>
      <c r="F32" s="1">
        <v>1</v>
      </c>
      <c r="G32" s="1" t="str">
        <f t="shared" si="16"/>
        <v>2|1213|10</v>
      </c>
      <c r="H32" s="1">
        <v>0</v>
      </c>
      <c r="I32"/>
      <c r="J32" s="1">
        <v>3</v>
      </c>
      <c r="K32"/>
      <c r="L32" s="83">
        <f t="shared" si="18"/>
        <v>10</v>
      </c>
      <c r="M32" s="83">
        <f t="shared" si="17"/>
        <v>10</v>
      </c>
      <c r="N32"/>
      <c r="O32"/>
      <c r="P32" s="40" t="s">
        <v>169</v>
      </c>
      <c r="Q32" s="11">
        <f t="shared" si="2"/>
        <v>1</v>
      </c>
      <c r="R32" s="11">
        <f t="shared" si="3"/>
        <v>2</v>
      </c>
      <c r="S32" s="41">
        <v>1500000</v>
      </c>
      <c r="T32" s="19">
        <f t="shared" si="4"/>
        <v>10.000000000000002</v>
      </c>
    </row>
    <row r="33" spans="1:24" x14ac:dyDescent="0.25">
      <c r="A33" s="1">
        <v>29</v>
      </c>
      <c r="B33" s="1">
        <v>1</v>
      </c>
      <c r="C33" s="66" t="s">
        <v>1804</v>
      </c>
      <c r="D33" s="1" t="str">
        <f t="shared" si="13"/>
        <v>1|1|200</v>
      </c>
      <c r="E33" s="1">
        <v>2</v>
      </c>
      <c r="F33" s="1">
        <v>1</v>
      </c>
      <c r="G33" s="1" t="str">
        <f t="shared" si="16"/>
        <v>2|1213|20</v>
      </c>
      <c r="H33" s="1">
        <v>0</v>
      </c>
      <c r="I33"/>
      <c r="J33" s="1">
        <v>3</v>
      </c>
      <c r="K33"/>
      <c r="L33" s="83">
        <f t="shared" si="18"/>
        <v>20</v>
      </c>
      <c r="M33" s="83">
        <f t="shared" si="17"/>
        <v>20</v>
      </c>
      <c r="N33"/>
      <c r="O33"/>
      <c r="P33" s="114" t="s">
        <v>1107</v>
      </c>
      <c r="Q33" s="14">
        <f t="shared" si="2"/>
        <v>1</v>
      </c>
      <c r="R33" s="14">
        <f t="shared" si="3"/>
        <v>1</v>
      </c>
      <c r="S33" s="45">
        <v>200</v>
      </c>
      <c r="T33" s="21">
        <f t="shared" si="4"/>
        <v>20</v>
      </c>
    </row>
    <row r="34" spans="1:24" x14ac:dyDescent="0.25">
      <c r="A34" s="1">
        <v>25</v>
      </c>
      <c r="B34" s="1">
        <v>1</v>
      </c>
      <c r="C34" s="66" t="s">
        <v>1805</v>
      </c>
      <c r="D34" s="1" t="str">
        <f t="shared" ref="D34:D38" si="19">Q34&amp;"|"&amp;R34&amp;"|"&amp;S34</f>
        <v>2|1210|1</v>
      </c>
      <c r="E34" s="1">
        <v>2</v>
      </c>
      <c r="F34" s="1">
        <v>2</v>
      </c>
      <c r="G34" s="1" t="str">
        <f t="shared" ref="G34:G38" si="20">"2|1213|"&amp;L34</f>
        <v>2|1213|48</v>
      </c>
      <c r="H34" s="1">
        <v>0</v>
      </c>
      <c r="J34" s="1">
        <v>1</v>
      </c>
      <c r="K34" s="1">
        <v>1</v>
      </c>
      <c r="L34" s="59">
        <v>48</v>
      </c>
      <c r="M34" s="83">
        <f t="shared" si="17"/>
        <v>50</v>
      </c>
      <c r="P34" s="115" t="s">
        <v>1667</v>
      </c>
      <c r="Q34" s="48">
        <f t="shared" si="2"/>
        <v>2</v>
      </c>
      <c r="R34" s="48">
        <f t="shared" si="3"/>
        <v>1210</v>
      </c>
      <c r="S34" s="119">
        <v>1</v>
      </c>
      <c r="T34" s="50">
        <f t="shared" si="4"/>
        <v>50</v>
      </c>
    </row>
    <row r="35" spans="1:24" x14ac:dyDescent="0.25">
      <c r="A35" s="1">
        <v>26</v>
      </c>
      <c r="B35" s="1">
        <v>1</v>
      </c>
      <c r="C35" s="66" t="s">
        <v>1805</v>
      </c>
      <c r="D35" s="1" t="str">
        <f t="shared" si="19"/>
        <v>2|1007|1</v>
      </c>
      <c r="E35" s="1">
        <v>2</v>
      </c>
      <c r="F35" s="1">
        <v>2</v>
      </c>
      <c r="G35" s="1" t="str">
        <f t="shared" si="20"/>
        <v>2|1213|30</v>
      </c>
      <c r="H35" s="1">
        <v>0</v>
      </c>
      <c r="J35" s="1">
        <v>1</v>
      </c>
      <c r="L35" s="59">
        <v>30</v>
      </c>
      <c r="M35" s="83">
        <f t="shared" si="17"/>
        <v>33</v>
      </c>
      <c r="P35" s="40" t="s">
        <v>1119</v>
      </c>
      <c r="Q35" s="11">
        <f t="shared" si="2"/>
        <v>2</v>
      </c>
      <c r="R35" s="11">
        <f t="shared" si="3"/>
        <v>1007</v>
      </c>
      <c r="S35" s="41">
        <v>1</v>
      </c>
      <c r="T35" s="19">
        <f t="shared" si="4"/>
        <v>33.333333333333336</v>
      </c>
    </row>
    <row r="36" spans="1:24" x14ac:dyDescent="0.25">
      <c r="A36" s="1">
        <v>27</v>
      </c>
      <c r="B36" s="1">
        <v>1</v>
      </c>
      <c r="C36" s="66" t="s">
        <v>1805</v>
      </c>
      <c r="D36" s="1" t="str">
        <f t="shared" si="19"/>
        <v>1|2|3000000</v>
      </c>
      <c r="E36" s="1">
        <v>2</v>
      </c>
      <c r="F36" s="1">
        <v>2</v>
      </c>
      <c r="G36" s="1" t="str">
        <f t="shared" si="20"/>
        <v>2|1213|20</v>
      </c>
      <c r="H36" s="1">
        <v>0</v>
      </c>
      <c r="J36" s="1">
        <v>3</v>
      </c>
      <c r="L36" s="83">
        <f t="shared" ref="L36:L38" si="21">M36</f>
        <v>20</v>
      </c>
      <c r="M36" s="83">
        <f t="shared" si="17"/>
        <v>20</v>
      </c>
      <c r="P36" s="40" t="s">
        <v>169</v>
      </c>
      <c r="Q36" s="11">
        <f t="shared" si="2"/>
        <v>1</v>
      </c>
      <c r="R36" s="11">
        <f t="shared" si="3"/>
        <v>2</v>
      </c>
      <c r="S36" s="41">
        <v>3000000</v>
      </c>
      <c r="T36" s="19">
        <f t="shared" si="4"/>
        <v>20.000000000000004</v>
      </c>
    </row>
    <row r="37" spans="1:24" x14ac:dyDescent="0.25">
      <c r="A37" s="1">
        <v>28</v>
      </c>
      <c r="B37" s="1">
        <v>1</v>
      </c>
      <c r="C37" s="66" t="s">
        <v>1805</v>
      </c>
      <c r="D37" s="1" t="str">
        <f t="shared" si="19"/>
        <v>1|2|1500000</v>
      </c>
      <c r="E37" s="1">
        <v>2</v>
      </c>
      <c r="F37" s="1">
        <v>2</v>
      </c>
      <c r="G37" s="1" t="str">
        <f t="shared" si="20"/>
        <v>2|1213|10</v>
      </c>
      <c r="H37" s="1">
        <v>0</v>
      </c>
      <c r="I37"/>
      <c r="J37" s="1">
        <v>3</v>
      </c>
      <c r="K37"/>
      <c r="L37" s="83">
        <f t="shared" si="21"/>
        <v>10</v>
      </c>
      <c r="M37" s="83">
        <f t="shared" si="17"/>
        <v>10</v>
      </c>
      <c r="N37"/>
      <c r="O37"/>
      <c r="P37" s="40" t="s">
        <v>169</v>
      </c>
      <c r="Q37" s="11">
        <f t="shared" si="2"/>
        <v>1</v>
      </c>
      <c r="R37" s="11">
        <f t="shared" si="3"/>
        <v>2</v>
      </c>
      <c r="S37" s="41">
        <v>1500000</v>
      </c>
      <c r="T37" s="19">
        <f t="shared" si="4"/>
        <v>10.000000000000002</v>
      </c>
    </row>
    <row r="38" spans="1:24" x14ac:dyDescent="0.25">
      <c r="A38" s="1">
        <v>29</v>
      </c>
      <c r="B38" s="1">
        <v>1</v>
      </c>
      <c r="C38" s="66" t="s">
        <v>1805</v>
      </c>
      <c r="D38" s="1" t="str">
        <f t="shared" si="19"/>
        <v>1|1|200</v>
      </c>
      <c r="E38" s="1">
        <v>2</v>
      </c>
      <c r="F38" s="1">
        <v>2</v>
      </c>
      <c r="G38" s="1" t="str">
        <f t="shared" si="20"/>
        <v>2|1213|20</v>
      </c>
      <c r="H38" s="1">
        <v>0</v>
      </c>
      <c r="I38"/>
      <c r="J38" s="1">
        <v>3</v>
      </c>
      <c r="K38"/>
      <c r="L38" s="83">
        <f t="shared" si="21"/>
        <v>20</v>
      </c>
      <c r="M38" s="83">
        <f t="shared" si="17"/>
        <v>20</v>
      </c>
      <c r="N38"/>
      <c r="O38"/>
      <c r="P38" s="114" t="s">
        <v>1107</v>
      </c>
      <c r="Q38" s="14">
        <f t="shared" si="2"/>
        <v>1</v>
      </c>
      <c r="R38" s="14">
        <f t="shared" si="3"/>
        <v>1</v>
      </c>
      <c r="S38" s="45">
        <v>200</v>
      </c>
      <c r="T38" s="21">
        <f t="shared" si="4"/>
        <v>20</v>
      </c>
    </row>
    <row r="39" spans="1:24" x14ac:dyDescent="0.25">
      <c r="A39" s="1">
        <v>30</v>
      </c>
      <c r="B39" s="1">
        <v>2</v>
      </c>
      <c r="C39" s="66" t="s">
        <v>1806</v>
      </c>
      <c r="D39" s="1" t="str">
        <f t="shared" ref="D39:D43" si="22">Q39&amp;"|"&amp;R39&amp;"|"&amp;S39</f>
        <v>2|1007|1</v>
      </c>
      <c r="E39" s="1">
        <v>2</v>
      </c>
      <c r="F39" s="1">
        <v>3</v>
      </c>
      <c r="G39" s="1" t="str">
        <f t="shared" ref="G39:G43" si="23">"2|1213|"&amp;L39</f>
        <v>2|1213|30</v>
      </c>
      <c r="H39" s="1">
        <v>0</v>
      </c>
      <c r="J39" s="1">
        <v>1</v>
      </c>
      <c r="K39" s="1">
        <v>1</v>
      </c>
      <c r="L39" s="59">
        <v>30</v>
      </c>
      <c r="M39" s="83">
        <f t="shared" ref="M39:M43" si="24">ROUND(T39/$X$30,0)</f>
        <v>33</v>
      </c>
      <c r="P39" s="40" t="s">
        <v>1119</v>
      </c>
      <c r="Q39" s="48">
        <f t="shared" si="2"/>
        <v>2</v>
      </c>
      <c r="R39" s="48">
        <f t="shared" si="3"/>
        <v>1007</v>
      </c>
      <c r="S39" s="119">
        <v>1</v>
      </c>
      <c r="T39" s="50">
        <f t="shared" si="4"/>
        <v>33.333333333333336</v>
      </c>
    </row>
    <row r="40" spans="1:24" x14ac:dyDescent="0.25">
      <c r="A40" s="1">
        <v>31</v>
      </c>
      <c r="B40" s="1">
        <v>2</v>
      </c>
      <c r="C40" s="66" t="s">
        <v>1806</v>
      </c>
      <c r="D40" s="1" t="str">
        <f t="shared" si="22"/>
        <v>2|1006|1</v>
      </c>
      <c r="E40" s="1">
        <v>2</v>
      </c>
      <c r="F40" s="1">
        <v>3</v>
      </c>
      <c r="G40" s="1" t="str">
        <f t="shared" si="23"/>
        <v>2|1213|12</v>
      </c>
      <c r="H40" s="1">
        <v>0</v>
      </c>
      <c r="J40" s="1">
        <v>1</v>
      </c>
      <c r="L40" s="59">
        <v>12</v>
      </c>
      <c r="M40" s="83">
        <f t="shared" si="24"/>
        <v>13</v>
      </c>
      <c r="N40" s="1">
        <f>L40*5/2</f>
        <v>30</v>
      </c>
      <c r="P40" s="40" t="s">
        <v>1109</v>
      </c>
      <c r="Q40" s="11">
        <f t="shared" si="2"/>
        <v>2</v>
      </c>
      <c r="R40" s="11">
        <f t="shared" si="3"/>
        <v>1006</v>
      </c>
      <c r="S40" s="41">
        <v>1</v>
      </c>
      <c r="T40" s="19">
        <f t="shared" si="4"/>
        <v>13.333333333333336</v>
      </c>
    </row>
    <row r="41" spans="1:24" x14ac:dyDescent="0.25">
      <c r="A41" s="1">
        <v>32</v>
      </c>
      <c r="B41" s="1">
        <v>2</v>
      </c>
      <c r="C41" s="66" t="s">
        <v>1806</v>
      </c>
      <c r="D41" s="1" t="str">
        <f t="shared" si="22"/>
        <v>1|2|3000000</v>
      </c>
      <c r="E41" s="1">
        <v>2</v>
      </c>
      <c r="F41" s="1">
        <v>3</v>
      </c>
      <c r="G41" s="1" t="str">
        <f t="shared" si="23"/>
        <v>2|1213|20</v>
      </c>
      <c r="H41" s="1">
        <v>0</v>
      </c>
      <c r="J41" s="1">
        <v>3</v>
      </c>
      <c r="L41" s="83">
        <f t="shared" ref="L41:L43" si="25">M41</f>
        <v>20</v>
      </c>
      <c r="M41" s="83">
        <f t="shared" si="24"/>
        <v>20</v>
      </c>
      <c r="P41" s="40" t="s">
        <v>169</v>
      </c>
      <c r="Q41" s="11">
        <f t="shared" si="2"/>
        <v>1</v>
      </c>
      <c r="R41" s="11">
        <f t="shared" si="3"/>
        <v>2</v>
      </c>
      <c r="S41" s="41">
        <v>3000000</v>
      </c>
      <c r="T41" s="19">
        <f t="shared" si="4"/>
        <v>20.000000000000004</v>
      </c>
    </row>
    <row r="42" spans="1:24" x14ac:dyDescent="0.25">
      <c r="A42" s="1">
        <v>33</v>
      </c>
      <c r="B42" s="1">
        <v>2</v>
      </c>
      <c r="C42" s="66" t="s">
        <v>1806</v>
      </c>
      <c r="D42" s="1" t="str">
        <f t="shared" si="22"/>
        <v>1|2|1500000</v>
      </c>
      <c r="E42" s="1">
        <v>2</v>
      </c>
      <c r="F42" s="1">
        <v>3</v>
      </c>
      <c r="G42" s="1" t="str">
        <f t="shared" si="23"/>
        <v>2|1213|10</v>
      </c>
      <c r="H42" s="1">
        <v>0</v>
      </c>
      <c r="I42"/>
      <c r="J42" s="1">
        <v>3</v>
      </c>
      <c r="K42"/>
      <c r="L42" s="83">
        <f t="shared" si="25"/>
        <v>10</v>
      </c>
      <c r="M42" s="83">
        <f t="shared" si="24"/>
        <v>10</v>
      </c>
      <c r="N42"/>
      <c r="O42"/>
      <c r="P42" s="40" t="s">
        <v>169</v>
      </c>
      <c r="Q42" s="11">
        <f t="shared" si="2"/>
        <v>1</v>
      </c>
      <c r="R42" s="11">
        <f t="shared" si="3"/>
        <v>2</v>
      </c>
      <c r="S42" s="41">
        <v>1500000</v>
      </c>
      <c r="T42" s="19">
        <f t="shared" si="4"/>
        <v>10.000000000000002</v>
      </c>
    </row>
    <row r="43" spans="1:24" x14ac:dyDescent="0.25">
      <c r="A43" s="1">
        <v>34</v>
      </c>
      <c r="B43" s="1">
        <v>2</v>
      </c>
      <c r="C43" s="66" t="s">
        <v>1806</v>
      </c>
      <c r="D43" s="1" t="str">
        <f t="shared" si="22"/>
        <v>1|1|200</v>
      </c>
      <c r="E43" s="1">
        <v>2</v>
      </c>
      <c r="F43" s="1">
        <v>3</v>
      </c>
      <c r="G43" s="1" t="str">
        <f t="shared" si="23"/>
        <v>2|1213|20</v>
      </c>
      <c r="H43" s="1">
        <v>0</v>
      </c>
      <c r="I43"/>
      <c r="J43" s="1">
        <v>3</v>
      </c>
      <c r="K43"/>
      <c r="L43" s="83">
        <f t="shared" si="25"/>
        <v>20</v>
      </c>
      <c r="M43" s="83">
        <f t="shared" si="24"/>
        <v>20</v>
      </c>
      <c r="N43"/>
      <c r="O43"/>
      <c r="P43" s="114" t="s">
        <v>1107</v>
      </c>
      <c r="Q43" s="14">
        <f t="shared" si="2"/>
        <v>1</v>
      </c>
      <c r="R43" s="14">
        <f t="shared" si="3"/>
        <v>1</v>
      </c>
      <c r="S43" s="45">
        <v>200</v>
      </c>
      <c r="T43" s="21">
        <f t="shared" si="4"/>
        <v>20</v>
      </c>
    </row>
    <row r="44" spans="1:24" x14ac:dyDescent="0.25">
      <c r="C44" s="66"/>
      <c r="P44" s="1"/>
      <c r="Q44" s="1"/>
      <c r="R44" s="1"/>
      <c r="S44" s="1"/>
      <c r="T44" s="1"/>
      <c r="X44" s="72"/>
    </row>
    <row r="45" spans="1:24" x14ac:dyDescent="0.25">
      <c r="C45" s="66"/>
      <c r="P45" s="1"/>
      <c r="Q45" s="1"/>
      <c r="R45" s="1"/>
      <c r="S45" s="1"/>
      <c r="T45" s="1"/>
    </row>
    <row r="46" spans="1:24" x14ac:dyDescent="0.25">
      <c r="C46" s="66"/>
      <c r="P46" s="1"/>
      <c r="Q46" s="1"/>
      <c r="R46" s="1"/>
      <c r="S46" s="1"/>
      <c r="T46" s="1"/>
      <c r="X46" s="72"/>
    </row>
    <row r="47" spans="1:24" x14ac:dyDescent="0.25">
      <c r="P47" s="1"/>
      <c r="Q47" s="1"/>
      <c r="R47" s="1"/>
      <c r="S47" s="1"/>
      <c r="T47" s="1"/>
    </row>
    <row r="48" spans="1:24" x14ac:dyDescent="0.25">
      <c r="P48" s="1"/>
      <c r="Q48" s="1"/>
      <c r="R48" s="1"/>
      <c r="S48" s="1"/>
      <c r="T48" s="1"/>
    </row>
    <row r="49" spans="16:20" x14ac:dyDescent="0.25">
      <c r="P49" s="1"/>
      <c r="Q49" s="1"/>
      <c r="R49" s="1"/>
      <c r="S49" s="1"/>
      <c r="T49" s="1"/>
    </row>
    <row r="50" spans="16:20" x14ac:dyDescent="0.25">
      <c r="P50" s="1"/>
      <c r="Q50" s="1"/>
      <c r="R50" s="1"/>
      <c r="S50" s="1"/>
      <c r="T50" s="1"/>
    </row>
    <row r="51" spans="16:20" x14ac:dyDescent="0.25">
      <c r="P51" s="1"/>
      <c r="Q51" s="1"/>
      <c r="R51" s="1"/>
      <c r="S51" s="1"/>
      <c r="T51" s="1"/>
    </row>
    <row r="52" spans="16:20" x14ac:dyDescent="0.25">
      <c r="P52" s="1"/>
      <c r="Q52" s="1"/>
      <c r="R52" s="1"/>
      <c r="S52" s="1"/>
      <c r="T52" s="1"/>
    </row>
    <row r="53" spans="16:20" x14ac:dyDescent="0.25">
      <c r="P53" s="1"/>
      <c r="Q53" s="1"/>
      <c r="R53" s="1"/>
      <c r="S53" s="1"/>
      <c r="T53" s="1"/>
    </row>
    <row r="54" spans="16:20" x14ac:dyDescent="0.25">
      <c r="P54" s="1"/>
      <c r="Q54" s="1"/>
      <c r="R54" s="1"/>
      <c r="S54" s="1"/>
      <c r="T54" s="1"/>
    </row>
    <row r="55" spans="16:20" x14ac:dyDescent="0.25">
      <c r="P55" s="1"/>
      <c r="Q55" s="1"/>
      <c r="R55" s="1"/>
      <c r="S55" s="1"/>
      <c r="T55" s="1"/>
    </row>
  </sheetData>
  <phoneticPr fontId="57" type="noConversion"/>
  <conditionalFormatting sqref="P5">
    <cfRule type="containsText" dxfId="400" priority="70" operator="containsText" text=" ">
      <formula>NOT(ISERROR(SEARCH(" ",P5)))</formula>
    </cfRule>
  </conditionalFormatting>
  <conditionalFormatting sqref="P6">
    <cfRule type="containsText" dxfId="399" priority="69" operator="containsText" text=" ">
      <formula>NOT(ISERROR(SEARCH(" ",P6)))</formula>
    </cfRule>
  </conditionalFormatting>
  <conditionalFormatting sqref="P7">
    <cfRule type="containsText" dxfId="398" priority="68" operator="containsText" text=" ">
      <formula>NOT(ISERROR(SEARCH(" ",P7)))</formula>
    </cfRule>
    <cfRule type="containsText" dxfId="397" priority="84" operator="containsText" text=" ">
      <formula>NOT(ISERROR(SEARCH(" ",P7)))</formula>
    </cfRule>
  </conditionalFormatting>
  <conditionalFormatting sqref="X7">
    <cfRule type="containsText" dxfId="396" priority="71" operator="containsText" text=" ">
      <formula>NOT(ISERROR(SEARCH(" ",X7)))</formula>
    </cfRule>
  </conditionalFormatting>
  <conditionalFormatting sqref="Y7">
    <cfRule type="containsText" dxfId="395" priority="81" operator="containsText" text=" ">
      <formula>NOT(ISERROR(SEARCH(" ",Y7)))</formula>
    </cfRule>
  </conditionalFormatting>
  <conditionalFormatting sqref="P8">
    <cfRule type="containsText" dxfId="394" priority="83" operator="containsText" text=" ">
      <formula>NOT(ISERROR(SEARCH(" ",P8)))</formula>
    </cfRule>
  </conditionalFormatting>
  <conditionalFormatting sqref="P9">
    <cfRule type="containsText" dxfId="393" priority="143" operator="containsText" text=" ">
      <formula>NOT(ISERROR(SEARCH(" ",P9)))</formula>
    </cfRule>
  </conditionalFormatting>
  <conditionalFormatting sqref="P11">
    <cfRule type="containsText" dxfId="392" priority="150" operator="containsText" text=" ">
      <formula>NOT(ISERROR(SEARCH(" ",P11)))</formula>
    </cfRule>
  </conditionalFormatting>
  <conditionalFormatting sqref="AA12">
    <cfRule type="containsText" dxfId="391" priority="166" operator="containsText" text=" ">
      <formula>NOT(ISERROR(SEARCH(" ",AA12)))</formula>
    </cfRule>
  </conditionalFormatting>
  <conditionalFormatting sqref="P13">
    <cfRule type="containsText" dxfId="390" priority="53" operator="containsText" text=" ">
      <formula>NOT(ISERROR(SEARCH(" ",P13)))</formula>
    </cfRule>
  </conditionalFormatting>
  <conditionalFormatting sqref="P14">
    <cfRule type="containsText" dxfId="389" priority="52" operator="containsText" text=" ">
      <formula>NOT(ISERROR(SEARCH(" ",P14)))</formula>
    </cfRule>
    <cfRule type="containsText" dxfId="388" priority="58" operator="containsText" text=" ">
      <formula>NOT(ISERROR(SEARCH(" ",P14)))</formula>
    </cfRule>
  </conditionalFormatting>
  <conditionalFormatting sqref="P15">
    <cfRule type="containsText" dxfId="387" priority="51" operator="containsText" text=" ">
      <formula>NOT(ISERROR(SEARCH(" ",P15)))</formula>
    </cfRule>
    <cfRule type="containsText" dxfId="386" priority="55" operator="containsText" text=" ">
      <formula>NOT(ISERROR(SEARCH(" ",P15)))</formula>
    </cfRule>
  </conditionalFormatting>
  <conditionalFormatting sqref="P16">
    <cfRule type="containsText" dxfId="385" priority="54" operator="containsText" text=" ">
      <formula>NOT(ISERROR(SEARCH(" ",P16)))</formula>
    </cfRule>
  </conditionalFormatting>
  <conditionalFormatting sqref="P17">
    <cfRule type="containsText" dxfId="384" priority="59" operator="containsText" text=" ">
      <formula>NOT(ISERROR(SEARCH(" ",P17)))</formula>
    </cfRule>
  </conditionalFormatting>
  <conditionalFormatting sqref="W17:X17">
    <cfRule type="containsText" dxfId="383" priority="162" operator="containsText" text=" ">
      <formula>NOT(ISERROR(SEARCH(" ",W17)))</formula>
    </cfRule>
  </conditionalFormatting>
  <conditionalFormatting sqref="W18:X18">
    <cfRule type="containsText" dxfId="382" priority="161" operator="containsText" text=" ">
      <formula>NOT(ISERROR(SEARCH(" ",W18)))</formula>
    </cfRule>
  </conditionalFormatting>
  <conditionalFormatting sqref="P19">
    <cfRule type="containsText" dxfId="381" priority="60" operator="containsText" text=" ">
      <formula>NOT(ISERROR(SEARCH(" ",P19)))</formula>
    </cfRule>
  </conditionalFormatting>
  <conditionalFormatting sqref="AA19">
    <cfRule type="containsText" dxfId="380" priority="160" operator="containsText" text=" ">
      <formula>NOT(ISERROR(SEARCH(" ",AA19)))</formula>
    </cfRule>
  </conditionalFormatting>
  <conditionalFormatting sqref="P21">
    <cfRule type="containsText" dxfId="379" priority="25" operator="containsText" text=" ">
      <formula>NOT(ISERROR(SEARCH(" ",P21)))</formula>
    </cfRule>
  </conditionalFormatting>
  <conditionalFormatting sqref="P22">
    <cfRule type="containsText" dxfId="378" priority="24" operator="containsText" text=" ">
      <formula>NOT(ISERROR(SEARCH(" ",P22)))</formula>
    </cfRule>
    <cfRule type="containsText" dxfId="377" priority="28" operator="containsText" text=" ">
      <formula>NOT(ISERROR(SEARCH(" ",P22)))</formula>
    </cfRule>
  </conditionalFormatting>
  <conditionalFormatting sqref="P23">
    <cfRule type="containsText" dxfId="376" priority="23" operator="containsText" text=" ">
      <formula>NOT(ISERROR(SEARCH(" ",P23)))</formula>
    </cfRule>
    <cfRule type="containsText" dxfId="375" priority="27" operator="containsText" text=" ">
      <formula>NOT(ISERROR(SEARCH(" ",P23)))</formula>
    </cfRule>
  </conditionalFormatting>
  <conditionalFormatting sqref="P24">
    <cfRule type="containsText" dxfId="374" priority="26" operator="containsText" text=" ">
      <formula>NOT(ISERROR(SEARCH(" ",P24)))</formula>
    </cfRule>
  </conditionalFormatting>
  <conditionalFormatting sqref="P25">
    <cfRule type="containsText" dxfId="373" priority="29" operator="containsText" text=" ">
      <formula>NOT(ISERROR(SEARCH(" ",P25)))</formula>
    </cfRule>
  </conditionalFormatting>
  <conditionalFormatting sqref="P27">
    <cfRule type="containsText" dxfId="372" priority="30" operator="containsText" text=" ">
      <formula>NOT(ISERROR(SEARCH(" ",P27)))</formula>
    </cfRule>
  </conditionalFormatting>
  <conditionalFormatting sqref="P29">
    <cfRule type="containsText" dxfId="371" priority="35" operator="containsText" text=" ">
      <formula>NOT(ISERROR(SEARCH(" ",P29)))</formula>
    </cfRule>
  </conditionalFormatting>
  <conditionalFormatting sqref="P30">
    <cfRule type="containsText" dxfId="370" priority="95" operator="containsText" text=" ">
      <formula>NOT(ISERROR(SEARCH(" ",P30)))</formula>
    </cfRule>
  </conditionalFormatting>
  <conditionalFormatting sqref="P31">
    <cfRule type="containsText" dxfId="369" priority="114" operator="containsText" text=" ">
      <formula>NOT(ISERROR(SEARCH(" ",P31)))</formula>
    </cfRule>
  </conditionalFormatting>
  <conditionalFormatting sqref="S31">
    <cfRule type="containsText" dxfId="368" priority="75" operator="containsText" text=" ">
      <formula>NOT(ISERROR(SEARCH(" ",S31)))</formula>
    </cfRule>
  </conditionalFormatting>
  <conditionalFormatting sqref="P32">
    <cfRule type="containsText" dxfId="367" priority="105" operator="containsText" text=" ">
      <formula>NOT(ISERROR(SEARCH(" ",P32)))</formula>
    </cfRule>
  </conditionalFormatting>
  <conditionalFormatting sqref="S32">
    <cfRule type="containsText" dxfId="366" priority="100" operator="containsText" text=" ">
      <formula>NOT(ISERROR(SEARCH(" ",S32)))</formula>
    </cfRule>
  </conditionalFormatting>
  <conditionalFormatting sqref="P33">
    <cfRule type="containsText" dxfId="365" priority="106" operator="containsText" text=" ">
      <formula>NOT(ISERROR(SEARCH(" ",P33)))</formula>
    </cfRule>
  </conditionalFormatting>
  <conditionalFormatting sqref="P34">
    <cfRule type="containsText" dxfId="364" priority="43" operator="containsText" text=" ">
      <formula>NOT(ISERROR(SEARCH(" ",P34)))</formula>
    </cfRule>
  </conditionalFormatting>
  <conditionalFormatting sqref="P35">
    <cfRule type="containsText" dxfId="363" priority="37" operator="containsText" text=" ">
      <formula>NOT(ISERROR(SEARCH(" ",P35)))</formula>
    </cfRule>
  </conditionalFormatting>
  <conditionalFormatting sqref="C36">
    <cfRule type="containsText" dxfId="362" priority="2" operator="containsText" text=" ">
      <formula>NOT(ISERROR(SEARCH(" ",C36)))</formula>
    </cfRule>
  </conditionalFormatting>
  <conditionalFormatting sqref="P36">
    <cfRule type="containsText" dxfId="361" priority="42" operator="containsText" text=" ">
      <formula>NOT(ISERROR(SEARCH(" ",P36)))</formula>
    </cfRule>
  </conditionalFormatting>
  <conditionalFormatting sqref="S36">
    <cfRule type="containsText" dxfId="360" priority="36" operator="containsText" text=" ">
      <formula>NOT(ISERROR(SEARCH(" ",S36)))</formula>
    </cfRule>
  </conditionalFormatting>
  <conditionalFormatting sqref="P37">
    <cfRule type="containsText" dxfId="359" priority="40" operator="containsText" text=" ">
      <formula>NOT(ISERROR(SEARCH(" ",P37)))</formula>
    </cfRule>
  </conditionalFormatting>
  <conditionalFormatting sqref="S37">
    <cfRule type="containsText" dxfId="358" priority="38" operator="containsText" text=" ">
      <formula>NOT(ISERROR(SEARCH(" ",S37)))</formula>
    </cfRule>
  </conditionalFormatting>
  <conditionalFormatting sqref="P38">
    <cfRule type="containsText" dxfId="357" priority="41" operator="containsText" text=" ">
      <formula>NOT(ISERROR(SEARCH(" ",P38)))</formula>
    </cfRule>
  </conditionalFormatting>
  <conditionalFormatting sqref="P39">
    <cfRule type="containsText" dxfId="356" priority="15" operator="containsText" text=" ">
      <formula>NOT(ISERROR(SEARCH(" ",P39)))</formula>
    </cfRule>
  </conditionalFormatting>
  <conditionalFormatting sqref="P40">
    <cfRule type="containsText" dxfId="355" priority="16" operator="containsText" text=" ">
      <formula>NOT(ISERROR(SEARCH(" ",P40)))</formula>
    </cfRule>
  </conditionalFormatting>
  <conditionalFormatting sqref="P41">
    <cfRule type="containsText" dxfId="354" priority="19" operator="containsText" text=" ">
      <formula>NOT(ISERROR(SEARCH(" ",P41)))</formula>
    </cfRule>
  </conditionalFormatting>
  <conditionalFormatting sqref="S41">
    <cfRule type="containsText" dxfId="353" priority="12" operator="containsText" text=" ">
      <formula>NOT(ISERROR(SEARCH(" ",S41)))</formula>
    </cfRule>
  </conditionalFormatting>
  <conditionalFormatting sqref="P42">
    <cfRule type="containsText" dxfId="352" priority="17" operator="containsText" text=" ">
      <formula>NOT(ISERROR(SEARCH(" ",P42)))</formula>
    </cfRule>
  </conditionalFormatting>
  <conditionalFormatting sqref="S42">
    <cfRule type="containsText" dxfId="351" priority="13" operator="containsText" text=" ">
      <formula>NOT(ISERROR(SEARCH(" ",S42)))</formula>
    </cfRule>
  </conditionalFormatting>
  <conditionalFormatting sqref="P43">
    <cfRule type="containsText" dxfId="350" priority="18" operator="containsText" text=" ">
      <formula>NOT(ISERROR(SEARCH(" ",P43)))</formula>
    </cfRule>
  </conditionalFormatting>
  <conditionalFormatting sqref="C13:C20">
    <cfRule type="containsText" dxfId="349" priority="4" operator="containsText" text=" ">
      <formula>NOT(ISERROR(SEARCH(" ",C13)))</formula>
    </cfRule>
  </conditionalFormatting>
  <conditionalFormatting sqref="C34:C35">
    <cfRule type="containsText" dxfId="348" priority="3" operator="containsText" text=" ">
      <formula>NOT(ISERROR(SEARCH(" ",C34)))</formula>
    </cfRule>
  </conditionalFormatting>
  <conditionalFormatting sqref="C37:C38">
    <cfRule type="containsText" dxfId="347" priority="1" operator="containsText" text=" ">
      <formula>NOT(ISERROR(SEARCH(" ",C37)))</formula>
    </cfRule>
  </conditionalFormatting>
  <conditionalFormatting sqref="D13:D20">
    <cfRule type="containsText" dxfId="346" priority="63" operator="containsText" text=" ">
      <formula>NOT(ISERROR(SEARCH(" ",D13)))</formula>
    </cfRule>
  </conditionalFormatting>
  <conditionalFormatting sqref="D34:D38">
    <cfRule type="containsText" dxfId="345" priority="47" operator="containsText" text=" ">
      <formula>NOT(ISERROR(SEARCH(" ",D34)))</formula>
    </cfRule>
  </conditionalFormatting>
  <conditionalFormatting sqref="F5:F43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3:G20">
    <cfRule type="containsText" dxfId="344" priority="64" operator="containsText" text=" ">
      <formula>NOT(ISERROR(SEARCH(" ",G13)))</formula>
    </cfRule>
  </conditionalFormatting>
  <conditionalFormatting sqref="G34:G38">
    <cfRule type="containsText" dxfId="343" priority="48" operator="containsText" text=" ">
      <formula>NOT(ISERROR(SEARCH(" ",G34)))</formula>
    </cfRule>
  </conditionalFormatting>
  <conditionalFormatting sqref="L39:L43">
    <cfRule type="containsText" dxfId="342" priority="11" operator="containsText" text=" ">
      <formula>NOT(ISERROR(SEARCH(" ",L39)))</formula>
    </cfRule>
  </conditionalFormatting>
  <conditionalFormatting sqref="M34:M38">
    <cfRule type="containsText" dxfId="341" priority="46" operator="containsText" text=" ">
      <formula>NOT(ISERROR(SEARCH(" ",M34)))</formula>
    </cfRule>
  </conditionalFormatting>
  <conditionalFormatting sqref="M39:M43">
    <cfRule type="containsText" dxfId="340" priority="10" operator="containsText" text=" ">
      <formula>NOT(ISERROR(SEARCH(" ",M39)))</formula>
    </cfRule>
  </conditionalFormatting>
  <conditionalFormatting sqref="N21:N28">
    <cfRule type="containsText" dxfId="339" priority="142" operator="containsText" text=" ">
      <formula>NOT(ISERROR(SEARCH(" ",N21)))</formula>
    </cfRule>
  </conditionalFormatting>
  <conditionalFormatting sqref="O15:O19">
    <cfRule type="containsText" dxfId="338" priority="66" operator="containsText" text=" ">
      <formula>NOT(ISERROR(SEARCH(" ",O15)))</formula>
    </cfRule>
  </conditionalFormatting>
  <conditionalFormatting sqref="S11:S12">
    <cfRule type="containsText" dxfId="337" priority="88" operator="containsText" text=" ">
      <formula>NOT(ISERROR(SEARCH(" ",S11)))</formula>
    </cfRule>
  </conditionalFormatting>
  <conditionalFormatting sqref="S19:S20">
    <cfRule type="containsText" dxfId="336" priority="56" operator="containsText" text=" ">
      <formula>NOT(ISERROR(SEARCH(" ",S19)))</formula>
    </cfRule>
  </conditionalFormatting>
  <conditionalFormatting sqref="S21:S26">
    <cfRule type="containsText" dxfId="335" priority="22" operator="containsText" text=" ">
      <formula>NOT(ISERROR(SEARCH(" ",S21)))</formula>
    </cfRule>
  </conditionalFormatting>
  <conditionalFormatting sqref="S27:S28">
    <cfRule type="containsText" dxfId="334" priority="21" operator="containsText" text=" ">
      <formula>NOT(ISERROR(SEARCH(" ",S27)))</formula>
    </cfRule>
  </conditionalFormatting>
  <conditionalFormatting sqref="Y8:Y12">
    <cfRule type="containsText" dxfId="333" priority="167" operator="containsText" text=" ">
      <formula>NOT(ISERROR(SEARCH(" ",Y8)))</formula>
    </cfRule>
  </conditionalFormatting>
  <conditionalFormatting sqref="Y13:Y16">
    <cfRule type="containsText" dxfId="332" priority="164" operator="containsText" text=" ">
      <formula>NOT(ISERROR(SEARCH(" ",Y13)))</formula>
    </cfRule>
  </conditionalFormatting>
  <conditionalFormatting sqref="AA8:AA11">
    <cfRule type="containsText" dxfId="331" priority="168" operator="containsText" text=" ">
      <formula>NOT(ISERROR(SEARCH(" ",AA8)))</formula>
    </cfRule>
  </conditionalFormatting>
  <conditionalFormatting sqref="AA13:AA16">
    <cfRule type="containsText" dxfId="330" priority="165" operator="containsText" text=" ">
      <formula>NOT(ISERROR(SEARCH(" ",AA13)))</formula>
    </cfRule>
  </conditionalFormatting>
  <conditionalFormatting sqref="AK8:AK11">
    <cfRule type="containsText" dxfId="329" priority="173" operator="containsText" text=" ">
      <formula>NOT(ISERROR(SEARCH(" ",AK8)))</formula>
    </cfRule>
  </conditionalFormatting>
  <conditionalFormatting sqref="AK21:AK24">
    <cfRule type="containsText" dxfId="328" priority="170" operator="containsText" text=" ">
      <formula>NOT(ISERROR(SEARCH(" ",AK21)))</formula>
    </cfRule>
  </conditionalFormatting>
  <conditionalFormatting sqref="AM8:AM11">
    <cfRule type="containsText" dxfId="327" priority="174" operator="containsText" text=" ">
      <formula>NOT(ISERROR(SEARCH(" ",AM8)))</formula>
    </cfRule>
  </conditionalFormatting>
  <conditionalFormatting sqref="AM12:AM20">
    <cfRule type="containsText" dxfId="326" priority="172" operator="containsText" text=" ">
      <formula>NOT(ISERROR(SEARCH(" ",AM12)))</formula>
    </cfRule>
  </conditionalFormatting>
  <conditionalFormatting sqref="AM21:AM24">
    <cfRule type="containsText" dxfId="325" priority="171" operator="containsText" text=" ">
      <formula>NOT(ISERROR(SEARCH(" ",AM21)))</formula>
    </cfRule>
  </conditionalFormatting>
  <conditionalFormatting sqref="Y17:AA18 V25:V26 V3:AA6 V1:V2 X1:AA2 Z7:AA7 V7:W7 V8:X12 V13:V20 Z8:Z16">
    <cfRule type="containsText" dxfId="324" priority="169" operator="containsText" text=" ">
      <formula>NOT(ISERROR(SEARCH(" ",V1)))</formula>
    </cfRule>
  </conditionalFormatting>
  <conditionalFormatting sqref="AL8:AL11 AL21:AL24 AJ21:AJ24 AJ12:AL20 AJ8:AJ11 AJ4:AM7">
    <cfRule type="containsText" dxfId="323" priority="175" operator="containsText" text=" ">
      <formula>NOT(ISERROR(SEARCH(" ",AJ4)))</formula>
    </cfRule>
  </conditionalFormatting>
  <conditionalFormatting sqref="H5:K7 J8:K8 I8:I12 B29:B33 AO5:XFD5 AG5:AI6 AF25:XFD1048576 AG12:AI24 O12 O5:O6 AO12:XFD24 A44:A1048576 D44:D1048576 G44:O1048576 AN6 N29:O33 H8:H11 J29:L33 O21:O28 I21:I28 J39:K43 N39:O43 B47:C1048576 B39:B46 E5:F12 E21:F33 E39:F1048576">
    <cfRule type="containsText" dxfId="322" priority="185" operator="containsText" text=" ">
      <formula>NOT(ISERROR(SEARCH(" ",A5)))</formula>
    </cfRule>
  </conditionalFormatting>
  <conditionalFormatting sqref="D5:D12 D21:D33 D39:D43">
    <cfRule type="containsText" dxfId="321" priority="176" operator="containsText" text=" ">
      <formula>NOT(ISERROR(SEARCH(" ",D5)))</formula>
    </cfRule>
  </conditionalFormatting>
  <conditionalFormatting sqref="E5:F12 E21:F33 E39:F43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2 G21:G33 G39:G43">
    <cfRule type="containsText" dxfId="320" priority="177" operator="containsText" text=" ">
      <formula>NOT(ISERROR(SEARCH(" ",G5)))</formula>
    </cfRule>
  </conditionalFormatting>
  <conditionalFormatting sqref="L5:N12 M29:M33">
    <cfRule type="containsText" dxfId="319" priority="154" operator="containsText" text=" ">
      <formula>NOT(ISERROR(SEARCH(" ",L5)))</formula>
    </cfRule>
  </conditionalFormatting>
  <conditionalFormatting sqref="O7:O11 AO6:XFD6 AN5 AN7:AN24">
    <cfRule type="containsText" dxfId="318" priority="184" operator="containsText" text=" ">
      <formula>NOT(ISERROR(SEARCH(" ",O5)))</formula>
    </cfRule>
  </conditionalFormatting>
  <conditionalFormatting sqref="P10:T10 Q5:T9 Q11:R11 P12:R12 T11:T12">
    <cfRule type="containsText" dxfId="317" priority="153" operator="containsText" text=" ">
      <formula>NOT(ISERROR(SEARCH(" ",P5)))</formula>
    </cfRule>
  </conditionalFormatting>
  <conditionalFormatting sqref="P6 W19:Z19 V27:V43 W20:AA30 V21:V24 W13:X16 V44:AE1048576 AC26:AE43 AB18:AB30">
    <cfRule type="containsText" dxfId="316" priority="121" operator="containsText" text=" ">
      <formula>NOT(ISERROR(SEARCH(" ",P6)))</formula>
    </cfRule>
  </conditionalFormatting>
  <conditionalFormatting sqref="H12 I29:I33 J9:K12 AG7:AI7 AO7:XFD7 J21:K28 H21:H33 H39:I43">
    <cfRule type="containsText" dxfId="315" priority="183" operator="containsText" text=" ">
      <formula>NOT(ISERROR(SEARCH(" ",H7)))</formula>
    </cfRule>
  </conditionalFormatting>
  <conditionalFormatting sqref="AG8:AI8 AO8:XFD8">
    <cfRule type="containsText" dxfId="314" priority="182" operator="containsText" text=" ">
      <formula>NOT(ISERROR(SEARCH(" ",AG8)))</formula>
    </cfRule>
  </conditionalFormatting>
  <conditionalFormatting sqref="AG9:AI9 AO9:XFD9">
    <cfRule type="containsText" dxfId="313" priority="181" operator="containsText" text=" ">
      <formula>NOT(ISERROR(SEARCH(" ",AG9)))</formula>
    </cfRule>
  </conditionalFormatting>
  <conditionalFormatting sqref="AG10:AI10 AO10:XFD10">
    <cfRule type="containsText" dxfId="312" priority="180" operator="containsText" text=" ">
      <formula>NOT(ISERROR(SEARCH(" ",AG10)))</formula>
    </cfRule>
  </conditionalFormatting>
  <conditionalFormatting sqref="AG11:AI11 AO11:XFD11">
    <cfRule type="containsText" dxfId="311" priority="179" operator="containsText" text=" ">
      <formula>NOT(ISERROR(SEARCH(" ",AG11)))</formula>
    </cfRule>
  </conditionalFormatting>
  <conditionalFormatting sqref="E13:F20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:K15 J16:K16 I16:I20 O20 O13:O14 H16:H19 E13:F20">
    <cfRule type="containsText" dxfId="310" priority="67" operator="containsText" text=" ">
      <formula>NOT(ISERROR(SEARCH(" ",E13)))</formula>
    </cfRule>
  </conditionalFormatting>
  <conditionalFormatting sqref="L13:N20">
    <cfRule type="containsText" dxfId="309" priority="62" operator="containsText" text=" ">
      <formula>NOT(ISERROR(SEARCH(" ",L13)))</formula>
    </cfRule>
  </conditionalFormatting>
  <conditionalFormatting sqref="P18:T18 Q13:T17 Q19:R19 P20:R20 T19:T20">
    <cfRule type="containsText" dxfId="308" priority="61" operator="containsText" text=" ">
      <formula>NOT(ISERROR(SEARCH(" ",P13)))</formula>
    </cfRule>
  </conditionalFormatting>
  <conditionalFormatting sqref="H20 J17:K20">
    <cfRule type="containsText" dxfId="307" priority="65" operator="containsText" text=" ">
      <formula>NOT(ISERROR(SEARCH(" ",H17)))</formula>
    </cfRule>
  </conditionalFormatting>
  <conditionalFormatting sqref="L21:M28">
    <cfRule type="containsText" dxfId="306" priority="20" operator="containsText" text=" ">
      <formula>NOT(ISERROR(SEARCH(" ",L21)))</formula>
    </cfRule>
  </conditionalFormatting>
  <conditionalFormatting sqref="Q21:R22 T21:T33 Q29:R33">
    <cfRule type="containsText" dxfId="305" priority="141" operator="containsText" text=" ">
      <formula>NOT(ISERROR(SEARCH(" ",Q21)))</formula>
    </cfRule>
  </conditionalFormatting>
  <conditionalFormatting sqref="Q23:R24">
    <cfRule type="containsText" dxfId="304" priority="87" operator="containsText" text=" ">
      <formula>NOT(ISERROR(SEARCH(" ",Q23)))</formula>
    </cfRule>
  </conditionalFormatting>
  <conditionalFormatting sqref="Q25:R28">
    <cfRule type="containsText" dxfId="303" priority="94" operator="containsText" text=" ">
      <formula>NOT(ISERROR(SEARCH(" ",Q25)))</formula>
    </cfRule>
  </conditionalFormatting>
  <conditionalFormatting sqref="P26 P28">
    <cfRule type="containsText" dxfId="302" priority="31" operator="containsText" text=" ">
      <formula>NOT(ISERROR(SEARCH(" ",P26)))</formula>
    </cfRule>
  </conditionalFormatting>
  <conditionalFormatting sqref="S29:S30 S33">
    <cfRule type="containsText" dxfId="301" priority="117" operator="containsText" text=" ">
      <formula>NOT(ISERROR(SEARCH(" ",S29)))</formula>
    </cfRule>
  </conditionalFormatting>
  <conditionalFormatting sqref="N34:O38 J34:L38 B34:B38 E34:F38">
    <cfRule type="containsText" dxfId="300" priority="50" operator="containsText" text=" ">
      <formula>NOT(ISERROR(SEARCH(" ",B34)))</formula>
    </cfRule>
  </conditionalFormatting>
  <conditionalFormatting sqref="E34:F38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4:I38">
    <cfRule type="containsText" dxfId="299" priority="49" operator="containsText" text=" ">
      <formula>NOT(ISERROR(SEARCH(" ",H34)))</formula>
    </cfRule>
  </conditionalFormatting>
  <conditionalFormatting sqref="T34:T38 Q34:R38">
    <cfRule type="containsText" dxfId="298" priority="45" operator="containsText" text=" ">
      <formula>NOT(ISERROR(SEARCH(" ",Q34)))</formula>
    </cfRule>
  </conditionalFormatting>
  <conditionalFormatting sqref="S34:S35 S38">
    <cfRule type="containsText" dxfId="297" priority="44" operator="containsText" text=" ">
      <formula>NOT(ISERROR(SEARCH(" ",S34)))</formula>
    </cfRule>
  </conditionalFormatting>
  <conditionalFormatting sqref="Q39:R43 T39:T43">
    <cfRule type="containsText" dxfId="296" priority="113" operator="containsText" text=" ">
      <formula>NOT(ISERROR(SEARCH(" ",Q39)))</formula>
    </cfRule>
  </conditionalFormatting>
  <conditionalFormatting sqref="S39:S40 S43">
    <cfRule type="containsText" dxfId="295" priority="14" operator="containsText" text=" ">
      <formula>NOT(ISERROR(SEARCH(" ",S39)))</formula>
    </cfRule>
  </conditionalFormatting>
  <conditionalFormatting sqref="P44:T55">
    <cfRule type="containsText" dxfId="294" priority="163" operator="containsText" text=" ">
      <formula>NOT(ISERROR(SEARCH(" ",P44)))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workbookViewId="0">
      <selection activeCell="E13" sqref="E13"/>
    </sheetView>
  </sheetViews>
  <sheetFormatPr defaultColWidth="9" defaultRowHeight="15.6" x14ac:dyDescent="0.25"/>
  <cols>
    <col min="1" max="1" width="9.88671875" style="1" customWidth="1"/>
    <col min="2" max="2" width="15.21875" style="1" customWidth="1"/>
    <col min="3" max="3" width="31.44140625" style="1" customWidth="1"/>
    <col min="4" max="4" width="15.109375" style="1" customWidth="1"/>
    <col min="5" max="5" width="28.6640625" style="1" customWidth="1"/>
    <col min="6" max="9" width="9" style="1"/>
    <col min="10" max="10" width="10.44140625" style="1" customWidth="1"/>
    <col min="11" max="13" width="9" style="1"/>
    <col min="14" max="14" width="9.77734375" style="1" customWidth="1"/>
    <col min="15" max="17" width="9" style="1"/>
    <col min="18" max="18" width="11.6640625" style="1" customWidth="1"/>
    <col min="19" max="16384" width="9" style="1"/>
  </cols>
  <sheetData>
    <row r="1" spans="1:22" x14ac:dyDescent="0.35">
      <c r="A1" s="2" t="s">
        <v>0</v>
      </c>
      <c r="B1" s="2" t="s">
        <v>0</v>
      </c>
      <c r="C1" s="30" t="s">
        <v>0</v>
      </c>
      <c r="D1" s="99" t="s">
        <v>0</v>
      </c>
      <c r="E1" s="99" t="s">
        <v>0</v>
      </c>
    </row>
    <row r="2" spans="1:22" x14ac:dyDescent="0.35">
      <c r="A2" s="2" t="s">
        <v>11</v>
      </c>
      <c r="B2" s="2" t="s">
        <v>11</v>
      </c>
      <c r="C2" s="30" t="s">
        <v>14</v>
      </c>
      <c r="D2" s="99" t="s">
        <v>14</v>
      </c>
      <c r="E2" s="99" t="s">
        <v>14</v>
      </c>
      <c r="G2" s="65"/>
      <c r="J2" s="1" t="s">
        <v>1807</v>
      </c>
      <c r="O2" s="1" t="str">
        <f>RIGHT(D5,LEN(LEFT(D5,2)))</f>
        <v/>
      </c>
    </row>
    <row r="3" spans="1:22" x14ac:dyDescent="0.35">
      <c r="A3" s="2" t="s">
        <v>1808</v>
      </c>
      <c r="B3" s="2" t="s">
        <v>1809</v>
      </c>
      <c r="C3" s="30" t="s">
        <v>1810</v>
      </c>
      <c r="D3" s="99" t="s">
        <v>1811</v>
      </c>
      <c r="E3" s="99" t="s">
        <v>1812</v>
      </c>
      <c r="G3" s="69"/>
    </row>
    <row r="4" spans="1:22" s="69" customFormat="1" ht="92.4" x14ac:dyDescent="0.25">
      <c r="A4" s="60" t="s">
        <v>1813</v>
      </c>
      <c r="B4" s="60" t="s">
        <v>1814</v>
      </c>
      <c r="C4" s="4" t="s">
        <v>1698</v>
      </c>
      <c r="D4" s="100" t="s">
        <v>1815</v>
      </c>
      <c r="E4" s="100" t="s">
        <v>1816</v>
      </c>
      <c r="G4" s="101" t="s">
        <v>1817</v>
      </c>
      <c r="I4" s="69" t="s">
        <v>1818</v>
      </c>
      <c r="J4" s="36" t="s">
        <v>1638</v>
      </c>
      <c r="K4" s="37" t="s">
        <v>1134</v>
      </c>
      <c r="L4" s="37" t="s">
        <v>1135</v>
      </c>
      <c r="M4" s="38" t="s">
        <v>99</v>
      </c>
      <c r="N4" s="104" t="s">
        <v>1819</v>
      </c>
      <c r="O4" s="105" t="s">
        <v>1647</v>
      </c>
      <c r="P4" s="69">
        <f>10+20+30+40+50</f>
        <v>150</v>
      </c>
      <c r="R4" s="22">
        <f>'抽奖|MoonBless'!DN4</f>
        <v>0</v>
      </c>
      <c r="S4" s="108" t="str">
        <f>'抽奖|MoonBless'!DO4</f>
        <v>人民币价值</v>
      </c>
      <c r="T4" s="109" t="str">
        <f>'抽奖|MoonBless'!DP4</f>
        <v>价值
钻石价值</v>
      </c>
      <c r="U4" s="108" t="str">
        <f>'抽奖|MoonBless'!DQ4</f>
        <v>物品类型</v>
      </c>
      <c r="V4" s="110" t="str">
        <f>'抽奖|MoonBless'!DR4</f>
        <v>id</v>
      </c>
    </row>
    <row r="5" spans="1:22" x14ac:dyDescent="0.25">
      <c r="A5" s="1">
        <v>1</v>
      </c>
      <c r="B5" s="1">
        <v>1</v>
      </c>
      <c r="C5" s="1" t="str">
        <f t="shared" ref="C5:C18" si="0">K5&amp;"|"&amp;L5&amp;"|"&amp;M5</f>
        <v>1|2|20000</v>
      </c>
      <c r="E5" s="1" t="s">
        <v>1820</v>
      </c>
      <c r="G5" s="1">
        <f>IF(F5&gt;0,1,0)</f>
        <v>0</v>
      </c>
      <c r="I5" s="1">
        <v>1</v>
      </c>
      <c r="J5" s="40" t="s">
        <v>169</v>
      </c>
      <c r="K5" s="11">
        <f t="shared" ref="K5:K18" si="1">VLOOKUP(J5,R:V,4,0)</f>
        <v>1</v>
      </c>
      <c r="L5" s="11">
        <f t="shared" ref="L5:L18" si="2">VLOOKUP(J5,R:V,5,0)</f>
        <v>2</v>
      </c>
      <c r="M5" s="41">
        <v>20000</v>
      </c>
      <c r="N5" s="106">
        <f>M5*I5</f>
        <v>20000</v>
      </c>
      <c r="O5" s="19">
        <f t="shared" ref="O5:O18" si="3">VLOOKUP(J5,R:V,2,0)*M5</f>
        <v>0.1</v>
      </c>
      <c r="P5" s="1" t="s">
        <v>1821</v>
      </c>
      <c r="Q5" s="1">
        <f>SUMIF($J$5:$J$34,"金币",$M$5:$M$34)</f>
        <v>1440000</v>
      </c>
      <c r="R5" s="10" t="str">
        <f>'抽奖|MoonBless'!DN5</f>
        <v>人民币</v>
      </c>
      <c r="S5" s="11">
        <f>'抽奖|MoonBless'!DO5</f>
        <v>1</v>
      </c>
      <c r="T5" s="11">
        <f>'抽奖|MoonBless'!DP5</f>
        <v>10</v>
      </c>
      <c r="U5" s="11">
        <f>'抽奖|MoonBless'!DQ5</f>
        <v>1</v>
      </c>
      <c r="V5" s="19">
        <f>'抽奖|MoonBless'!DR5</f>
        <v>0</v>
      </c>
    </row>
    <row r="6" spans="1:22" x14ac:dyDescent="0.25">
      <c r="A6" s="1">
        <v>2</v>
      </c>
      <c r="B6" s="1">
        <v>1</v>
      </c>
      <c r="C6" s="1" t="str">
        <f t="shared" si="0"/>
        <v>1|2|50000</v>
      </c>
      <c r="D6" s="1" t="s">
        <v>1822</v>
      </c>
      <c r="E6" s="1" t="s">
        <v>1820</v>
      </c>
      <c r="G6" s="1">
        <v>0</v>
      </c>
      <c r="I6" s="1">
        <f t="shared" ref="I6:I11" si="4">(LEFT(D6,1)+RIGHT(D6,LEN(D6)-LEN(LEFT(D6,2))))/2</f>
        <v>6</v>
      </c>
      <c r="J6" s="40" t="s">
        <v>169</v>
      </c>
      <c r="K6" s="11">
        <f t="shared" si="1"/>
        <v>1</v>
      </c>
      <c r="L6" s="11">
        <f t="shared" si="2"/>
        <v>2</v>
      </c>
      <c r="M6" s="41">
        <v>50000</v>
      </c>
      <c r="N6" s="106">
        <f t="shared" ref="N6:N11" si="5">M6*I6</f>
        <v>300000</v>
      </c>
      <c r="O6" s="19">
        <f t="shared" si="3"/>
        <v>0.25</v>
      </c>
      <c r="P6" s="1" t="s">
        <v>1823</v>
      </c>
      <c r="Q6" s="1">
        <f>SUMIF($J$5:$J$34,"钻石",$M$5:$M$34)</f>
        <v>0</v>
      </c>
      <c r="R6" s="10" t="str">
        <f>'抽奖|MoonBless'!DN6</f>
        <v>钻石</v>
      </c>
      <c r="S6" s="11">
        <f>'抽奖|MoonBless'!DO6</f>
        <v>0.1</v>
      </c>
      <c r="T6" s="11">
        <f>'抽奖|MoonBless'!DP6</f>
        <v>1</v>
      </c>
      <c r="U6" s="11">
        <f>'抽奖|MoonBless'!DQ6</f>
        <v>1</v>
      </c>
      <c r="V6" s="19">
        <f>'抽奖|MoonBless'!DR6</f>
        <v>1</v>
      </c>
    </row>
    <row r="7" spans="1:22" x14ac:dyDescent="0.25">
      <c r="A7" s="1">
        <v>3</v>
      </c>
      <c r="B7" s="1">
        <v>1</v>
      </c>
      <c r="C7" s="1" t="str">
        <f t="shared" si="0"/>
        <v>1|2|80000</v>
      </c>
      <c r="D7" s="1" t="s">
        <v>1824</v>
      </c>
      <c r="E7" s="1" t="s">
        <v>1820</v>
      </c>
      <c r="G7" s="1">
        <v>1</v>
      </c>
      <c r="I7" s="1">
        <f t="shared" si="4"/>
        <v>5</v>
      </c>
      <c r="J7" s="40" t="s">
        <v>169</v>
      </c>
      <c r="K7" s="11">
        <f t="shared" si="1"/>
        <v>1</v>
      </c>
      <c r="L7" s="11">
        <f t="shared" si="2"/>
        <v>2</v>
      </c>
      <c r="M7" s="41">
        <v>80000</v>
      </c>
      <c r="N7" s="106">
        <f t="shared" si="5"/>
        <v>400000</v>
      </c>
      <c r="O7" s="19">
        <f t="shared" si="3"/>
        <v>0.4</v>
      </c>
      <c r="P7" s="1" t="s">
        <v>1825</v>
      </c>
      <c r="Q7" s="1">
        <f>SUMIF($J$5:$J$34,"锁定",$M$5:$M$34)</f>
        <v>0</v>
      </c>
      <c r="R7" s="10" t="str">
        <f>'抽奖|MoonBless'!DN7</f>
        <v>金币</v>
      </c>
      <c r="S7" s="11">
        <f>'抽奖|MoonBless'!DO7</f>
        <v>5.0000000000000004E-6</v>
      </c>
      <c r="T7" s="11">
        <f>'抽奖|MoonBless'!DP7</f>
        <v>5.0000000000000002E-5</v>
      </c>
      <c r="U7" s="11">
        <f>'抽奖|MoonBless'!DQ7</f>
        <v>1</v>
      </c>
      <c r="V7" s="19">
        <f>'抽奖|MoonBless'!DR7</f>
        <v>2</v>
      </c>
    </row>
    <row r="8" spans="1:22" x14ac:dyDescent="0.25">
      <c r="A8" s="1">
        <v>4</v>
      </c>
      <c r="B8" s="1">
        <v>1</v>
      </c>
      <c r="C8" s="1" t="str">
        <f t="shared" si="0"/>
        <v>1|2|100000</v>
      </c>
      <c r="D8" s="1" t="s">
        <v>1826</v>
      </c>
      <c r="E8" s="1" t="s">
        <v>1820</v>
      </c>
      <c r="G8" s="1">
        <v>0</v>
      </c>
      <c r="I8" s="1">
        <f t="shared" si="4"/>
        <v>4.5</v>
      </c>
      <c r="J8" s="40" t="s">
        <v>169</v>
      </c>
      <c r="K8" s="11">
        <f t="shared" si="1"/>
        <v>1</v>
      </c>
      <c r="L8" s="11">
        <f t="shared" si="2"/>
        <v>2</v>
      </c>
      <c r="M8" s="41">
        <v>100000</v>
      </c>
      <c r="N8" s="106">
        <f t="shared" si="5"/>
        <v>450000</v>
      </c>
      <c r="O8" s="19">
        <f t="shared" si="3"/>
        <v>0.5</v>
      </c>
      <c r="P8" s="1" t="s">
        <v>1827</v>
      </c>
      <c r="Q8" s="1">
        <f>SUMIF($J$5:$J$34,"狂暴",$M$5:$M$34)</f>
        <v>0</v>
      </c>
      <c r="R8" s="10" t="str">
        <f>'抽奖|MoonBless'!DN8</f>
        <v>锁定</v>
      </c>
      <c r="S8" s="11">
        <f>'抽奖|MoonBless'!DO8</f>
        <v>0.2</v>
      </c>
      <c r="T8" s="11">
        <f>'抽奖|MoonBless'!DP8</f>
        <v>2</v>
      </c>
      <c r="U8" s="11">
        <f>'抽奖|MoonBless'!DQ8</f>
        <v>2</v>
      </c>
      <c r="V8" s="19">
        <f>'抽奖|MoonBless'!DR8</f>
        <v>1001</v>
      </c>
    </row>
    <row r="9" spans="1:22" x14ac:dyDescent="0.25">
      <c r="A9" s="1">
        <v>5</v>
      </c>
      <c r="B9" s="1">
        <v>1</v>
      </c>
      <c r="C9" s="1" t="str">
        <f t="shared" si="0"/>
        <v>1|2|120000</v>
      </c>
      <c r="D9" s="1" t="s">
        <v>1828</v>
      </c>
      <c r="E9" s="1" t="s">
        <v>1820</v>
      </c>
      <c r="G9" s="1">
        <v>0</v>
      </c>
      <c r="I9" s="1">
        <f t="shared" si="4"/>
        <v>4</v>
      </c>
      <c r="J9" s="40" t="s">
        <v>169</v>
      </c>
      <c r="K9" s="11">
        <f t="shared" si="1"/>
        <v>1</v>
      </c>
      <c r="L9" s="11">
        <f t="shared" si="2"/>
        <v>2</v>
      </c>
      <c r="M9" s="41">
        <v>120000</v>
      </c>
      <c r="N9" s="106">
        <f t="shared" si="5"/>
        <v>480000</v>
      </c>
      <c r="O9" s="19">
        <f t="shared" si="3"/>
        <v>0.60000000000000009</v>
      </c>
      <c r="R9" s="10" t="str">
        <f>'抽奖|MoonBless'!DN9</f>
        <v>冰冻</v>
      </c>
      <c r="S9" s="11">
        <f>'抽奖|MoonBless'!DO9</f>
        <v>0.5</v>
      </c>
      <c r="T9" s="11">
        <f>'抽奖|MoonBless'!DP9</f>
        <v>5</v>
      </c>
      <c r="U9" s="11">
        <f>'抽奖|MoonBless'!DQ9</f>
        <v>2</v>
      </c>
      <c r="V9" s="19">
        <f>'抽奖|MoonBless'!DR9</f>
        <v>1002</v>
      </c>
    </row>
    <row r="10" spans="1:22" ht="16.2" x14ac:dyDescent="0.25">
      <c r="A10" s="102">
        <v>6</v>
      </c>
      <c r="B10" s="1">
        <v>1</v>
      </c>
      <c r="C10" s="1" t="str">
        <f t="shared" si="0"/>
        <v>1|2|150000</v>
      </c>
      <c r="D10" s="1" t="s">
        <v>1828</v>
      </c>
      <c r="E10" s="1" t="s">
        <v>1820</v>
      </c>
      <c r="G10" s="1">
        <v>0</v>
      </c>
      <c r="I10" s="1">
        <f t="shared" si="4"/>
        <v>4</v>
      </c>
      <c r="J10" s="40" t="s">
        <v>169</v>
      </c>
      <c r="K10" s="11">
        <f t="shared" si="1"/>
        <v>1</v>
      </c>
      <c r="L10" s="11">
        <f t="shared" si="2"/>
        <v>2</v>
      </c>
      <c r="M10" s="41">
        <v>150000</v>
      </c>
      <c r="N10" s="106">
        <f t="shared" si="5"/>
        <v>600000</v>
      </c>
      <c r="O10" s="19">
        <f t="shared" si="3"/>
        <v>0.75000000000000011</v>
      </c>
      <c r="R10" s="10" t="str">
        <f>'抽奖|MoonBless'!DN10</f>
        <v>狂暴</v>
      </c>
      <c r="S10" s="11">
        <f>'抽奖|MoonBless'!DO10</f>
        <v>1</v>
      </c>
      <c r="T10" s="11">
        <f>'抽奖|MoonBless'!DP10</f>
        <v>10</v>
      </c>
      <c r="U10" s="11">
        <f>'抽奖|MoonBless'!DQ10</f>
        <v>2</v>
      </c>
      <c r="V10" s="19">
        <f>'抽奖|MoonBless'!DR10</f>
        <v>1003</v>
      </c>
    </row>
    <row r="11" spans="1:22" x14ac:dyDescent="0.25">
      <c r="A11" s="1">
        <v>7</v>
      </c>
      <c r="B11" s="1">
        <v>1</v>
      </c>
      <c r="C11" s="1" t="str">
        <f t="shared" si="0"/>
        <v>1|2|200000</v>
      </c>
      <c r="D11" s="1" t="s">
        <v>920</v>
      </c>
      <c r="E11" s="1" t="s">
        <v>1820</v>
      </c>
      <c r="G11" s="1">
        <v>1</v>
      </c>
      <c r="I11" s="1">
        <f t="shared" si="4"/>
        <v>3.5</v>
      </c>
      <c r="J11" s="40" t="s">
        <v>169</v>
      </c>
      <c r="K11" s="11">
        <f t="shared" si="1"/>
        <v>1</v>
      </c>
      <c r="L11" s="11">
        <f t="shared" si="2"/>
        <v>2</v>
      </c>
      <c r="M11" s="41">
        <v>200000</v>
      </c>
      <c r="N11" s="106">
        <f t="shared" si="5"/>
        <v>700000</v>
      </c>
      <c r="O11" s="19">
        <f t="shared" si="3"/>
        <v>1</v>
      </c>
      <c r="R11" s="10" t="str">
        <f>'抽奖|MoonBless'!DN11</f>
        <v>召唤</v>
      </c>
      <c r="S11" s="11">
        <f>'抽奖|MoonBless'!DO11</f>
        <v>0.2</v>
      </c>
      <c r="T11" s="11">
        <f>'抽奖|MoonBless'!DP11</f>
        <v>2</v>
      </c>
      <c r="U11" s="11">
        <f>'抽奖|MoonBless'!DQ11</f>
        <v>2</v>
      </c>
      <c r="V11" s="19">
        <f>'抽奖|MoonBless'!DR11</f>
        <v>1004</v>
      </c>
    </row>
    <row r="12" spans="1:22" x14ac:dyDescent="0.25">
      <c r="A12" s="1">
        <v>8</v>
      </c>
      <c r="B12" s="1">
        <v>2</v>
      </c>
      <c r="C12" s="1" t="str">
        <f t="shared" si="0"/>
        <v>1|2|20000</v>
      </c>
      <c r="E12" s="1" t="s">
        <v>1820</v>
      </c>
      <c r="G12" s="1">
        <v>0</v>
      </c>
      <c r="J12" s="40" t="s">
        <v>169</v>
      </c>
      <c r="K12" s="11">
        <f t="shared" si="1"/>
        <v>1</v>
      </c>
      <c r="L12" s="11">
        <f t="shared" si="2"/>
        <v>2</v>
      </c>
      <c r="M12" s="41">
        <f>M5</f>
        <v>20000</v>
      </c>
      <c r="N12" s="106"/>
      <c r="O12" s="19">
        <f t="shared" si="3"/>
        <v>0.1</v>
      </c>
      <c r="R12" s="10" t="str">
        <f>'抽奖|MoonBless'!DN12</f>
        <v>福卡</v>
      </c>
      <c r="S12" s="11">
        <f>'抽奖|MoonBless'!DO12</f>
        <v>2.5000000000000001E-3</v>
      </c>
      <c r="T12" s="11">
        <f>'抽奖|MoonBless'!DP12</f>
        <v>2.5000000000000001E-2</v>
      </c>
      <c r="U12" s="11">
        <f>'抽奖|MoonBless'!DQ12</f>
        <v>2</v>
      </c>
      <c r="V12" s="19">
        <f>'抽奖|MoonBless'!DR12</f>
        <v>1204</v>
      </c>
    </row>
    <row r="13" spans="1:22" x14ac:dyDescent="0.25">
      <c r="A13" s="1">
        <v>9</v>
      </c>
      <c r="B13" s="1">
        <v>2</v>
      </c>
      <c r="C13" s="1" t="str">
        <f t="shared" si="0"/>
        <v>1|2|50000</v>
      </c>
      <c r="E13" s="1" t="s">
        <v>1820</v>
      </c>
      <c r="G13" s="1">
        <v>0</v>
      </c>
      <c r="J13" s="40" t="s">
        <v>169</v>
      </c>
      <c r="K13" s="11">
        <f t="shared" si="1"/>
        <v>1</v>
      </c>
      <c r="L13" s="11">
        <f t="shared" si="2"/>
        <v>2</v>
      </c>
      <c r="M13" s="41">
        <f t="shared" ref="M13:M18" si="6">M6</f>
        <v>50000</v>
      </c>
      <c r="N13" s="106"/>
      <c r="O13" s="19">
        <f t="shared" si="3"/>
        <v>0.25</v>
      </c>
      <c r="R13" s="10" t="str">
        <f>'抽奖|MoonBless'!DN13</f>
        <v>超级武器1</v>
      </c>
      <c r="S13" s="11">
        <f>'抽奖|MoonBless'!DO13</f>
        <v>5</v>
      </c>
      <c r="T13" s="11">
        <f>'抽奖|MoonBless'!DP13</f>
        <v>50</v>
      </c>
      <c r="U13" s="11">
        <f>'抽奖|MoonBless'!DQ13</f>
        <v>2</v>
      </c>
      <c r="V13" s="19">
        <f>'抽奖|MoonBless'!DR13</f>
        <v>1005</v>
      </c>
    </row>
    <row r="14" spans="1:22" x14ac:dyDescent="0.25">
      <c r="A14" s="1">
        <v>10</v>
      </c>
      <c r="B14" s="1">
        <v>2</v>
      </c>
      <c r="C14" s="1" t="str">
        <f t="shared" si="0"/>
        <v>1|2|80000</v>
      </c>
      <c r="E14" s="1" t="s">
        <v>1820</v>
      </c>
      <c r="G14" s="1">
        <v>0</v>
      </c>
      <c r="J14" s="40" t="s">
        <v>169</v>
      </c>
      <c r="K14" s="11">
        <f t="shared" si="1"/>
        <v>1</v>
      </c>
      <c r="L14" s="11">
        <f t="shared" si="2"/>
        <v>2</v>
      </c>
      <c r="M14" s="41">
        <f t="shared" si="6"/>
        <v>80000</v>
      </c>
      <c r="N14" s="106"/>
      <c r="O14" s="19">
        <f t="shared" si="3"/>
        <v>0.4</v>
      </c>
      <c r="R14" s="10" t="str">
        <f>'抽奖|MoonBless'!DN14</f>
        <v>超级武器2</v>
      </c>
      <c r="S14" s="11">
        <f>'抽奖|MoonBless'!DO14</f>
        <v>10</v>
      </c>
      <c r="T14" s="11">
        <f>'抽奖|MoonBless'!DP14</f>
        <v>100</v>
      </c>
      <c r="U14" s="11">
        <f>'抽奖|MoonBless'!DQ14</f>
        <v>2</v>
      </c>
      <c r="V14" s="19">
        <f>'抽奖|MoonBless'!DR14</f>
        <v>1006</v>
      </c>
    </row>
    <row r="15" spans="1:22" x14ac:dyDescent="0.25">
      <c r="A15" s="1">
        <v>11</v>
      </c>
      <c r="B15" s="1">
        <v>2</v>
      </c>
      <c r="C15" s="1" t="str">
        <f t="shared" si="0"/>
        <v>1|2|100000</v>
      </c>
      <c r="E15" s="1" t="s">
        <v>1820</v>
      </c>
      <c r="G15" s="1">
        <v>1</v>
      </c>
      <c r="J15" s="40" t="s">
        <v>169</v>
      </c>
      <c r="K15" s="11">
        <f t="shared" si="1"/>
        <v>1</v>
      </c>
      <c r="L15" s="11">
        <f t="shared" si="2"/>
        <v>2</v>
      </c>
      <c r="M15" s="41">
        <f t="shared" si="6"/>
        <v>100000</v>
      </c>
      <c r="N15" s="106"/>
      <c r="O15" s="19">
        <f t="shared" si="3"/>
        <v>0.5</v>
      </c>
      <c r="R15" s="10" t="str">
        <f>'抽奖|MoonBless'!DN15</f>
        <v>超级武器3</v>
      </c>
      <c r="S15" s="11">
        <f>'抽奖|MoonBless'!DO15</f>
        <v>25</v>
      </c>
      <c r="T15" s="11">
        <f>'抽奖|MoonBless'!DP15</f>
        <v>250</v>
      </c>
      <c r="U15" s="11">
        <f>'抽奖|MoonBless'!DQ15</f>
        <v>2</v>
      </c>
      <c r="V15" s="19">
        <f>'抽奖|MoonBless'!DR15</f>
        <v>1007</v>
      </c>
    </row>
    <row r="16" spans="1:22" ht="16.2" x14ac:dyDescent="0.25">
      <c r="A16" s="102">
        <v>12</v>
      </c>
      <c r="B16" s="1">
        <v>2</v>
      </c>
      <c r="C16" s="1" t="str">
        <f t="shared" si="0"/>
        <v>1|2|120000</v>
      </c>
      <c r="E16" s="1" t="s">
        <v>1820</v>
      </c>
      <c r="G16" s="1">
        <v>0</v>
      </c>
      <c r="J16" s="40" t="s">
        <v>169</v>
      </c>
      <c r="K16" s="11">
        <f t="shared" si="1"/>
        <v>1</v>
      </c>
      <c r="L16" s="11">
        <f t="shared" si="2"/>
        <v>2</v>
      </c>
      <c r="M16" s="41">
        <f t="shared" si="6"/>
        <v>120000</v>
      </c>
      <c r="N16" s="106"/>
      <c r="O16" s="19">
        <f t="shared" si="3"/>
        <v>0.60000000000000009</v>
      </c>
      <c r="R16" s="10" t="str">
        <f>'抽奖|MoonBless'!DN16</f>
        <v>超级武器4</v>
      </c>
      <c r="S16" s="11">
        <f>'抽奖|MoonBless'!DO16</f>
        <v>50</v>
      </c>
      <c r="T16" s="11">
        <f>'抽奖|MoonBless'!DP16</f>
        <v>500</v>
      </c>
      <c r="U16" s="11">
        <f>'抽奖|MoonBless'!DQ16</f>
        <v>2</v>
      </c>
      <c r="V16" s="19">
        <f>'抽奖|MoonBless'!DR16</f>
        <v>1008</v>
      </c>
    </row>
    <row r="17" spans="1:22" x14ac:dyDescent="0.25">
      <c r="A17" s="1">
        <v>13</v>
      </c>
      <c r="B17" s="1">
        <v>2</v>
      </c>
      <c r="C17" s="1" t="str">
        <f t="shared" si="0"/>
        <v>1|2|150000</v>
      </c>
      <c r="E17" s="1" t="s">
        <v>1820</v>
      </c>
      <c r="G17" s="1">
        <v>0</v>
      </c>
      <c r="J17" s="40" t="s">
        <v>169</v>
      </c>
      <c r="K17" s="11">
        <f t="shared" si="1"/>
        <v>1</v>
      </c>
      <c r="L17" s="11">
        <f t="shared" si="2"/>
        <v>2</v>
      </c>
      <c r="M17" s="41">
        <f t="shared" si="6"/>
        <v>150000</v>
      </c>
      <c r="N17" s="106"/>
      <c r="O17" s="19">
        <f t="shared" si="3"/>
        <v>0.75000000000000011</v>
      </c>
      <c r="R17" s="10" t="str">
        <f>'抽奖|MoonBless'!DN17</f>
        <v>5元话费卡</v>
      </c>
      <c r="S17" s="11">
        <f>'抽奖|MoonBless'!DO17</f>
        <v>5</v>
      </c>
      <c r="T17" s="11">
        <f>'抽奖|MoonBless'!DP17</f>
        <v>50</v>
      </c>
      <c r="U17" s="11">
        <f>'抽奖|MoonBless'!DQ17</f>
        <v>2</v>
      </c>
      <c r="V17" s="19">
        <f>'抽奖|MoonBless'!DR17</f>
        <v>1206</v>
      </c>
    </row>
    <row r="18" spans="1:22" x14ac:dyDescent="0.25">
      <c r="A18" s="1">
        <v>14</v>
      </c>
      <c r="B18" s="1">
        <v>2</v>
      </c>
      <c r="C18" s="1" t="str">
        <f t="shared" si="0"/>
        <v>1|2|200000</v>
      </c>
      <c r="E18" s="1" t="s">
        <v>1820</v>
      </c>
      <c r="G18" s="1">
        <v>0</v>
      </c>
      <c r="J18" s="40" t="s">
        <v>169</v>
      </c>
      <c r="K18" s="11">
        <f t="shared" si="1"/>
        <v>1</v>
      </c>
      <c r="L18" s="11">
        <f t="shared" si="2"/>
        <v>2</v>
      </c>
      <c r="M18" s="41">
        <f t="shared" si="6"/>
        <v>200000</v>
      </c>
      <c r="N18" s="106"/>
      <c r="O18" s="19">
        <f t="shared" si="3"/>
        <v>1</v>
      </c>
      <c r="R18" s="10" t="str">
        <f>'抽奖|MoonBless'!DN18</f>
        <v>2元话费卡</v>
      </c>
      <c r="S18" s="11">
        <f>'抽奖|MoonBless'!DO18</f>
        <v>2</v>
      </c>
      <c r="T18" s="11">
        <f>'抽奖|MoonBless'!DP18</f>
        <v>20</v>
      </c>
      <c r="U18" s="11">
        <f>'抽奖|MoonBless'!DQ18</f>
        <v>2</v>
      </c>
      <c r="V18" s="19">
        <f>'抽奖|MoonBless'!DR18</f>
        <v>1205</v>
      </c>
    </row>
    <row r="19" spans="1:22" ht="16.2" x14ac:dyDescent="0.25">
      <c r="J19" s="43"/>
      <c r="K19" s="11"/>
      <c r="L19" s="11"/>
      <c r="M19" s="41"/>
      <c r="N19" s="106"/>
      <c r="O19" s="19"/>
      <c r="R19" s="13" t="str">
        <f>'抽奖|MoonBless'!DN19</f>
        <v>高压锅</v>
      </c>
      <c r="S19" s="14">
        <f>'抽奖|MoonBless'!DO19</f>
        <v>200</v>
      </c>
      <c r="T19" s="14">
        <f>'抽奖|MoonBless'!DP19</f>
        <v>2000</v>
      </c>
      <c r="U19" s="14">
        <f>'抽奖|MoonBless'!DQ19</f>
        <v>2</v>
      </c>
      <c r="V19" s="21">
        <f>'抽奖|MoonBless'!DR19</f>
        <v>1208</v>
      </c>
    </row>
    <row r="20" spans="1:22" x14ac:dyDescent="0.25">
      <c r="J20" s="40"/>
      <c r="K20" s="11"/>
      <c r="L20" s="11"/>
      <c r="M20" s="41"/>
      <c r="N20" s="106"/>
      <c r="O20" s="19"/>
      <c r="R20" s="1" t="str">
        <f>'抽奖|MoonBless'!DN20</f>
        <v>30元话费卡</v>
      </c>
      <c r="S20" s="1">
        <f>'抽奖|MoonBless'!DO20</f>
        <v>30</v>
      </c>
      <c r="T20" s="1">
        <f>'抽奖|MoonBless'!DP20</f>
        <v>300</v>
      </c>
      <c r="U20" s="1">
        <f>'抽奖|MoonBless'!DQ20</f>
        <v>2</v>
      </c>
      <c r="V20" s="1">
        <f>'抽奖|MoonBless'!DR20</f>
        <v>1209</v>
      </c>
    </row>
    <row r="21" spans="1:22" x14ac:dyDescent="0.25">
      <c r="J21" s="40"/>
      <c r="K21" s="11"/>
      <c r="L21" s="11"/>
      <c r="M21" s="41"/>
      <c r="N21" s="106"/>
      <c r="O21" s="19"/>
      <c r="R21" s="1" t="str">
        <f>'抽奖|MoonBless'!DN21</f>
        <v>50元话费卡</v>
      </c>
      <c r="S21" s="1">
        <f>'抽奖|MoonBless'!DO21</f>
        <v>50</v>
      </c>
      <c r="T21" s="1">
        <f>'抽奖|MoonBless'!DP21</f>
        <v>500</v>
      </c>
      <c r="U21" s="1">
        <f>'抽奖|MoonBless'!DQ21</f>
        <v>2</v>
      </c>
      <c r="V21" s="1">
        <f>'抽奖|MoonBless'!DR21</f>
        <v>1210</v>
      </c>
    </row>
    <row r="22" spans="1:22" ht="16.2" x14ac:dyDescent="0.25">
      <c r="A22" s="102"/>
      <c r="J22" s="43"/>
      <c r="K22" s="11"/>
      <c r="L22" s="11"/>
      <c r="M22" s="41"/>
      <c r="N22" s="106"/>
      <c r="O22" s="19"/>
      <c r="R22" s="1" t="str">
        <f>'抽奖|MoonBless'!DN22</f>
        <v>活跃度</v>
      </c>
      <c r="S22" s="1">
        <f>'抽奖|MoonBless'!DO22</f>
        <v>1</v>
      </c>
      <c r="T22" s="1">
        <f>'抽奖|MoonBless'!DP22</f>
        <v>10</v>
      </c>
      <c r="U22" s="1">
        <f>'抽奖|MoonBless'!DQ22</f>
        <v>1</v>
      </c>
      <c r="V22" s="1">
        <f>'抽奖|MoonBless'!DR22</f>
        <v>6</v>
      </c>
    </row>
    <row r="23" spans="1:22" x14ac:dyDescent="0.25">
      <c r="J23" s="40"/>
      <c r="K23" s="11"/>
      <c r="L23" s="11"/>
      <c r="M23" s="41"/>
      <c r="N23" s="106"/>
      <c r="O23" s="19"/>
      <c r="R23" s="1" t="str">
        <f>'抽奖|MoonBless'!DN23</f>
        <v>红包【恭】</v>
      </c>
      <c r="S23" s="1">
        <f>'抽奖|MoonBless'!DO23</f>
        <v>1</v>
      </c>
      <c r="T23" s="1">
        <f>'抽奖|MoonBless'!DP23</f>
        <v>10</v>
      </c>
      <c r="U23" s="1">
        <f>'抽奖|MoonBless'!DQ23</f>
        <v>2</v>
      </c>
      <c r="V23" s="1">
        <f>'抽奖|MoonBless'!DR23</f>
        <v>1301</v>
      </c>
    </row>
    <row r="24" spans="1:22" x14ac:dyDescent="0.25">
      <c r="J24" s="40"/>
      <c r="K24" s="11"/>
      <c r="L24" s="11"/>
      <c r="M24" s="41"/>
      <c r="N24" s="106"/>
      <c r="O24" s="19"/>
      <c r="R24" s="1" t="str">
        <f>'抽奖|MoonBless'!DN24</f>
        <v>红包【喜】</v>
      </c>
      <c r="S24" s="1">
        <f>'抽奖|MoonBless'!DO24</f>
        <v>1</v>
      </c>
      <c r="T24" s="1">
        <f>'抽奖|MoonBless'!DP24</f>
        <v>10</v>
      </c>
      <c r="U24" s="1">
        <f>'抽奖|MoonBless'!DQ24</f>
        <v>2</v>
      </c>
      <c r="V24" s="1">
        <f>'抽奖|MoonBless'!DR24</f>
        <v>1302</v>
      </c>
    </row>
    <row r="25" spans="1:22" ht="16.2" x14ac:dyDescent="0.25">
      <c r="J25" s="43"/>
      <c r="K25" s="11"/>
      <c r="L25" s="11"/>
      <c r="M25" s="41"/>
      <c r="N25" s="106"/>
      <c r="O25" s="19"/>
      <c r="R25" s="1" t="str">
        <f>'抽奖|MoonBless'!DN25</f>
        <v>红包【发】</v>
      </c>
      <c r="S25" s="1">
        <f>'抽奖|MoonBless'!DO25</f>
        <v>1</v>
      </c>
      <c r="T25" s="1">
        <f>'抽奖|MoonBless'!DP25</f>
        <v>10</v>
      </c>
      <c r="U25" s="1">
        <f>'抽奖|MoonBless'!DQ25</f>
        <v>2</v>
      </c>
      <c r="V25" s="1">
        <f>'抽奖|MoonBless'!DR25</f>
        <v>1303</v>
      </c>
    </row>
    <row r="26" spans="1:22" x14ac:dyDescent="0.25">
      <c r="J26" s="40"/>
      <c r="K26" s="11"/>
      <c r="L26" s="11"/>
      <c r="M26" s="41"/>
      <c r="N26" s="106"/>
      <c r="O26" s="19"/>
      <c r="R26" s="1" t="str">
        <f>'抽奖|MoonBless'!DN26</f>
        <v>红包【财】</v>
      </c>
      <c r="S26" s="1">
        <f>'抽奖|MoonBless'!DO26</f>
        <v>1</v>
      </c>
      <c r="T26" s="1">
        <f>'抽奖|MoonBless'!DP26</f>
        <v>10</v>
      </c>
      <c r="U26" s="1">
        <f>'抽奖|MoonBless'!DQ26</f>
        <v>2</v>
      </c>
      <c r="V26" s="1">
        <f>'抽奖|MoonBless'!DR26</f>
        <v>1304</v>
      </c>
    </row>
    <row r="27" spans="1:22" x14ac:dyDescent="0.25">
      <c r="J27" s="40"/>
      <c r="K27" s="11"/>
      <c r="L27" s="11"/>
      <c r="M27" s="41"/>
      <c r="N27" s="106"/>
      <c r="O27" s="19"/>
      <c r="R27" s="1" t="str">
        <f>'抽奖|MoonBless'!DN27</f>
        <v>双轮</v>
      </c>
      <c r="S27" s="1">
        <f>'抽奖|MoonBless'!DO27</f>
        <v>100</v>
      </c>
      <c r="T27" s="1">
        <f>'抽奖|MoonBless'!DP27</f>
        <v>1000</v>
      </c>
      <c r="U27" s="1">
        <f>'抽奖|MoonBless'!DQ27</f>
        <v>2</v>
      </c>
      <c r="V27" s="1">
        <f>'抽奖|MoonBless'!DR27</f>
        <v>1500</v>
      </c>
    </row>
    <row r="28" spans="1:22" ht="16.2" x14ac:dyDescent="0.25">
      <c r="A28" s="102"/>
      <c r="J28" s="43"/>
      <c r="K28" s="11"/>
      <c r="L28" s="11"/>
      <c r="M28" s="41"/>
      <c r="N28" s="106"/>
      <c r="O28" s="19"/>
    </row>
    <row r="29" spans="1:22" x14ac:dyDescent="0.25">
      <c r="J29" s="40"/>
      <c r="K29" s="11"/>
      <c r="L29" s="11"/>
      <c r="M29" s="41"/>
      <c r="N29" s="106"/>
      <c r="O29" s="19"/>
    </row>
    <row r="30" spans="1:22" x14ac:dyDescent="0.25">
      <c r="J30" s="40"/>
      <c r="K30" s="11"/>
      <c r="L30" s="11"/>
      <c r="M30" s="41"/>
      <c r="N30" s="106"/>
      <c r="O30" s="19"/>
    </row>
    <row r="31" spans="1:22" x14ac:dyDescent="0.25">
      <c r="J31" s="40"/>
      <c r="K31" s="11"/>
      <c r="L31" s="11"/>
      <c r="M31" s="41"/>
      <c r="N31" s="106"/>
      <c r="O31" s="19"/>
    </row>
    <row r="32" spans="1:22" x14ac:dyDescent="0.25">
      <c r="J32" s="40"/>
      <c r="K32" s="11"/>
      <c r="L32" s="11"/>
      <c r="M32" s="41"/>
      <c r="N32" s="106"/>
      <c r="O32" s="19"/>
    </row>
    <row r="33" spans="1:17" x14ac:dyDescent="0.25">
      <c r="J33" s="40"/>
      <c r="K33" s="11"/>
      <c r="L33" s="11"/>
      <c r="M33" s="41"/>
      <c r="N33" s="106"/>
      <c r="O33" s="19"/>
    </row>
    <row r="34" spans="1:17" ht="16.2" x14ac:dyDescent="0.25">
      <c r="A34" s="102"/>
      <c r="J34" s="40"/>
      <c r="K34" s="11"/>
      <c r="L34" s="11"/>
      <c r="M34" s="41"/>
      <c r="N34" s="106"/>
      <c r="O34" s="19"/>
    </row>
    <row r="35" spans="1:17" x14ac:dyDescent="0.25">
      <c r="A35" s="103"/>
      <c r="J35" s="40"/>
      <c r="K35" s="11"/>
      <c r="L35" s="11"/>
      <c r="M35" s="107"/>
      <c r="N35" s="106"/>
      <c r="O35" s="19"/>
      <c r="P35" s="1" t="s">
        <v>1821</v>
      </c>
      <c r="Q35" s="1">
        <f>SUMIF($J$35:$J$64,"金币",$M$35:$M$64)</f>
        <v>0</v>
      </c>
    </row>
    <row r="36" spans="1:17" ht="16.2" x14ac:dyDescent="0.25">
      <c r="A36" s="103"/>
      <c r="J36" s="43"/>
      <c r="K36" s="11"/>
      <c r="L36" s="11"/>
      <c r="M36" s="107"/>
      <c r="N36" s="106"/>
      <c r="O36" s="19"/>
      <c r="P36" s="1" t="s">
        <v>1823</v>
      </c>
      <c r="Q36" s="1">
        <f>SUMIF($J$35:$J$64,"钻石",$M$35:$M$64)</f>
        <v>0</v>
      </c>
    </row>
    <row r="37" spans="1:17" x14ac:dyDescent="0.25">
      <c r="A37" s="103"/>
      <c r="J37" s="40"/>
      <c r="K37" s="11"/>
      <c r="L37" s="11"/>
      <c r="M37" s="107"/>
      <c r="N37" s="106"/>
      <c r="O37" s="19"/>
      <c r="P37" s="1" t="s">
        <v>1825</v>
      </c>
      <c r="Q37" s="1">
        <f>SUMIF($J$35:$J$64,"锁定",$M$35:$M$64)</f>
        <v>0</v>
      </c>
    </row>
    <row r="38" spans="1:17" x14ac:dyDescent="0.25">
      <c r="A38" s="103"/>
      <c r="J38" s="40"/>
      <c r="K38" s="11"/>
      <c r="L38" s="11"/>
      <c r="M38" s="107"/>
      <c r="N38" s="106"/>
      <c r="O38" s="19"/>
      <c r="P38" s="1" t="s">
        <v>1827</v>
      </c>
      <c r="Q38" s="1">
        <f>SUMIF($J$35:$J$64,"狂暴",$M$35:$M$64)</f>
        <v>0</v>
      </c>
    </row>
    <row r="39" spans="1:17" x14ac:dyDescent="0.25">
      <c r="A39" s="103"/>
      <c r="J39" s="40"/>
      <c r="K39" s="11"/>
      <c r="L39" s="11"/>
      <c r="M39" s="107"/>
      <c r="N39" s="106"/>
      <c r="O39" s="19"/>
    </row>
    <row r="40" spans="1:17" ht="16.2" x14ac:dyDescent="0.25">
      <c r="A40" s="103"/>
      <c r="J40" s="43"/>
      <c r="K40" s="11"/>
      <c r="L40" s="11"/>
      <c r="M40" s="107"/>
      <c r="N40" s="106"/>
      <c r="O40" s="19"/>
    </row>
    <row r="41" spans="1:17" x14ac:dyDescent="0.25">
      <c r="A41" s="103"/>
      <c r="J41" s="40"/>
      <c r="K41" s="11"/>
      <c r="L41" s="11"/>
      <c r="M41" s="107"/>
      <c r="N41" s="106"/>
      <c r="O41" s="19"/>
    </row>
    <row r="42" spans="1:17" x14ac:dyDescent="0.25">
      <c r="A42" s="103"/>
      <c r="J42" s="40"/>
      <c r="K42" s="11"/>
      <c r="L42" s="11"/>
      <c r="M42" s="107"/>
      <c r="N42" s="106"/>
      <c r="O42" s="19"/>
    </row>
    <row r="43" spans="1:17" x14ac:dyDescent="0.25">
      <c r="A43" s="103"/>
      <c r="J43" s="40"/>
      <c r="K43" s="11"/>
      <c r="L43" s="11"/>
      <c r="M43" s="107"/>
      <c r="N43" s="106"/>
      <c r="O43" s="19"/>
    </row>
    <row r="44" spans="1:17" x14ac:dyDescent="0.25">
      <c r="A44" s="103"/>
      <c r="J44" s="40"/>
      <c r="K44" s="11"/>
      <c r="L44" s="11"/>
      <c r="M44" s="107"/>
      <c r="N44" s="106"/>
      <c r="O44" s="19"/>
    </row>
    <row r="45" spans="1:17" x14ac:dyDescent="0.25">
      <c r="A45" s="103"/>
      <c r="J45" s="40"/>
      <c r="K45" s="11"/>
      <c r="L45" s="11"/>
      <c r="M45" s="107"/>
      <c r="N45" s="106"/>
      <c r="O45" s="19"/>
    </row>
    <row r="46" spans="1:17" ht="16.2" x14ac:dyDescent="0.25">
      <c r="A46" s="103"/>
      <c r="J46" s="43"/>
      <c r="K46" s="11"/>
      <c r="L46" s="11"/>
      <c r="M46" s="107"/>
      <c r="N46" s="106"/>
      <c r="O46" s="19"/>
    </row>
    <row r="47" spans="1:17" x14ac:dyDescent="0.25">
      <c r="A47" s="103"/>
      <c r="J47" s="40"/>
      <c r="K47" s="11"/>
      <c r="L47" s="11"/>
      <c r="M47" s="107"/>
      <c r="N47" s="106"/>
      <c r="O47" s="19"/>
    </row>
    <row r="48" spans="1:17" x14ac:dyDescent="0.25">
      <c r="A48" s="103"/>
      <c r="J48" s="40"/>
      <c r="K48" s="11"/>
      <c r="L48" s="11"/>
      <c r="M48" s="107"/>
      <c r="N48" s="106"/>
      <c r="O48" s="19"/>
    </row>
    <row r="49" spans="1:15" ht="16.2" x14ac:dyDescent="0.25">
      <c r="A49" s="103"/>
      <c r="J49" s="43"/>
      <c r="K49" s="11"/>
      <c r="L49" s="11"/>
      <c r="M49" s="107"/>
      <c r="N49" s="106"/>
      <c r="O49" s="19"/>
    </row>
    <row r="50" spans="1:15" x14ac:dyDescent="0.25">
      <c r="A50" s="103"/>
      <c r="J50" s="40"/>
      <c r="K50" s="11"/>
      <c r="L50" s="11"/>
      <c r="M50" s="107"/>
      <c r="N50" s="106"/>
      <c r="O50" s="19"/>
    </row>
    <row r="51" spans="1:15" x14ac:dyDescent="0.25">
      <c r="A51" s="103"/>
      <c r="J51" s="40"/>
      <c r="K51" s="11"/>
      <c r="L51" s="11"/>
      <c r="M51" s="107"/>
      <c r="N51" s="106"/>
      <c r="O51" s="19"/>
    </row>
    <row r="52" spans="1:15" ht="16.2" x14ac:dyDescent="0.25">
      <c r="A52" s="103"/>
      <c r="J52" s="43"/>
      <c r="K52" s="11"/>
      <c r="L52" s="11"/>
      <c r="M52" s="107"/>
      <c r="N52" s="106"/>
      <c r="O52" s="19"/>
    </row>
    <row r="53" spans="1:15" x14ac:dyDescent="0.25">
      <c r="A53" s="103"/>
      <c r="J53" s="40"/>
      <c r="K53" s="11"/>
      <c r="L53" s="11"/>
      <c r="M53" s="107"/>
      <c r="N53" s="106"/>
      <c r="O53" s="19"/>
    </row>
    <row r="54" spans="1:15" x14ac:dyDescent="0.25">
      <c r="A54" s="103"/>
      <c r="J54" s="40"/>
      <c r="K54" s="11"/>
      <c r="L54" s="11"/>
      <c r="M54" s="107"/>
      <c r="N54" s="106"/>
      <c r="O54" s="19"/>
    </row>
    <row r="55" spans="1:15" ht="16.2" x14ac:dyDescent="0.25">
      <c r="A55" s="103"/>
      <c r="J55" s="43"/>
      <c r="K55" s="11"/>
      <c r="L55" s="11"/>
      <c r="M55" s="107"/>
      <c r="N55" s="106"/>
      <c r="O55" s="19"/>
    </row>
    <row r="56" spans="1:15" x14ac:dyDescent="0.25">
      <c r="A56" s="103"/>
      <c r="J56" s="40"/>
      <c r="K56" s="11"/>
      <c r="L56" s="11"/>
      <c r="M56" s="107"/>
      <c r="N56" s="106"/>
      <c r="O56" s="19"/>
    </row>
    <row r="57" spans="1:15" x14ac:dyDescent="0.25">
      <c r="A57" s="103"/>
      <c r="J57" s="40"/>
      <c r="K57" s="11"/>
      <c r="L57" s="11"/>
      <c r="M57" s="107"/>
      <c r="N57" s="106"/>
      <c r="O57" s="19"/>
    </row>
    <row r="58" spans="1:15" ht="16.2" x14ac:dyDescent="0.25">
      <c r="A58" s="103"/>
      <c r="J58" s="43"/>
      <c r="K58" s="11"/>
      <c r="L58" s="11"/>
      <c r="M58" s="107"/>
      <c r="N58" s="106"/>
      <c r="O58" s="19"/>
    </row>
    <row r="59" spans="1:15" x14ac:dyDescent="0.25">
      <c r="A59" s="103"/>
      <c r="J59" s="40"/>
      <c r="K59" s="11"/>
      <c r="L59" s="11"/>
      <c r="M59" s="107"/>
      <c r="N59" s="106"/>
      <c r="O59" s="19"/>
    </row>
    <row r="60" spans="1:15" x14ac:dyDescent="0.25">
      <c r="A60" s="103"/>
      <c r="J60" s="40"/>
      <c r="K60" s="11"/>
      <c r="L60" s="11"/>
      <c r="M60" s="107"/>
      <c r="N60" s="106"/>
      <c r="O60" s="19"/>
    </row>
    <row r="61" spans="1:15" x14ac:dyDescent="0.25">
      <c r="A61" s="103"/>
      <c r="J61" s="40"/>
      <c r="K61" s="11"/>
      <c r="L61" s="11"/>
      <c r="M61" s="107"/>
      <c r="N61" s="106"/>
      <c r="O61" s="19"/>
    </row>
    <row r="62" spans="1:15" x14ac:dyDescent="0.25">
      <c r="A62" s="103"/>
      <c r="J62" s="40"/>
      <c r="K62" s="11"/>
      <c r="L62" s="11"/>
      <c r="M62" s="107"/>
      <c r="N62" s="106"/>
      <c r="O62" s="19"/>
    </row>
    <row r="63" spans="1:15" x14ac:dyDescent="0.25">
      <c r="A63" s="103"/>
      <c r="J63" s="40"/>
      <c r="K63" s="11"/>
      <c r="L63" s="11"/>
      <c r="M63" s="107"/>
      <c r="N63" s="106"/>
      <c r="O63" s="19"/>
    </row>
    <row r="64" spans="1:15" x14ac:dyDescent="0.25">
      <c r="A64" s="103"/>
      <c r="J64" s="40"/>
      <c r="K64" s="14"/>
      <c r="L64" s="14"/>
      <c r="M64" s="107"/>
      <c r="N64" s="106"/>
      <c r="O64" s="21"/>
    </row>
  </sheetData>
  <phoneticPr fontId="57" type="noConversion"/>
  <conditionalFormatting sqref="D2">
    <cfRule type="cellIs" dxfId="293" priority="9" operator="greaterThan">
      <formula>0</formula>
    </cfRule>
    <cfRule type="cellIs" dxfId="292" priority="10" operator="greaterThan">
      <formula>0</formula>
    </cfRule>
    <cfRule type="cellIs" dxfId="291" priority="11" operator="greaterThan">
      <formula>0</formula>
    </cfRule>
    <cfRule type="containsText" dxfId="290" priority="12" operator="containsText" text=" ">
      <formula>NOT(ISERROR(SEARCH(" ",D2)))</formula>
    </cfRule>
  </conditionalFormatting>
  <conditionalFormatting sqref="E2">
    <cfRule type="cellIs" dxfId="289" priority="1" operator="greaterThan">
      <formula>0</formula>
    </cfRule>
    <cfRule type="cellIs" dxfId="288" priority="2" operator="greaterThan">
      <formula>0</formula>
    </cfRule>
    <cfRule type="cellIs" dxfId="287" priority="3" operator="greaterThan">
      <formula>0</formula>
    </cfRule>
    <cfRule type="containsText" dxfId="286" priority="4" operator="containsText" text=" ">
      <formula>NOT(ISERROR(SEARCH(" ",E2)))</formula>
    </cfRule>
  </conditionalFormatting>
  <conditionalFormatting sqref="P6">
    <cfRule type="containsText" dxfId="285" priority="42" operator="containsText" text=" ">
      <formula>NOT(ISERROR(SEARCH(" ",P6)))</formula>
    </cfRule>
  </conditionalFormatting>
  <conditionalFormatting sqref="P7">
    <cfRule type="containsText" dxfId="284" priority="41" operator="containsText" text=" ">
      <formula>NOT(ISERROR(SEARCH(" ",P7)))</formula>
    </cfRule>
  </conditionalFormatting>
  <conditionalFormatting sqref="V12">
    <cfRule type="containsText" dxfId="283" priority="70" operator="containsText" text=" ">
      <formula>NOT(ISERROR(SEARCH(" ",V12)))</formula>
    </cfRule>
  </conditionalFormatting>
  <conditionalFormatting sqref="R17:S17">
    <cfRule type="containsText" dxfId="282" priority="67" operator="containsText" text=" ">
      <formula>NOT(ISERROR(SEARCH(" ",R17)))</formula>
    </cfRule>
  </conditionalFormatting>
  <conditionalFormatting sqref="R18:S18">
    <cfRule type="containsText" dxfId="281" priority="66" operator="containsText" text=" ">
      <formula>NOT(ISERROR(SEARCH(" ",R18)))</formula>
    </cfRule>
  </conditionalFormatting>
  <conditionalFormatting sqref="V19">
    <cfRule type="containsText" dxfId="280" priority="65" operator="containsText" text=" ">
      <formula>NOT(ISERROR(SEARCH(" ",V19)))</formula>
    </cfRule>
  </conditionalFormatting>
  <conditionalFormatting sqref="J36">
    <cfRule type="cellIs" dxfId="279" priority="13" operator="equal">
      <formula>"狂暴"</formula>
    </cfRule>
    <cfRule type="cellIs" dxfId="278" priority="14" operator="equal">
      <formula>"锁定"</formula>
    </cfRule>
    <cfRule type="cellIs" dxfId="277" priority="15" operator="equal">
      <formula>"钻石"</formula>
    </cfRule>
    <cfRule type="cellIs" dxfId="276" priority="16" operator="equal">
      <formula>"金币"</formula>
    </cfRule>
    <cfRule type="containsText" dxfId="275" priority="17" operator="containsText" text=" ">
      <formula>NOT(ISERROR(SEARCH(" ",J36)))</formula>
    </cfRule>
  </conditionalFormatting>
  <conditionalFormatting sqref="P36">
    <cfRule type="containsText" dxfId="274" priority="34" operator="containsText" text=" ">
      <formula>NOT(ISERROR(SEARCH(" ",P36)))</formula>
    </cfRule>
  </conditionalFormatting>
  <conditionalFormatting sqref="P37">
    <cfRule type="containsText" dxfId="273" priority="33" operator="containsText" text=" ">
      <formula>NOT(ISERROR(SEARCH(" ",P37)))</formula>
    </cfRule>
  </conditionalFormatting>
  <conditionalFormatting sqref="J64">
    <cfRule type="cellIs" dxfId="272" priority="23" operator="equal">
      <formula>"狂暴"</formula>
    </cfRule>
    <cfRule type="cellIs" dxfId="271" priority="24" operator="equal">
      <formula>"锁定"</formula>
    </cfRule>
    <cfRule type="cellIs" dxfId="270" priority="25" operator="equal">
      <formula>"钻石"</formula>
    </cfRule>
    <cfRule type="cellIs" dxfId="269" priority="26" operator="equal">
      <formula>"金币"</formula>
    </cfRule>
    <cfRule type="containsText" dxfId="268" priority="27" operator="containsText" text=" ">
      <formula>NOT(ISERROR(SEARCH(" ",J64)))</formula>
    </cfRule>
  </conditionalFormatting>
  <conditionalFormatting sqref="D65:E65">
    <cfRule type="containsText" dxfId="267" priority="82" operator="containsText" text=" ">
      <formula>NOT(ISERROR(SEARCH(" ",D65)))</formula>
    </cfRule>
  </conditionalFormatting>
  <conditionalFormatting sqref="D66:E66">
    <cfRule type="containsText" dxfId="266" priority="83" operator="containsText" text=" ">
      <formula>NOT(ISERROR(SEARCH(" ",D66)))</formula>
    </cfRule>
  </conditionalFormatting>
  <conditionalFormatting sqref="C5:C64">
    <cfRule type="containsText" dxfId="265" priority="54" operator="containsText" text=" ">
      <formula>NOT(ISERROR(SEARCH(" ",C5)))</formula>
    </cfRule>
  </conditionalFormatting>
  <conditionalFormatting sqref="G5:G34">
    <cfRule type="containsText" dxfId="264" priority="51" operator="containsText" text=" ">
      <formula>NOT(ISERROR(SEARCH(" ",G5)))</formula>
    </cfRule>
  </conditionalFormatting>
  <conditionalFormatting sqref="G5:G64">
    <cfRule type="cellIs" dxfId="263" priority="49" operator="equal">
      <formula>1</formula>
    </cfRule>
  </conditionalFormatting>
  <conditionalFormatting sqref="G35:G64">
    <cfRule type="containsText" dxfId="262" priority="50" operator="containsText" text=" ">
      <formula>NOT(ISERROR(SEARCH(" ",G35)))</formula>
    </cfRule>
  </conditionalFormatting>
  <conditionalFormatting sqref="J5:J34">
    <cfRule type="cellIs" dxfId="261" priority="43" operator="equal">
      <formula>"狂暴"</formula>
    </cfRule>
    <cfRule type="cellIs" dxfId="260" priority="44" operator="equal">
      <formula>"锁定"</formula>
    </cfRule>
    <cfRule type="cellIs" dxfId="259" priority="45" operator="equal">
      <formula>"钻石"</formula>
    </cfRule>
    <cfRule type="cellIs" dxfId="258" priority="46" operator="equal">
      <formula>"金币"</formula>
    </cfRule>
    <cfRule type="containsText" dxfId="257" priority="58" operator="containsText" text=" ">
      <formula>NOT(ISERROR(SEARCH(" ",J5)))</formula>
    </cfRule>
  </conditionalFormatting>
  <conditionalFormatting sqref="T8:T11">
    <cfRule type="containsText" dxfId="256" priority="71" operator="containsText" text=" ">
      <formula>NOT(ISERROR(SEARCH(" ",T8)))</formula>
    </cfRule>
  </conditionalFormatting>
  <conditionalFormatting sqref="T13:T16">
    <cfRule type="containsText" dxfId="255" priority="68" operator="containsText" text=" ">
      <formula>NOT(ISERROR(SEARCH(" ",T13)))</formula>
    </cfRule>
  </conditionalFormatting>
  <conditionalFormatting sqref="V8:V11">
    <cfRule type="containsText" dxfId="254" priority="72" operator="containsText" text=" ">
      <formula>NOT(ISERROR(SEARCH(" ",V8)))</formula>
    </cfRule>
  </conditionalFormatting>
  <conditionalFormatting sqref="V13:V16">
    <cfRule type="containsText" dxfId="253" priority="69" operator="containsText" text=" ">
      <formula>NOT(ISERROR(SEARCH(" ",V13)))</formula>
    </cfRule>
  </conditionalFormatting>
  <conditionalFormatting sqref="A1:B64 A65:C66 D1 A67:XFD1048576 D3:D4 F4:I4 R35:XFD38 P39:XFD64 Q6:Q8 P8 P4:Q5 P9:Q27 I35:I64 P28:XFD34 J65:XFD66 W4:XFD27 F1:XFD3 H5:I34 D5:F34">
    <cfRule type="containsText" dxfId="252" priority="87" operator="containsText" text=" ">
      <formula>NOT(ISERROR(SEARCH(" ",A1)))</formula>
    </cfRule>
  </conditionalFormatting>
  <conditionalFormatting sqref="D1 D3:D4 D5:E1048576">
    <cfRule type="cellIs" dxfId="251" priority="47" operator="greaterThan">
      <formula>0</formula>
    </cfRule>
    <cfRule type="cellIs" dxfId="250" priority="48" operator="greaterThan">
      <formula>0</formula>
    </cfRule>
    <cfRule type="cellIs" dxfId="249" priority="52" operator="greaterThan">
      <formula>0</formula>
    </cfRule>
  </conditionalFormatting>
  <conditionalFormatting sqref="E1 E3 E4">
    <cfRule type="containsText" dxfId="248" priority="8" operator="containsText" text=" ">
      <formula>NOT(ISERROR(SEARCH(" ",E1)))</formula>
    </cfRule>
  </conditionalFormatting>
  <conditionalFormatting sqref="E1 E3:E4">
    <cfRule type="cellIs" dxfId="247" priority="5" operator="greaterThan">
      <formula>0</formula>
    </cfRule>
    <cfRule type="cellIs" dxfId="246" priority="6" operator="greaterThan">
      <formula>0</formula>
    </cfRule>
    <cfRule type="cellIs" dxfId="245" priority="7" operator="greaterThan">
      <formula>0</formula>
    </cfRule>
  </conditionalFormatting>
  <conditionalFormatting sqref="U8:U11 R19:U19 T17:V18 U13:U16 R13:S16 R12:U12 R20:V27 R8:S11 R4:V7">
    <cfRule type="containsText" dxfId="244" priority="73" operator="containsText" text=" ">
      <formula>NOT(ISERROR(SEARCH(" ",R4)))</formula>
    </cfRule>
  </conditionalFormatting>
  <conditionalFormatting sqref="K5:L64 O5:O64">
    <cfRule type="containsText" dxfId="243" priority="64" operator="containsText" text=" ">
      <formula>NOT(ISERROR(SEARCH(" ",K5)))</formula>
    </cfRule>
  </conditionalFormatting>
  <conditionalFormatting sqref="M5:N34">
    <cfRule type="containsText" dxfId="242" priority="56" operator="containsText" text=" ">
      <formula>NOT(ISERROR(SEARCH(" ",M5)))</formula>
    </cfRule>
  </conditionalFormatting>
  <conditionalFormatting sqref="D35:F64 H35:H64">
    <cfRule type="containsText" dxfId="241" priority="81" operator="containsText" text=" ">
      <formula>NOT(ISERROR(SEARCH(" ",D35)))</formula>
    </cfRule>
  </conditionalFormatting>
  <conditionalFormatting sqref="J35 J37:J63">
    <cfRule type="cellIs" dxfId="240" priority="36" operator="equal">
      <formula>"狂暴"</formula>
    </cfRule>
    <cfRule type="cellIs" dxfId="239" priority="37" operator="equal">
      <formula>"锁定"</formula>
    </cfRule>
    <cfRule type="cellIs" dxfId="238" priority="38" operator="equal">
      <formula>"钻石"</formula>
    </cfRule>
    <cfRule type="cellIs" dxfId="237" priority="39" operator="equal">
      <formula>"金币"</formula>
    </cfRule>
    <cfRule type="containsText" dxfId="236" priority="40" operator="containsText" text=" ">
      <formula>NOT(ISERROR(SEARCH(" ",J35)))</formula>
    </cfRule>
  </conditionalFormatting>
  <conditionalFormatting sqref="M35:N64">
    <cfRule type="containsText" dxfId="235" priority="55" operator="containsText" text=" ">
      <formula>NOT(ISERROR(SEARCH(" ",M35)))</formula>
    </cfRule>
  </conditionalFormatting>
  <conditionalFormatting sqref="P35:Q35 Q36:Q38 P38">
    <cfRule type="containsText" dxfId="234" priority="35" operator="containsText" text=" ">
      <formula>NOT(ISERROR(SEARCH(" ",P35)))</formula>
    </cfRule>
  </conditionalFormatting>
  <conditionalFormatting sqref="F65:I66">
    <cfRule type="containsText" dxfId="233" priority="85" operator="containsText" text=" ">
      <formula>NOT(ISERROR(SEARCH(" ",F65)))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3"/>
  <sheetViews>
    <sheetView topLeftCell="B1" workbookViewId="0">
      <pane ySplit="4" topLeftCell="A11" activePane="bottomLeft" state="frozen"/>
      <selection pane="bottomLeft" activeCell="L17" sqref="L17:Q20"/>
    </sheetView>
  </sheetViews>
  <sheetFormatPr defaultColWidth="9" defaultRowHeight="15.6" x14ac:dyDescent="0.25"/>
  <cols>
    <col min="1" max="1" width="9.88671875" style="1" customWidth="1"/>
    <col min="2" max="2" width="25.21875" style="1" customWidth="1"/>
    <col min="3" max="3" width="20.77734375" style="1" customWidth="1"/>
    <col min="4" max="4" width="16.5546875" style="1" customWidth="1"/>
    <col min="5" max="5" width="14.77734375" style="1" customWidth="1"/>
    <col min="6" max="6" width="26.44140625" style="1" customWidth="1"/>
    <col min="7" max="9" width="17.44140625" style="1" customWidth="1"/>
    <col min="10" max="10" width="20.44140625" style="1" customWidth="1"/>
    <col min="11" max="11" width="11.88671875" style="1" customWidth="1"/>
    <col min="12" max="12" width="13.44140625" style="1" customWidth="1"/>
    <col min="13" max="13" width="15.88671875" style="1" customWidth="1"/>
    <col min="14" max="14" width="10.44140625" style="1" customWidth="1"/>
    <col min="15" max="17" width="14.6640625" style="1" customWidth="1"/>
    <col min="18" max="18" width="9" style="1"/>
    <col min="19" max="19" width="14" style="1" customWidth="1"/>
    <col min="20" max="20" width="19.88671875" style="1" customWidth="1"/>
    <col min="21" max="21" width="14" style="1" customWidth="1"/>
    <col min="22" max="22" width="11.21875" style="1" customWidth="1"/>
    <col min="23" max="23" width="12" style="1" customWidth="1"/>
    <col min="24" max="16384" width="9" style="1"/>
  </cols>
  <sheetData>
    <row r="1" spans="1:24" x14ac:dyDescent="0.4">
      <c r="A1" s="2" t="s">
        <v>0</v>
      </c>
      <c r="B1" s="2" t="s">
        <v>796</v>
      </c>
      <c r="C1" s="2" t="s">
        <v>0</v>
      </c>
      <c r="D1" s="93" t="s">
        <v>1</v>
      </c>
      <c r="E1" s="93" t="s">
        <v>1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85" t="s">
        <v>0</v>
      </c>
      <c r="M1" s="85" t="s">
        <v>796</v>
      </c>
      <c r="N1" s="85" t="s">
        <v>0</v>
      </c>
      <c r="O1" s="85" t="s">
        <v>0</v>
      </c>
      <c r="P1" s="97" t="s">
        <v>0</v>
      </c>
      <c r="Q1" s="97" t="s">
        <v>0</v>
      </c>
      <c r="R1" s="88" t="s">
        <v>0</v>
      </c>
      <c r="S1" s="88" t="s">
        <v>0</v>
      </c>
      <c r="T1" s="89" t="s">
        <v>0</v>
      </c>
      <c r="U1" s="89" t="s">
        <v>0</v>
      </c>
      <c r="V1" s="2" t="s">
        <v>0</v>
      </c>
      <c r="W1" s="2" t="s">
        <v>0</v>
      </c>
    </row>
    <row r="2" spans="1:24" x14ac:dyDescent="0.4">
      <c r="A2" s="2" t="s">
        <v>11</v>
      </c>
      <c r="B2" s="2" t="s">
        <v>12</v>
      </c>
      <c r="C2" s="2" t="s">
        <v>14</v>
      </c>
      <c r="D2" s="93" t="s">
        <v>14</v>
      </c>
      <c r="E2" s="93" t="s">
        <v>11</v>
      </c>
      <c r="F2" s="2" t="s">
        <v>14</v>
      </c>
      <c r="G2" s="2" t="s">
        <v>11</v>
      </c>
      <c r="H2" s="2" t="s">
        <v>11</v>
      </c>
      <c r="I2" s="2" t="s">
        <v>11</v>
      </c>
      <c r="J2" s="2" t="s">
        <v>11</v>
      </c>
      <c r="K2" s="2" t="s">
        <v>14</v>
      </c>
      <c r="L2" s="85" t="s">
        <v>11</v>
      </c>
      <c r="M2" s="85" t="s">
        <v>11</v>
      </c>
      <c r="N2" s="85" t="s">
        <v>11</v>
      </c>
      <c r="O2" s="85" t="s">
        <v>11</v>
      </c>
      <c r="P2" s="97" t="s">
        <v>11</v>
      </c>
      <c r="Q2" s="97" t="s">
        <v>11</v>
      </c>
      <c r="R2" s="88" t="s">
        <v>11</v>
      </c>
      <c r="S2" s="88" t="s">
        <v>11</v>
      </c>
      <c r="T2" s="89" t="s">
        <v>14</v>
      </c>
      <c r="U2" s="89" t="s">
        <v>11</v>
      </c>
      <c r="V2" s="2" t="s">
        <v>11</v>
      </c>
      <c r="W2" s="2" t="s">
        <v>11</v>
      </c>
      <c r="X2" s="1" t="s">
        <v>1829</v>
      </c>
    </row>
    <row r="3" spans="1:24" x14ac:dyDescent="0.4">
      <c r="A3" s="2" t="s">
        <v>1810</v>
      </c>
      <c r="B3" s="2" t="s">
        <v>1167</v>
      </c>
      <c r="C3" s="2" t="s">
        <v>1830</v>
      </c>
      <c r="D3" s="93" t="s">
        <v>1831</v>
      </c>
      <c r="E3" s="93" t="s">
        <v>1832</v>
      </c>
      <c r="F3" s="2" t="s">
        <v>1833</v>
      </c>
      <c r="G3" s="2" t="s">
        <v>1834</v>
      </c>
      <c r="H3" s="2" t="s">
        <v>1835</v>
      </c>
      <c r="I3" s="2" t="s">
        <v>1836</v>
      </c>
      <c r="J3" s="2" t="s">
        <v>1837</v>
      </c>
      <c r="K3" s="2" t="s">
        <v>1838</v>
      </c>
      <c r="L3" s="85" t="s">
        <v>1839</v>
      </c>
      <c r="M3" s="85" t="s">
        <v>1840</v>
      </c>
      <c r="N3" s="85" t="s">
        <v>1841</v>
      </c>
      <c r="O3" s="85" t="s">
        <v>1842</v>
      </c>
      <c r="P3" s="97" t="s">
        <v>1843</v>
      </c>
      <c r="Q3" s="97" t="s">
        <v>1844</v>
      </c>
      <c r="R3" s="88" t="s">
        <v>1845</v>
      </c>
      <c r="S3" s="88" t="s">
        <v>1846</v>
      </c>
      <c r="T3" s="89" t="s">
        <v>1847</v>
      </c>
      <c r="U3" s="89" t="s">
        <v>1848</v>
      </c>
      <c r="V3" s="2" t="s">
        <v>1849</v>
      </c>
      <c r="W3" s="2" t="s">
        <v>1508</v>
      </c>
    </row>
    <row r="4" spans="1:24" s="69" customFormat="1" ht="105.6" x14ac:dyDescent="0.25">
      <c r="A4" s="60" t="s">
        <v>1850</v>
      </c>
      <c r="B4" s="86" t="s">
        <v>1851</v>
      </c>
      <c r="C4" s="60" t="s">
        <v>1852</v>
      </c>
      <c r="D4" s="94" t="s">
        <v>1853</v>
      </c>
      <c r="E4" s="94" t="s">
        <v>1854</v>
      </c>
      <c r="F4" s="60" t="s">
        <v>1855</v>
      </c>
      <c r="G4" s="60" t="s">
        <v>1856</v>
      </c>
      <c r="H4" s="60" t="s">
        <v>1857</v>
      </c>
      <c r="I4" s="60" t="s">
        <v>1858</v>
      </c>
      <c r="J4" s="60" t="s">
        <v>1859</v>
      </c>
      <c r="K4" s="86" t="s">
        <v>1860</v>
      </c>
      <c r="L4" s="87" t="s">
        <v>1861</v>
      </c>
      <c r="M4" s="87" t="s">
        <v>1862</v>
      </c>
      <c r="N4" s="87" t="s">
        <v>1863</v>
      </c>
      <c r="O4" s="87" t="s">
        <v>1864</v>
      </c>
      <c r="P4" s="98" t="s">
        <v>1865</v>
      </c>
      <c r="Q4" s="98" t="s">
        <v>1866</v>
      </c>
      <c r="R4" s="90" t="s">
        <v>1867</v>
      </c>
      <c r="S4" s="90" t="s">
        <v>1868</v>
      </c>
      <c r="T4" s="91" t="s">
        <v>1869</v>
      </c>
      <c r="U4" s="91" t="s">
        <v>1870</v>
      </c>
      <c r="V4" s="60" t="s">
        <v>1871</v>
      </c>
      <c r="W4" s="60" t="s">
        <v>1872</v>
      </c>
      <c r="X4" s="65" t="s">
        <v>1873</v>
      </c>
    </row>
    <row r="5" spans="1:24" x14ac:dyDescent="0.25">
      <c r="A5" s="1">
        <v>1</v>
      </c>
      <c r="B5" s="1" t="s">
        <v>1874</v>
      </c>
      <c r="C5" s="1" t="s">
        <v>1875</v>
      </c>
      <c r="D5" s="1" t="s">
        <v>1107</v>
      </c>
      <c r="E5" s="1">
        <v>10000</v>
      </c>
      <c r="G5" s="1">
        <v>0</v>
      </c>
      <c r="J5" s="1">
        <v>0</v>
      </c>
      <c r="K5" s="1">
        <v>-1</v>
      </c>
      <c r="L5" s="1">
        <v>-1</v>
      </c>
      <c r="M5" s="1">
        <v>0</v>
      </c>
      <c r="N5" s="1">
        <v>0</v>
      </c>
      <c r="O5" s="1">
        <v>-1</v>
      </c>
      <c r="P5" s="1">
        <v>-1</v>
      </c>
      <c r="Q5" s="1">
        <v>-1</v>
      </c>
      <c r="R5" s="1">
        <v>0</v>
      </c>
      <c r="S5" s="1">
        <v>-1</v>
      </c>
      <c r="U5" s="1">
        <v>-1</v>
      </c>
      <c r="V5" s="1">
        <v>0</v>
      </c>
      <c r="W5" s="1">
        <v>-1</v>
      </c>
    </row>
    <row r="6" spans="1:24" x14ac:dyDescent="0.25">
      <c r="A6" s="1">
        <v>2</v>
      </c>
      <c r="B6" s="1" t="s">
        <v>1876</v>
      </c>
      <c r="C6" s="1" t="s">
        <v>1877</v>
      </c>
      <c r="D6" s="1" t="s">
        <v>169</v>
      </c>
      <c r="E6" s="1">
        <v>1</v>
      </c>
      <c r="G6" s="1">
        <v>0</v>
      </c>
      <c r="J6" s="1">
        <v>0</v>
      </c>
      <c r="K6" s="1">
        <v>-1</v>
      </c>
      <c r="L6" s="1">
        <v>-1</v>
      </c>
      <c r="M6" s="1">
        <v>0</v>
      </c>
      <c r="N6" s="1">
        <v>0</v>
      </c>
      <c r="O6" s="1">
        <v>-1</v>
      </c>
      <c r="P6" s="1">
        <v>-1</v>
      </c>
      <c r="Q6" s="1">
        <v>-1</v>
      </c>
      <c r="R6" s="1">
        <v>0</v>
      </c>
      <c r="S6" s="1">
        <v>-1</v>
      </c>
      <c r="U6" s="1">
        <v>-1</v>
      </c>
      <c r="V6" s="1">
        <v>0</v>
      </c>
      <c r="W6" s="1">
        <v>-1</v>
      </c>
    </row>
    <row r="7" spans="1:24" x14ac:dyDescent="0.25">
      <c r="A7" s="1">
        <v>3</v>
      </c>
      <c r="B7" s="1" t="s">
        <v>1878</v>
      </c>
      <c r="C7" s="1" t="s">
        <v>1879</v>
      </c>
      <c r="D7" s="1" t="s">
        <v>1880</v>
      </c>
      <c r="E7" s="1">
        <v>0</v>
      </c>
      <c r="G7" s="1">
        <v>0</v>
      </c>
      <c r="J7" s="1">
        <v>0</v>
      </c>
      <c r="K7" s="1">
        <v>-1</v>
      </c>
      <c r="L7" s="1">
        <v>-1</v>
      </c>
      <c r="M7" s="1">
        <v>0</v>
      </c>
      <c r="N7" s="1">
        <v>0</v>
      </c>
      <c r="O7" s="1">
        <v>-1</v>
      </c>
      <c r="P7" s="1">
        <v>-1</v>
      </c>
      <c r="Q7" s="1">
        <v>-1</v>
      </c>
      <c r="R7" s="1">
        <v>0</v>
      </c>
      <c r="S7" s="1">
        <v>-1</v>
      </c>
      <c r="U7" s="1">
        <v>-1</v>
      </c>
      <c r="V7" s="1">
        <v>0</v>
      </c>
      <c r="W7" s="1">
        <v>-1</v>
      </c>
    </row>
    <row r="8" spans="1:24" x14ac:dyDescent="0.25">
      <c r="A8" s="1">
        <v>4</v>
      </c>
      <c r="B8" s="1" t="s">
        <v>1881</v>
      </c>
      <c r="C8" s="1" t="s">
        <v>1882</v>
      </c>
      <c r="D8" s="1" t="s">
        <v>1883</v>
      </c>
      <c r="E8" s="1">
        <v>0</v>
      </c>
      <c r="G8" s="1">
        <v>0</v>
      </c>
      <c r="J8" s="1">
        <v>0</v>
      </c>
      <c r="K8" s="1">
        <v>-1</v>
      </c>
      <c r="L8" s="1">
        <v>-1</v>
      </c>
      <c r="M8" s="1">
        <v>0</v>
      </c>
      <c r="N8" s="1">
        <v>0</v>
      </c>
      <c r="O8" s="1">
        <v>-1</v>
      </c>
      <c r="P8" s="1">
        <v>-1</v>
      </c>
      <c r="Q8" s="1">
        <v>-1</v>
      </c>
      <c r="R8" s="1">
        <v>0</v>
      </c>
      <c r="S8" s="1">
        <v>-1</v>
      </c>
      <c r="U8" s="1">
        <v>-1</v>
      </c>
      <c r="V8" s="1">
        <v>0</v>
      </c>
      <c r="W8" s="1">
        <v>-1</v>
      </c>
    </row>
    <row r="9" spans="1:24" x14ac:dyDescent="0.25">
      <c r="A9" s="1">
        <v>5</v>
      </c>
      <c r="B9" s="1" t="s">
        <v>1884</v>
      </c>
      <c r="C9" s="1" t="s">
        <v>1879</v>
      </c>
      <c r="D9" s="1" t="s">
        <v>1885</v>
      </c>
      <c r="E9" s="1">
        <v>0</v>
      </c>
      <c r="G9" s="1">
        <v>0</v>
      </c>
      <c r="J9" s="1">
        <v>0</v>
      </c>
      <c r="K9" s="1">
        <v>-1</v>
      </c>
      <c r="L9" s="1">
        <v>-1</v>
      </c>
      <c r="M9" s="1">
        <v>0</v>
      </c>
      <c r="N9" s="1">
        <v>0</v>
      </c>
      <c r="O9" s="1">
        <v>-1</v>
      </c>
      <c r="P9" s="1">
        <v>-1</v>
      </c>
      <c r="Q9" s="1">
        <v>-1</v>
      </c>
      <c r="R9" s="1">
        <v>0</v>
      </c>
      <c r="S9" s="1">
        <v>-1</v>
      </c>
      <c r="U9" s="1">
        <v>-1</v>
      </c>
      <c r="V9" s="1">
        <v>0</v>
      </c>
      <c r="W9" s="1">
        <v>-1</v>
      </c>
    </row>
    <row r="10" spans="1:24" x14ac:dyDescent="0.25">
      <c r="A10" s="1">
        <v>6</v>
      </c>
      <c r="B10" s="1" t="s">
        <v>1886</v>
      </c>
      <c r="C10" s="1" t="s">
        <v>1887</v>
      </c>
      <c r="D10" s="1" t="s">
        <v>1668</v>
      </c>
      <c r="E10" s="1">
        <v>0</v>
      </c>
      <c r="G10" s="1">
        <v>0</v>
      </c>
      <c r="J10" s="1">
        <v>0</v>
      </c>
      <c r="K10" s="1">
        <v>-1</v>
      </c>
      <c r="L10" s="1">
        <v>-1</v>
      </c>
      <c r="M10" s="1">
        <v>0</v>
      </c>
      <c r="N10" s="1">
        <v>0</v>
      </c>
      <c r="O10" s="1">
        <v>-1</v>
      </c>
      <c r="P10" s="1">
        <v>-1</v>
      </c>
      <c r="Q10" s="1">
        <v>-1</v>
      </c>
      <c r="R10" s="1">
        <v>0</v>
      </c>
      <c r="S10" s="1">
        <v>-1</v>
      </c>
      <c r="U10" s="1">
        <v>-1</v>
      </c>
      <c r="V10" s="1">
        <v>0</v>
      </c>
      <c r="W10" s="1">
        <v>-1</v>
      </c>
    </row>
    <row r="11" spans="1:24" x14ac:dyDescent="0.35">
      <c r="A11" s="1">
        <v>7</v>
      </c>
      <c r="C11" s="95" t="s">
        <v>1172</v>
      </c>
      <c r="D11" s="1" t="s">
        <v>1888</v>
      </c>
      <c r="E11" s="1">
        <v>300</v>
      </c>
      <c r="F11" s="1" t="s">
        <v>1889</v>
      </c>
      <c r="G11" s="1">
        <v>5</v>
      </c>
      <c r="J11" s="1">
        <v>0</v>
      </c>
      <c r="K11" s="1">
        <v>3</v>
      </c>
      <c r="L11" s="1">
        <v>-1</v>
      </c>
      <c r="M11" s="1">
        <v>0</v>
      </c>
      <c r="N11" s="1">
        <v>0</v>
      </c>
      <c r="O11" s="1">
        <v>-1</v>
      </c>
      <c r="P11" s="1">
        <v>-1</v>
      </c>
      <c r="Q11" s="1">
        <v>-1</v>
      </c>
      <c r="R11" s="1">
        <v>0</v>
      </c>
      <c r="S11" s="1">
        <v>-1</v>
      </c>
      <c r="U11" s="1">
        <v>-1</v>
      </c>
      <c r="V11" s="1">
        <v>0</v>
      </c>
      <c r="W11" s="1">
        <v>1</v>
      </c>
    </row>
    <row r="12" spans="1:24" x14ac:dyDescent="0.35">
      <c r="A12" s="1">
        <v>1001</v>
      </c>
      <c r="B12" s="1" t="s">
        <v>1890</v>
      </c>
      <c r="C12" s="95" t="s">
        <v>1172</v>
      </c>
      <c r="D12" s="1" t="s">
        <v>1139</v>
      </c>
      <c r="E12" s="1">
        <v>20000</v>
      </c>
      <c r="F12" s="95" t="s">
        <v>1891</v>
      </c>
      <c r="G12" s="1">
        <v>1</v>
      </c>
      <c r="J12" s="1">
        <v>0</v>
      </c>
      <c r="K12" s="1" t="s">
        <v>1443</v>
      </c>
      <c r="L12" s="1">
        <v>30</v>
      </c>
      <c r="M12" s="1">
        <v>10</v>
      </c>
      <c r="N12" s="1">
        <v>2</v>
      </c>
      <c r="O12" s="1">
        <v>30</v>
      </c>
      <c r="P12" s="1">
        <v>3000</v>
      </c>
      <c r="Q12" s="1">
        <v>1000</v>
      </c>
      <c r="R12" s="1">
        <v>2</v>
      </c>
      <c r="S12" s="1">
        <v>100</v>
      </c>
      <c r="U12" s="1">
        <v>-1</v>
      </c>
      <c r="V12" s="1">
        <v>1</v>
      </c>
      <c r="W12" s="1">
        <v>999</v>
      </c>
    </row>
    <row r="13" spans="1:24" x14ac:dyDescent="0.35">
      <c r="A13" s="1">
        <v>1002</v>
      </c>
      <c r="B13" s="1" t="s">
        <v>1892</v>
      </c>
      <c r="C13" s="95" t="s">
        <v>1893</v>
      </c>
      <c r="D13" s="1" t="s">
        <v>1140</v>
      </c>
      <c r="E13" s="1">
        <v>50000</v>
      </c>
      <c r="F13" s="95" t="s">
        <v>1894</v>
      </c>
      <c r="G13" s="1">
        <v>2</v>
      </c>
      <c r="J13" s="1">
        <v>0</v>
      </c>
      <c r="K13" s="1" t="s">
        <v>1443</v>
      </c>
      <c r="L13" s="1">
        <v>30</v>
      </c>
      <c r="M13" s="1">
        <v>10</v>
      </c>
      <c r="N13" s="1">
        <v>2</v>
      </c>
      <c r="O13" s="1">
        <v>30</v>
      </c>
      <c r="P13" s="1">
        <v>3000</v>
      </c>
      <c r="Q13" s="1">
        <v>1000</v>
      </c>
      <c r="R13" s="1">
        <v>5</v>
      </c>
      <c r="S13" s="1">
        <v>50</v>
      </c>
      <c r="U13" s="1">
        <v>-1</v>
      </c>
      <c r="V13" s="1">
        <v>1</v>
      </c>
      <c r="W13" s="1">
        <v>999</v>
      </c>
    </row>
    <row r="14" spans="1:24" x14ac:dyDescent="0.35">
      <c r="A14" s="1">
        <v>1003</v>
      </c>
      <c r="B14" s="1" t="s">
        <v>1895</v>
      </c>
      <c r="C14" s="95" t="s">
        <v>1896</v>
      </c>
      <c r="D14" s="1" t="s">
        <v>1144</v>
      </c>
      <c r="E14" s="1">
        <v>200000</v>
      </c>
      <c r="F14" s="95" t="s">
        <v>1897</v>
      </c>
      <c r="G14" s="1">
        <v>3</v>
      </c>
      <c r="J14" s="1">
        <v>0</v>
      </c>
      <c r="K14" s="1">
        <v>2</v>
      </c>
      <c r="L14" s="1">
        <v>-1</v>
      </c>
      <c r="M14" s="1">
        <v>0</v>
      </c>
      <c r="N14" s="1">
        <v>0</v>
      </c>
      <c r="O14" s="1">
        <v>-1</v>
      </c>
      <c r="P14" s="1">
        <v>-1</v>
      </c>
      <c r="Q14" s="1">
        <v>-1</v>
      </c>
      <c r="R14" s="1">
        <v>10</v>
      </c>
      <c r="S14" s="1">
        <v>20</v>
      </c>
      <c r="U14" s="1">
        <v>-1</v>
      </c>
      <c r="V14" s="1">
        <v>1</v>
      </c>
      <c r="W14" s="1">
        <v>999</v>
      </c>
    </row>
    <row r="15" spans="1:24" x14ac:dyDescent="0.35">
      <c r="A15" s="1">
        <v>1004</v>
      </c>
      <c r="B15" s="1" t="s">
        <v>1898</v>
      </c>
      <c r="C15" s="95" t="s">
        <v>1899</v>
      </c>
      <c r="D15" s="1" t="s">
        <v>1143</v>
      </c>
      <c r="E15" s="1">
        <v>20000</v>
      </c>
      <c r="F15" s="95" t="s">
        <v>1900</v>
      </c>
      <c r="G15" s="1">
        <v>4</v>
      </c>
      <c r="J15" s="1">
        <v>0</v>
      </c>
      <c r="K15" s="1" t="s">
        <v>1443</v>
      </c>
      <c r="L15" s="1">
        <v>30</v>
      </c>
      <c r="M15" s="1">
        <v>10</v>
      </c>
      <c r="N15" s="1">
        <v>2</v>
      </c>
      <c r="O15" s="1">
        <v>30</v>
      </c>
      <c r="P15" s="1">
        <v>3000</v>
      </c>
      <c r="Q15" s="1">
        <v>1000</v>
      </c>
      <c r="R15" s="1">
        <v>2</v>
      </c>
      <c r="S15" s="1">
        <v>100</v>
      </c>
      <c r="U15" s="1">
        <v>-1</v>
      </c>
      <c r="V15" s="1">
        <v>1</v>
      </c>
      <c r="W15" s="1">
        <v>999</v>
      </c>
    </row>
    <row r="16" spans="1:24" x14ac:dyDescent="0.35">
      <c r="A16" s="1">
        <v>1009</v>
      </c>
      <c r="B16" s="1" t="s">
        <v>1901</v>
      </c>
      <c r="C16" s="95" t="s">
        <v>1902</v>
      </c>
      <c r="D16" s="1" t="s">
        <v>1903</v>
      </c>
      <c r="E16" s="1">
        <v>20000</v>
      </c>
      <c r="F16" s="95" t="s">
        <v>1904</v>
      </c>
      <c r="G16" s="1">
        <v>4</v>
      </c>
      <c r="J16" s="1">
        <v>1</v>
      </c>
      <c r="K16" s="1">
        <v>2</v>
      </c>
      <c r="L16" s="1">
        <v>-1</v>
      </c>
      <c r="M16" s="1">
        <v>0</v>
      </c>
      <c r="N16" s="1">
        <v>0</v>
      </c>
      <c r="O16" s="1">
        <v>0</v>
      </c>
      <c r="P16" s="1">
        <v>-1</v>
      </c>
      <c r="Q16" s="1">
        <v>-1</v>
      </c>
      <c r="R16" s="1">
        <v>20</v>
      </c>
      <c r="S16" s="1">
        <v>10</v>
      </c>
      <c r="U16" s="1">
        <v>-1</v>
      </c>
      <c r="V16" s="1">
        <v>1</v>
      </c>
      <c r="W16" s="1">
        <v>999</v>
      </c>
    </row>
    <row r="17" spans="1:23" x14ac:dyDescent="0.35">
      <c r="A17" s="1">
        <v>1005</v>
      </c>
      <c r="B17" s="1" t="s">
        <v>1905</v>
      </c>
      <c r="C17" s="95" t="s">
        <v>1906</v>
      </c>
      <c r="D17" s="1" t="s">
        <v>1907</v>
      </c>
      <c r="E17" s="96">
        <v>1000000</v>
      </c>
      <c r="F17" s="95" t="s">
        <v>1908</v>
      </c>
      <c r="G17" s="1">
        <v>10</v>
      </c>
      <c r="J17" s="1">
        <v>150</v>
      </c>
      <c r="K17" s="1" t="s">
        <v>1909</v>
      </c>
      <c r="L17" s="1">
        <v>5</v>
      </c>
      <c r="M17" s="1">
        <v>1</v>
      </c>
      <c r="N17" s="1">
        <v>2</v>
      </c>
      <c r="O17" s="1">
        <v>5</v>
      </c>
      <c r="P17" s="1">
        <v>100</v>
      </c>
      <c r="Q17" s="1">
        <v>30</v>
      </c>
      <c r="R17" s="1">
        <v>0</v>
      </c>
      <c r="S17" s="1">
        <v>-1</v>
      </c>
      <c r="T17" s="96" t="s">
        <v>902</v>
      </c>
      <c r="U17" s="1">
        <v>1</v>
      </c>
      <c r="V17" s="1">
        <v>1</v>
      </c>
      <c r="W17" s="1">
        <v>999</v>
      </c>
    </row>
    <row r="18" spans="1:23" x14ac:dyDescent="0.35">
      <c r="A18" s="1">
        <v>1006</v>
      </c>
      <c r="B18" s="1" t="s">
        <v>1910</v>
      </c>
      <c r="C18" s="95" t="s">
        <v>1911</v>
      </c>
      <c r="D18" s="1" t="s">
        <v>1912</v>
      </c>
      <c r="E18" s="96">
        <v>2000000</v>
      </c>
      <c r="F18" s="95" t="s">
        <v>1913</v>
      </c>
      <c r="G18" s="1">
        <v>10</v>
      </c>
      <c r="J18" s="1">
        <v>200</v>
      </c>
      <c r="K18" s="1" t="s">
        <v>1909</v>
      </c>
      <c r="L18" s="1">
        <v>5</v>
      </c>
      <c r="M18" s="1">
        <v>1</v>
      </c>
      <c r="N18" s="1">
        <v>2</v>
      </c>
      <c r="O18" s="1">
        <v>5</v>
      </c>
      <c r="P18" s="1">
        <v>100</v>
      </c>
      <c r="Q18" s="1">
        <v>30</v>
      </c>
      <c r="R18" s="1">
        <v>0</v>
      </c>
      <c r="S18" s="1">
        <v>-1</v>
      </c>
      <c r="T18" s="96" t="s">
        <v>914</v>
      </c>
      <c r="U18" s="1">
        <v>1</v>
      </c>
      <c r="V18" s="1">
        <v>1</v>
      </c>
      <c r="W18" s="1">
        <v>999</v>
      </c>
    </row>
    <row r="19" spans="1:23" x14ac:dyDescent="0.35">
      <c r="A19" s="1">
        <v>1007</v>
      </c>
      <c r="B19" s="1" t="s">
        <v>1914</v>
      </c>
      <c r="C19" s="95" t="s">
        <v>1915</v>
      </c>
      <c r="D19" s="1" t="s">
        <v>1916</v>
      </c>
      <c r="E19" s="96">
        <v>5000000</v>
      </c>
      <c r="F19" s="95" t="s">
        <v>1917</v>
      </c>
      <c r="G19" s="1">
        <v>10</v>
      </c>
      <c r="J19" s="1">
        <v>250</v>
      </c>
      <c r="K19" s="1" t="s">
        <v>1909</v>
      </c>
      <c r="L19" s="1">
        <v>5</v>
      </c>
      <c r="M19" s="1">
        <v>1</v>
      </c>
      <c r="N19" s="1">
        <v>2</v>
      </c>
      <c r="O19" s="1">
        <v>5</v>
      </c>
      <c r="P19" s="1">
        <v>100</v>
      </c>
      <c r="Q19" s="1">
        <v>30</v>
      </c>
      <c r="R19" s="1">
        <v>0</v>
      </c>
      <c r="S19" s="1">
        <v>-1</v>
      </c>
      <c r="T19" s="96" t="s">
        <v>921</v>
      </c>
      <c r="U19" s="1">
        <v>1</v>
      </c>
      <c r="V19" s="1">
        <v>1</v>
      </c>
      <c r="W19" s="1">
        <v>999</v>
      </c>
    </row>
    <row r="20" spans="1:23" x14ac:dyDescent="0.35">
      <c r="A20" s="1">
        <v>1008</v>
      </c>
      <c r="B20" s="1" t="s">
        <v>1918</v>
      </c>
      <c r="C20" s="95" t="s">
        <v>1919</v>
      </c>
      <c r="D20" s="1" t="s">
        <v>1920</v>
      </c>
      <c r="E20" s="96">
        <v>10000000</v>
      </c>
      <c r="F20" s="95" t="s">
        <v>1921</v>
      </c>
      <c r="G20" s="1">
        <v>10</v>
      </c>
      <c r="J20" s="1">
        <v>300</v>
      </c>
      <c r="K20" s="1" t="s">
        <v>1909</v>
      </c>
      <c r="L20" s="1">
        <v>5</v>
      </c>
      <c r="M20" s="1">
        <v>1</v>
      </c>
      <c r="N20" s="1">
        <v>2</v>
      </c>
      <c r="O20" s="1">
        <v>5</v>
      </c>
      <c r="P20" s="1">
        <v>100</v>
      </c>
      <c r="Q20" s="1">
        <v>30</v>
      </c>
      <c r="R20" s="1">
        <v>0</v>
      </c>
      <c r="S20" s="1">
        <v>-1</v>
      </c>
      <c r="T20" s="96" t="s">
        <v>927</v>
      </c>
      <c r="U20" s="1">
        <v>1</v>
      </c>
      <c r="V20" s="1">
        <v>1</v>
      </c>
      <c r="W20" s="1">
        <v>999</v>
      </c>
    </row>
    <row r="21" spans="1:23" x14ac:dyDescent="0.25">
      <c r="A21" s="1">
        <v>1101</v>
      </c>
      <c r="C21" s="1" t="s">
        <v>1922</v>
      </c>
      <c r="D21" s="1" t="s">
        <v>1923</v>
      </c>
      <c r="E21" s="1">
        <v>0</v>
      </c>
      <c r="F21" s="1" t="s">
        <v>1889</v>
      </c>
      <c r="G21" s="1">
        <v>5</v>
      </c>
      <c r="J21" s="1">
        <v>0</v>
      </c>
      <c r="K21" s="1">
        <v>4</v>
      </c>
      <c r="L21" s="1">
        <v>-1</v>
      </c>
      <c r="M21" s="1">
        <v>0</v>
      </c>
      <c r="N21" s="1">
        <v>0</v>
      </c>
      <c r="O21" s="1">
        <v>-1</v>
      </c>
      <c r="P21" s="1">
        <v>-1</v>
      </c>
      <c r="Q21" s="1">
        <v>-1</v>
      </c>
      <c r="R21" s="1">
        <v>0</v>
      </c>
      <c r="S21" s="1">
        <v>-1</v>
      </c>
      <c r="U21" s="1">
        <v>-1</v>
      </c>
      <c r="V21" s="1">
        <v>0</v>
      </c>
      <c r="W21" s="1">
        <v>1</v>
      </c>
    </row>
    <row r="22" spans="1:23" x14ac:dyDescent="0.25">
      <c r="A22" s="1">
        <v>1202</v>
      </c>
      <c r="B22" s="1" t="s">
        <v>1924</v>
      </c>
      <c r="C22" s="1" t="s">
        <v>1925</v>
      </c>
      <c r="D22" s="1" t="s">
        <v>1926</v>
      </c>
      <c r="E22" s="1">
        <v>0</v>
      </c>
      <c r="F22" s="1" t="s">
        <v>1927</v>
      </c>
      <c r="G22" s="1">
        <v>7</v>
      </c>
      <c r="J22" s="1">
        <v>2</v>
      </c>
      <c r="K22" s="1">
        <v>-1</v>
      </c>
      <c r="L22" s="1">
        <v>-1</v>
      </c>
      <c r="M22" s="1">
        <v>0</v>
      </c>
      <c r="N22" s="1">
        <v>0</v>
      </c>
      <c r="O22" s="1">
        <v>-1</v>
      </c>
      <c r="P22" s="1">
        <v>-1</v>
      </c>
      <c r="Q22" s="1">
        <v>-1</v>
      </c>
      <c r="R22" s="1">
        <v>0</v>
      </c>
      <c r="S22" s="1">
        <v>-1</v>
      </c>
      <c r="U22" s="1">
        <v>-1</v>
      </c>
      <c r="V22" s="1">
        <v>0</v>
      </c>
      <c r="W22" s="1">
        <v>-1</v>
      </c>
    </row>
    <row r="23" spans="1:23" x14ac:dyDescent="0.25">
      <c r="A23" s="1">
        <v>1204</v>
      </c>
      <c r="B23" s="1" t="s">
        <v>1928</v>
      </c>
      <c r="C23" s="1" t="s">
        <v>1929</v>
      </c>
      <c r="D23" s="1" t="s">
        <v>1110</v>
      </c>
      <c r="E23" s="1">
        <v>500</v>
      </c>
      <c r="F23" s="1" t="s">
        <v>1930</v>
      </c>
      <c r="G23" s="1">
        <v>0</v>
      </c>
      <c r="J23" s="1">
        <v>0</v>
      </c>
      <c r="K23" s="1">
        <v>6</v>
      </c>
      <c r="L23" s="1">
        <v>-1</v>
      </c>
      <c r="M23" s="1">
        <v>0</v>
      </c>
      <c r="N23" s="1">
        <v>0</v>
      </c>
      <c r="O23" s="1">
        <v>-1</v>
      </c>
      <c r="P23" s="1">
        <v>-1</v>
      </c>
      <c r="Q23" s="1">
        <v>-1</v>
      </c>
      <c r="R23" s="1">
        <v>0</v>
      </c>
      <c r="S23" s="1">
        <v>-1</v>
      </c>
      <c r="U23" s="1">
        <v>-1</v>
      </c>
      <c r="V23" s="1">
        <v>0</v>
      </c>
      <c r="W23" s="1">
        <v>-1</v>
      </c>
    </row>
    <row r="24" spans="1:23" s="92" customFormat="1" x14ac:dyDescent="0.25">
      <c r="A24" s="92">
        <v>1213</v>
      </c>
      <c r="B24" s="92" t="s">
        <v>1931</v>
      </c>
      <c r="C24" s="92" t="s">
        <v>1932</v>
      </c>
      <c r="D24" s="1" t="s">
        <v>1676</v>
      </c>
      <c r="E24" s="96">
        <v>400000</v>
      </c>
      <c r="F24" s="92" t="s">
        <v>1933</v>
      </c>
      <c r="G24" s="92">
        <v>0</v>
      </c>
      <c r="J24" s="92">
        <v>0</v>
      </c>
      <c r="K24" s="92" t="s">
        <v>1934</v>
      </c>
      <c r="L24" s="92">
        <v>-1</v>
      </c>
      <c r="M24" s="92">
        <v>0</v>
      </c>
      <c r="N24" s="92">
        <v>0</v>
      </c>
      <c r="O24" s="92">
        <v>-1</v>
      </c>
      <c r="P24" s="1">
        <v>-1</v>
      </c>
      <c r="Q24" s="1">
        <v>-1</v>
      </c>
      <c r="R24" s="92">
        <v>0</v>
      </c>
      <c r="S24" s="92">
        <v>-1</v>
      </c>
      <c r="T24" s="96" t="s">
        <v>1935</v>
      </c>
      <c r="U24" s="92">
        <v>1</v>
      </c>
      <c r="V24" s="92">
        <v>0</v>
      </c>
      <c r="W24" s="92">
        <v>-1</v>
      </c>
    </row>
    <row r="25" spans="1:23" s="12" customFormat="1" x14ac:dyDescent="0.25">
      <c r="A25" s="12">
        <v>1211</v>
      </c>
      <c r="B25" s="12" t="s">
        <v>1936</v>
      </c>
      <c r="C25" s="12" t="s">
        <v>1937</v>
      </c>
      <c r="D25" s="1" t="s">
        <v>1938</v>
      </c>
      <c r="E25" s="96">
        <v>400000</v>
      </c>
      <c r="F25" s="12" t="s">
        <v>1939</v>
      </c>
      <c r="G25" s="12">
        <v>8</v>
      </c>
      <c r="J25" s="12">
        <v>1</v>
      </c>
      <c r="K25" s="12" t="s">
        <v>1824</v>
      </c>
      <c r="L25" s="12">
        <v>-1</v>
      </c>
      <c r="M25" s="12">
        <v>0</v>
      </c>
      <c r="N25" s="12">
        <v>0</v>
      </c>
      <c r="O25" s="12">
        <v>-1</v>
      </c>
      <c r="P25" s="1">
        <v>-1</v>
      </c>
      <c r="Q25" s="1">
        <v>-1</v>
      </c>
      <c r="R25" s="12">
        <v>0</v>
      </c>
      <c r="S25" s="12">
        <v>-1</v>
      </c>
      <c r="T25" s="96" t="s">
        <v>1935</v>
      </c>
      <c r="U25" s="12">
        <v>1</v>
      </c>
      <c r="V25" s="12">
        <v>0</v>
      </c>
      <c r="W25" s="12">
        <v>999</v>
      </c>
    </row>
    <row r="26" spans="1:23" x14ac:dyDescent="0.25">
      <c r="A26" s="1">
        <v>1205</v>
      </c>
      <c r="B26" s="1" t="s">
        <v>1940</v>
      </c>
      <c r="C26" s="1" t="s">
        <v>1941</v>
      </c>
      <c r="D26" s="1" t="s">
        <v>1942</v>
      </c>
      <c r="E26" s="96">
        <v>800000</v>
      </c>
      <c r="F26" s="1" t="s">
        <v>1939</v>
      </c>
      <c r="G26" s="1">
        <v>8</v>
      </c>
      <c r="J26" s="1">
        <v>2</v>
      </c>
      <c r="K26" s="1" t="s">
        <v>1824</v>
      </c>
      <c r="L26" s="1">
        <v>-1</v>
      </c>
      <c r="M26" s="1">
        <v>0</v>
      </c>
      <c r="N26" s="1">
        <v>0</v>
      </c>
      <c r="O26" s="1">
        <v>-1</v>
      </c>
      <c r="P26" s="1">
        <v>-1</v>
      </c>
      <c r="Q26" s="1">
        <v>-1</v>
      </c>
      <c r="R26" s="1">
        <v>0</v>
      </c>
      <c r="S26" s="1">
        <v>-1</v>
      </c>
      <c r="T26" s="96" t="s">
        <v>1943</v>
      </c>
      <c r="U26" s="1">
        <v>1</v>
      </c>
      <c r="V26" s="1">
        <v>0</v>
      </c>
      <c r="W26" s="1">
        <v>999</v>
      </c>
    </row>
    <row r="27" spans="1:23" x14ac:dyDescent="0.25">
      <c r="A27" s="1">
        <v>1206</v>
      </c>
      <c r="B27" s="1" t="s">
        <v>1944</v>
      </c>
      <c r="C27" s="1" t="s">
        <v>1945</v>
      </c>
      <c r="D27" s="1" t="s">
        <v>1946</v>
      </c>
      <c r="E27" s="96">
        <v>2000000</v>
      </c>
      <c r="F27" s="1" t="s">
        <v>1939</v>
      </c>
      <c r="G27" s="1">
        <v>8</v>
      </c>
      <c r="J27" s="1">
        <v>5</v>
      </c>
      <c r="K27" s="1" t="s">
        <v>1824</v>
      </c>
      <c r="L27" s="1">
        <v>-1</v>
      </c>
      <c r="M27" s="1">
        <v>0</v>
      </c>
      <c r="N27" s="1">
        <v>0</v>
      </c>
      <c r="O27" s="1">
        <v>-1</v>
      </c>
      <c r="P27" s="1">
        <v>-1</v>
      </c>
      <c r="Q27" s="1">
        <v>-1</v>
      </c>
      <c r="R27" s="1">
        <v>0</v>
      </c>
      <c r="S27" s="1">
        <v>-1</v>
      </c>
      <c r="T27" s="96" t="s">
        <v>914</v>
      </c>
      <c r="U27" s="1">
        <v>1</v>
      </c>
      <c r="V27" s="1">
        <v>0</v>
      </c>
      <c r="W27" s="1">
        <v>999</v>
      </c>
    </row>
    <row r="28" spans="1:23" x14ac:dyDescent="0.25">
      <c r="A28" s="1">
        <v>1212</v>
      </c>
      <c r="B28" s="1" t="s">
        <v>1947</v>
      </c>
      <c r="C28" s="1" t="s">
        <v>1948</v>
      </c>
      <c r="D28" s="1" t="s">
        <v>1949</v>
      </c>
      <c r="E28" s="96">
        <v>4000000</v>
      </c>
      <c r="F28" s="1" t="s">
        <v>1939</v>
      </c>
      <c r="G28" s="1">
        <v>8</v>
      </c>
      <c r="J28" s="1">
        <v>10</v>
      </c>
      <c r="K28" s="1" t="s">
        <v>1824</v>
      </c>
      <c r="L28" s="1">
        <v>-1</v>
      </c>
      <c r="M28" s="1">
        <v>0</v>
      </c>
      <c r="N28" s="1">
        <v>0</v>
      </c>
      <c r="O28" s="1">
        <v>-1</v>
      </c>
      <c r="P28" s="1">
        <v>-1</v>
      </c>
      <c r="Q28" s="1">
        <v>-1</v>
      </c>
      <c r="R28" s="1">
        <v>0</v>
      </c>
      <c r="S28" s="1">
        <v>-1</v>
      </c>
      <c r="T28" s="96" t="s">
        <v>1950</v>
      </c>
      <c r="U28" s="1">
        <v>1</v>
      </c>
      <c r="V28" s="1">
        <v>0</v>
      </c>
      <c r="W28" s="1">
        <v>999</v>
      </c>
    </row>
    <row r="29" spans="1:23" x14ac:dyDescent="0.25">
      <c r="A29" s="1">
        <v>1209</v>
      </c>
      <c r="B29" s="1" t="s">
        <v>1951</v>
      </c>
      <c r="C29" s="1" t="s">
        <v>1952</v>
      </c>
      <c r="D29" s="1" t="s">
        <v>1666</v>
      </c>
      <c r="E29" s="96">
        <v>12000000</v>
      </c>
      <c r="F29" s="1" t="s">
        <v>1939</v>
      </c>
      <c r="G29" s="1">
        <v>8</v>
      </c>
      <c r="J29" s="1">
        <v>30</v>
      </c>
      <c r="K29" s="1" t="s">
        <v>1824</v>
      </c>
      <c r="L29" s="1">
        <v>-1</v>
      </c>
      <c r="M29" s="1">
        <v>0</v>
      </c>
      <c r="N29" s="1">
        <v>0</v>
      </c>
      <c r="O29" s="1">
        <v>-1</v>
      </c>
      <c r="P29" s="1">
        <v>-1</v>
      </c>
      <c r="Q29" s="1">
        <v>-1</v>
      </c>
      <c r="R29" s="1">
        <v>0</v>
      </c>
      <c r="S29" s="1">
        <v>-1</v>
      </c>
      <c r="T29" s="96" t="s">
        <v>1953</v>
      </c>
      <c r="U29" s="1">
        <v>1</v>
      </c>
      <c r="V29" s="1">
        <v>0</v>
      </c>
      <c r="W29" s="1">
        <v>999</v>
      </c>
    </row>
    <row r="30" spans="1:23" x14ac:dyDescent="0.25">
      <c r="A30" s="1">
        <v>1210</v>
      </c>
      <c r="B30" s="1" t="s">
        <v>1954</v>
      </c>
      <c r="C30" s="1" t="s">
        <v>1955</v>
      </c>
      <c r="D30" s="1" t="s">
        <v>1667</v>
      </c>
      <c r="E30" s="96">
        <v>20000000</v>
      </c>
      <c r="F30" s="1" t="s">
        <v>1939</v>
      </c>
      <c r="G30" s="1">
        <v>8</v>
      </c>
      <c r="J30" s="1">
        <v>50</v>
      </c>
      <c r="K30" s="1" t="s">
        <v>1824</v>
      </c>
      <c r="L30" s="1">
        <v>-1</v>
      </c>
      <c r="M30" s="1">
        <v>0</v>
      </c>
      <c r="N30" s="1">
        <v>0</v>
      </c>
      <c r="O30" s="1">
        <v>-1</v>
      </c>
      <c r="P30" s="1">
        <v>-1</v>
      </c>
      <c r="Q30" s="1">
        <v>-1</v>
      </c>
      <c r="R30" s="1">
        <v>0</v>
      </c>
      <c r="S30" s="1">
        <v>-1</v>
      </c>
      <c r="T30" s="96" t="s">
        <v>940</v>
      </c>
      <c r="U30" s="1">
        <v>1</v>
      </c>
      <c r="V30" s="1">
        <v>0</v>
      </c>
      <c r="W30" s="1">
        <v>999</v>
      </c>
    </row>
    <row r="31" spans="1:23" x14ac:dyDescent="0.25">
      <c r="A31" s="1">
        <v>1600</v>
      </c>
      <c r="B31" s="1" t="s">
        <v>1956</v>
      </c>
      <c r="C31" s="1" t="s">
        <v>1957</v>
      </c>
      <c r="D31" s="1" t="s">
        <v>1958</v>
      </c>
      <c r="E31" s="96">
        <v>0</v>
      </c>
      <c r="F31" s="1" t="s">
        <v>1959</v>
      </c>
      <c r="G31" s="1">
        <v>12</v>
      </c>
      <c r="J31" s="1">
        <v>0</v>
      </c>
      <c r="K31" s="1">
        <v>6</v>
      </c>
      <c r="L31" s="1">
        <v>-1</v>
      </c>
      <c r="M31" s="1">
        <v>0</v>
      </c>
      <c r="N31" s="1">
        <v>0</v>
      </c>
      <c r="O31" s="1">
        <v>-1</v>
      </c>
      <c r="P31" s="1">
        <v>-1</v>
      </c>
      <c r="Q31" s="1">
        <v>-1</v>
      </c>
      <c r="R31" s="1">
        <v>0</v>
      </c>
      <c r="S31" s="1">
        <v>-1</v>
      </c>
      <c r="T31" s="96"/>
      <c r="U31" s="1">
        <v>-1</v>
      </c>
      <c r="V31" s="1">
        <v>0</v>
      </c>
      <c r="W31" s="1">
        <v>-1</v>
      </c>
    </row>
    <row r="32" spans="1:23" x14ac:dyDescent="0.25">
      <c r="A32" s="1">
        <v>1601</v>
      </c>
      <c r="B32" s="1" t="s">
        <v>1960</v>
      </c>
      <c r="C32" s="1" t="s">
        <v>1961</v>
      </c>
      <c r="D32" s="1" t="s">
        <v>1962</v>
      </c>
      <c r="E32" s="96">
        <v>0</v>
      </c>
      <c r="F32" s="1" t="s">
        <v>1963</v>
      </c>
      <c r="G32" s="1">
        <v>12</v>
      </c>
      <c r="J32" s="1">
        <v>0</v>
      </c>
      <c r="K32" s="1">
        <v>6</v>
      </c>
      <c r="L32" s="1">
        <v>-1</v>
      </c>
      <c r="M32" s="1">
        <v>0</v>
      </c>
      <c r="N32" s="1">
        <v>0</v>
      </c>
      <c r="O32" s="1">
        <v>-1</v>
      </c>
      <c r="P32" s="1">
        <v>-1</v>
      </c>
      <c r="Q32" s="1">
        <v>-1</v>
      </c>
      <c r="R32" s="1">
        <v>0</v>
      </c>
      <c r="S32" s="1">
        <v>-1</v>
      </c>
      <c r="T32" s="96"/>
      <c r="U32" s="1">
        <v>-1</v>
      </c>
      <c r="V32" s="1">
        <v>0</v>
      </c>
      <c r="W32" s="1">
        <v>-1</v>
      </c>
    </row>
    <row r="33" spans="1:23" x14ac:dyDescent="0.35">
      <c r="A33" s="1">
        <v>1603</v>
      </c>
      <c r="B33" s="1" t="s">
        <v>1964</v>
      </c>
      <c r="C33" s="95" t="s">
        <v>1965</v>
      </c>
      <c r="D33" s="1" t="s">
        <v>1966</v>
      </c>
      <c r="E33" s="1">
        <f>R33*20000*0.96</f>
        <v>960000</v>
      </c>
      <c r="F33" s="95" t="s">
        <v>1967</v>
      </c>
      <c r="G33" s="1">
        <v>12</v>
      </c>
      <c r="J33" s="1">
        <v>0</v>
      </c>
      <c r="K33" s="1">
        <v>2</v>
      </c>
      <c r="L33" s="1">
        <v>-1</v>
      </c>
      <c r="M33" s="1">
        <v>0</v>
      </c>
      <c r="N33" s="1">
        <v>0</v>
      </c>
      <c r="O33" s="1">
        <v>-1</v>
      </c>
      <c r="P33" s="1">
        <v>-1</v>
      </c>
      <c r="Q33" s="1">
        <v>-1</v>
      </c>
      <c r="R33" s="1">
        <v>50</v>
      </c>
      <c r="S33" s="1">
        <v>1</v>
      </c>
      <c r="U33" s="1">
        <v>-1</v>
      </c>
      <c r="V33" s="1">
        <v>0</v>
      </c>
      <c r="W33" s="1">
        <v>-1</v>
      </c>
    </row>
  </sheetData>
  <phoneticPr fontId="57" type="noConversion"/>
  <conditionalFormatting sqref="C7">
    <cfRule type="containsText" dxfId="232" priority="165" operator="containsText" text=" ">
      <formula>NOT(ISERROR(SEARCH(" ",C7)))</formula>
    </cfRule>
  </conditionalFormatting>
  <conditionalFormatting sqref="D7">
    <cfRule type="containsText" dxfId="231" priority="38" operator="containsText" text=" ">
      <formula>NOT(ISERROR(SEARCH(" ",D7)))</formula>
    </cfRule>
  </conditionalFormatting>
  <conditionalFormatting sqref="B8">
    <cfRule type="containsText" dxfId="230" priority="61" operator="containsText" text=" ">
      <formula>NOT(ISERROR(SEARCH(" ",B8)))</formula>
    </cfRule>
  </conditionalFormatting>
  <conditionalFormatting sqref="B9">
    <cfRule type="containsText" dxfId="229" priority="59" operator="containsText" text=" ">
      <formula>NOT(ISERROR(SEARCH(" ",B9)))</formula>
    </cfRule>
  </conditionalFormatting>
  <conditionalFormatting sqref="D9">
    <cfRule type="containsText" dxfId="228" priority="37" operator="containsText" text=" ">
      <formula>NOT(ISERROR(SEARCH(" ",D9)))</formula>
    </cfRule>
  </conditionalFormatting>
  <conditionalFormatting sqref="B10">
    <cfRule type="containsText" dxfId="227" priority="56" operator="containsText" text=" ">
      <formula>NOT(ISERROR(SEARCH(" ",B10)))</formula>
    </cfRule>
  </conditionalFormatting>
  <conditionalFormatting sqref="D10">
    <cfRule type="containsText" dxfId="226" priority="36" operator="containsText" text=" ">
      <formula>NOT(ISERROR(SEARCH(" ",D10)))</formula>
    </cfRule>
  </conditionalFormatting>
  <conditionalFormatting sqref="T10">
    <cfRule type="containsText" dxfId="225" priority="141" operator="containsText" text=" ">
      <formula>NOT(ISERROR(SEARCH(" ",T10)))</formula>
    </cfRule>
  </conditionalFormatting>
  <conditionalFormatting sqref="U10">
    <cfRule type="containsText" dxfId="224" priority="140" operator="containsText" text=" ">
      <formula>NOT(ISERROR(SEARCH(" ",U10)))</formula>
    </cfRule>
  </conditionalFormatting>
  <conditionalFormatting sqref="B11">
    <cfRule type="containsText" dxfId="223" priority="22" operator="containsText" text=" ">
      <formula>NOT(ISERROR(SEARCH(" ",B11)))</formula>
    </cfRule>
  </conditionalFormatting>
  <conditionalFormatting sqref="C11">
    <cfRule type="containsText" dxfId="222" priority="19" operator="containsText" text=" ">
      <formula>NOT(ISERROR(SEARCH(" ",C11)))</formula>
    </cfRule>
  </conditionalFormatting>
  <conditionalFormatting sqref="D11">
    <cfRule type="containsText" dxfId="221" priority="21" operator="containsText" text=" ">
      <formula>NOT(ISERROR(SEARCH(" ",D11)))</formula>
    </cfRule>
  </conditionalFormatting>
  <conditionalFormatting sqref="E11">
    <cfRule type="containsText" dxfId="220" priority="20" operator="containsText" text=" ">
      <formula>NOT(ISERROR(SEARCH(" ",E11)))</formula>
    </cfRule>
  </conditionalFormatting>
  <conditionalFormatting sqref="M11">
    <cfRule type="containsText" dxfId="219" priority="25" operator="containsText" text=" ">
      <formula>NOT(ISERROR(SEARCH(" ",M11)))</formula>
    </cfRule>
  </conditionalFormatting>
  <conditionalFormatting sqref="T11">
    <cfRule type="containsText" dxfId="218" priority="24" operator="containsText" text=" ">
      <formula>NOT(ISERROR(SEARCH(" ",T11)))</formula>
    </cfRule>
  </conditionalFormatting>
  <conditionalFormatting sqref="U11">
    <cfRule type="containsText" dxfId="217" priority="23" operator="containsText" text=" ">
      <formula>NOT(ISERROR(SEARCH(" ",U11)))</formula>
    </cfRule>
  </conditionalFormatting>
  <conditionalFormatting sqref="L16">
    <cfRule type="containsText" dxfId="216" priority="8" operator="containsText" text=" ">
      <formula>NOT(ISERROR(SEARCH(" ",L16)))</formula>
    </cfRule>
  </conditionalFormatting>
  <conditionalFormatting sqref="N16:O16">
    <cfRule type="containsText" dxfId="215" priority="10" operator="containsText" text=" ">
      <formula>NOT(ISERROR(SEARCH(" ",N16)))</formula>
    </cfRule>
  </conditionalFormatting>
  <conditionalFormatting sqref="B22">
    <cfRule type="containsText" dxfId="214" priority="14" operator="containsText" text=" ">
      <formula>NOT(ISERROR(SEARCH(" ",B22)))</formula>
    </cfRule>
  </conditionalFormatting>
  <conditionalFormatting sqref="D22">
    <cfRule type="containsText" dxfId="213" priority="13" operator="containsText" text=" ">
      <formula>NOT(ISERROR(SEARCH(" ",D22)))</formula>
    </cfRule>
  </conditionalFormatting>
  <conditionalFormatting sqref="E22">
    <cfRule type="containsText" dxfId="212" priority="12" operator="containsText" text=" ">
      <formula>NOT(ISERROR(SEARCH(" ",E22)))</formula>
    </cfRule>
  </conditionalFormatting>
  <conditionalFormatting sqref="M22">
    <cfRule type="containsText" dxfId="211" priority="17" operator="containsText" text=" ">
      <formula>NOT(ISERROR(SEARCH(" ",M22)))</formula>
    </cfRule>
  </conditionalFormatting>
  <conditionalFormatting sqref="T22">
    <cfRule type="containsText" dxfId="210" priority="16" operator="containsText" text=" ">
      <formula>NOT(ISERROR(SEARCH(" ",T22)))</formula>
    </cfRule>
  </conditionalFormatting>
  <conditionalFormatting sqref="U22">
    <cfRule type="containsText" dxfId="209" priority="15" operator="containsText" text=" ">
      <formula>NOT(ISERROR(SEARCH(" ",U22)))</formula>
    </cfRule>
  </conditionalFormatting>
  <conditionalFormatting sqref="B24">
    <cfRule type="containsText" dxfId="208" priority="53" operator="containsText" text=" ">
      <formula>NOT(ISERROR(SEARCH(" ",B24)))</formula>
    </cfRule>
  </conditionalFormatting>
  <conditionalFormatting sqref="E24">
    <cfRule type="containsText" dxfId="207" priority="27" operator="containsText" text=" ">
      <formula>NOT(ISERROR(SEARCH(" ",E24)))</formula>
    </cfRule>
  </conditionalFormatting>
  <conditionalFormatting sqref="M24">
    <cfRule type="containsText" dxfId="206" priority="70" operator="containsText" text=" ">
      <formula>NOT(ISERROR(SEARCH(" ",M24)))</formula>
    </cfRule>
  </conditionalFormatting>
  <conditionalFormatting sqref="T24">
    <cfRule type="containsText" dxfId="205" priority="68" operator="containsText" text=" ">
      <formula>NOT(ISERROR(SEARCH(" ",T24)))</formula>
    </cfRule>
  </conditionalFormatting>
  <conditionalFormatting sqref="U24">
    <cfRule type="containsText" dxfId="204" priority="67" operator="containsText" text=" ">
      <formula>NOT(ISERROR(SEARCH(" ",U24)))</formula>
    </cfRule>
  </conditionalFormatting>
  <conditionalFormatting sqref="B25">
    <cfRule type="containsText" dxfId="203" priority="55" operator="containsText" text=" ">
      <formula>NOT(ISERROR(SEARCH(" ",B25)))</formula>
    </cfRule>
  </conditionalFormatting>
  <conditionalFormatting sqref="C25">
    <cfRule type="containsText" dxfId="202" priority="113" operator="containsText" text=" ">
      <formula>NOT(ISERROR(SEARCH(" ",C25)))</formula>
    </cfRule>
  </conditionalFormatting>
  <conditionalFormatting sqref="E25">
    <cfRule type="containsText" dxfId="201" priority="30" operator="containsText" text=" ">
      <formula>NOT(ISERROR(SEARCH(" ",E25)))</formula>
    </cfRule>
  </conditionalFormatting>
  <conditionalFormatting sqref="F25">
    <cfRule type="containsText" dxfId="200" priority="112" operator="containsText" text=" ">
      <formula>NOT(ISERROR(SEARCH(" ",F25)))</formula>
    </cfRule>
  </conditionalFormatting>
  <conditionalFormatting sqref="K25">
    <cfRule type="containsText" dxfId="199" priority="109" operator="containsText" text=" ">
      <formula>NOT(ISERROR(SEARCH(" ",K25)))</formula>
    </cfRule>
  </conditionalFormatting>
  <conditionalFormatting sqref="M25">
    <cfRule type="containsText" dxfId="198" priority="115" operator="containsText" text=" ">
      <formula>NOT(ISERROR(SEARCH(" ",M25)))</formula>
    </cfRule>
  </conditionalFormatting>
  <conditionalFormatting sqref="T25">
    <cfRule type="containsText" dxfId="197" priority="65" operator="containsText" text=" ">
      <formula>NOT(ISERROR(SEARCH(" ",T25)))</formula>
    </cfRule>
  </conditionalFormatting>
  <conditionalFormatting sqref="U25">
    <cfRule type="containsText" dxfId="196" priority="110" operator="containsText" text=" ">
      <formula>NOT(ISERROR(SEARCH(" ",U25)))</formula>
    </cfRule>
  </conditionalFormatting>
  <conditionalFormatting sqref="W25">
    <cfRule type="containsText" dxfId="195" priority="108" operator="containsText" text=" ">
      <formula>NOT(ISERROR(SEARCH(" ",W25)))</formula>
    </cfRule>
  </conditionalFormatting>
  <conditionalFormatting sqref="K26">
    <cfRule type="containsText" dxfId="194" priority="122" operator="containsText" text=" ">
      <formula>NOT(ISERROR(SEARCH(" ",K26)))</formula>
    </cfRule>
  </conditionalFormatting>
  <conditionalFormatting sqref="K27">
    <cfRule type="containsText" dxfId="193" priority="121" operator="containsText" text=" ">
      <formula>NOT(ISERROR(SEARCH(" ",K27)))</formula>
    </cfRule>
  </conditionalFormatting>
  <conditionalFormatting sqref="C28">
    <cfRule type="containsText" dxfId="192" priority="76" operator="containsText" text=" ">
      <formula>NOT(ISERROR(SEARCH(" ",C28)))</formula>
    </cfRule>
  </conditionalFormatting>
  <conditionalFormatting sqref="E28">
    <cfRule type="containsText" dxfId="191" priority="31" operator="containsText" text=" ">
      <formula>NOT(ISERROR(SEARCH(" ",E28)))</formula>
    </cfRule>
  </conditionalFormatting>
  <conditionalFormatting sqref="F28">
    <cfRule type="containsText" dxfId="190" priority="75" operator="containsText" text=" ">
      <formula>NOT(ISERROR(SEARCH(" ",F28)))</formula>
    </cfRule>
  </conditionalFormatting>
  <conditionalFormatting sqref="K28">
    <cfRule type="containsText" dxfId="189" priority="72" operator="containsText" text=" ">
      <formula>NOT(ISERROR(SEARCH(" ",K28)))</formula>
    </cfRule>
  </conditionalFormatting>
  <conditionalFormatting sqref="M28">
    <cfRule type="containsText" dxfId="188" priority="78" operator="containsText" text=" ">
      <formula>NOT(ISERROR(SEARCH(" ",M28)))</formula>
    </cfRule>
  </conditionalFormatting>
  <conditionalFormatting sqref="T28">
    <cfRule type="containsText" dxfId="187" priority="74" operator="containsText" text=" ">
      <formula>NOT(ISERROR(SEARCH(" ",T28)))</formula>
    </cfRule>
  </conditionalFormatting>
  <conditionalFormatting sqref="U28">
    <cfRule type="containsText" dxfId="186" priority="73" operator="containsText" text=" ">
      <formula>NOT(ISERROR(SEARCH(" ",U28)))</formula>
    </cfRule>
  </conditionalFormatting>
  <conditionalFormatting sqref="W28">
    <cfRule type="containsText" dxfId="185" priority="71" operator="containsText" text=" ">
      <formula>NOT(ISERROR(SEARCH(" ",W28)))</formula>
    </cfRule>
  </conditionalFormatting>
  <conditionalFormatting sqref="E29">
    <cfRule type="containsText" dxfId="184" priority="29" operator="containsText" text=" ">
      <formula>NOT(ISERROR(SEARCH(" ",E29)))</formula>
    </cfRule>
  </conditionalFormatting>
  <conditionalFormatting sqref="K29">
    <cfRule type="containsText" dxfId="183" priority="120" operator="containsText" text=" ">
      <formula>NOT(ISERROR(SEARCH(" ",K29)))</formula>
    </cfRule>
  </conditionalFormatting>
  <conditionalFormatting sqref="T29">
    <cfRule type="containsText" dxfId="182" priority="64" operator="containsText" text=" ">
      <formula>NOT(ISERROR(SEARCH(" ",T29)))</formula>
    </cfRule>
  </conditionalFormatting>
  <conditionalFormatting sqref="E30">
    <cfRule type="containsText" dxfId="181" priority="28" operator="containsText" text=" ">
      <formula>NOT(ISERROR(SEARCH(" ",E30)))</formula>
    </cfRule>
  </conditionalFormatting>
  <conditionalFormatting sqref="K30">
    <cfRule type="containsText" dxfId="180" priority="119" operator="containsText" text=" ">
      <formula>NOT(ISERROR(SEARCH(" ",K30)))</formula>
    </cfRule>
  </conditionalFormatting>
  <conditionalFormatting sqref="T30">
    <cfRule type="containsText" dxfId="179" priority="63" operator="containsText" text=" ">
      <formula>NOT(ISERROR(SEARCH(" ",T30)))</formula>
    </cfRule>
  </conditionalFormatting>
  <conditionalFormatting sqref="K31">
    <cfRule type="containsText" dxfId="178" priority="90" operator="containsText" text=" ">
      <formula>NOT(ISERROR(SEARCH(" ",K31)))</formula>
    </cfRule>
  </conditionalFormatting>
  <conditionalFormatting sqref="G32:K32">
    <cfRule type="containsText" dxfId="177" priority="99" operator="containsText" text=" ">
      <formula>NOT(ISERROR(SEARCH(" ",G32)))</formula>
    </cfRule>
  </conditionalFormatting>
  <conditionalFormatting sqref="L32">
    <cfRule type="containsText" dxfId="176" priority="96" operator="containsText" text=" ">
      <formula>NOT(ISERROR(SEARCH(" ",L32)))</formula>
    </cfRule>
  </conditionalFormatting>
  <conditionalFormatting sqref="N32">
    <cfRule type="containsText" dxfId="175" priority="95" operator="containsText" text=" ">
      <formula>NOT(ISERROR(SEARCH(" ",N32)))</formula>
    </cfRule>
  </conditionalFormatting>
  <conditionalFormatting sqref="O32">
    <cfRule type="containsText" dxfId="174" priority="94" operator="containsText" text=" ">
      <formula>NOT(ISERROR(SEARCH(" ",O32)))</formula>
    </cfRule>
  </conditionalFormatting>
  <conditionalFormatting sqref="P33:Q33">
    <cfRule type="containsText" dxfId="173" priority="2" operator="containsText" text=" ">
      <formula>NOT(ISERROR(SEARCH(" ",P33)))</formula>
    </cfRule>
  </conditionalFormatting>
  <conditionalFormatting sqref="W33">
    <cfRule type="containsText" dxfId="172" priority="1" operator="containsText" text=" ">
      <formula>NOT(ISERROR(SEARCH(" ",W33)))</formula>
    </cfRule>
  </conditionalFormatting>
  <conditionalFormatting sqref="C26:C27">
    <cfRule type="containsText" dxfId="171" priority="159" operator="containsText" text=" ">
      <formula>NOT(ISERROR(SEARCH(" ",C26)))</formula>
    </cfRule>
  </conditionalFormatting>
  <conditionalFormatting sqref="C29:C30">
    <cfRule type="containsText" dxfId="170" priority="144" operator="containsText" text=" ">
      <formula>NOT(ISERROR(SEARCH(" ",C29)))</formula>
    </cfRule>
  </conditionalFormatting>
  <conditionalFormatting sqref="E1:E3">
    <cfRule type="containsText" dxfId="169" priority="35" operator="containsText" text=" ">
      <formula>NOT(ISERROR(SEARCH(" ",E1)))</formula>
    </cfRule>
  </conditionalFormatting>
  <conditionalFormatting sqref="E5:E10">
    <cfRule type="containsText" dxfId="168" priority="34" operator="containsText" text=" ">
      <formula>NOT(ISERROR(SEARCH(" ",E5)))</formula>
    </cfRule>
  </conditionalFormatting>
  <conditionalFormatting sqref="F26:F27">
    <cfRule type="containsText" dxfId="167" priority="158" operator="containsText" text=" ">
      <formula>NOT(ISERROR(SEARCH(" ",F26)))</formula>
    </cfRule>
  </conditionalFormatting>
  <conditionalFormatting sqref="F29:F30">
    <cfRule type="containsText" dxfId="166" priority="148" operator="containsText" text=" ">
      <formula>NOT(ISERROR(SEARCH(" ",F29)))</formula>
    </cfRule>
  </conditionalFormatting>
  <conditionalFormatting sqref="M31:M32">
    <cfRule type="containsText" dxfId="165" priority="98" operator="containsText" text=" ">
      <formula>NOT(ISERROR(SEARCH(" ",M31)))</formula>
    </cfRule>
  </conditionalFormatting>
  <conditionalFormatting sqref="Q1:Q3">
    <cfRule type="containsText" dxfId="164" priority="7" operator="containsText" text=" ">
      <formula>NOT(ISERROR(SEARCH(" ",Q1)))</formula>
    </cfRule>
  </conditionalFormatting>
  <conditionalFormatting sqref="T31:T32">
    <cfRule type="containsText" dxfId="163" priority="92" operator="containsText" text=" ">
      <formula>NOT(ISERROR(SEARCH(" ",T31)))</formula>
    </cfRule>
  </conditionalFormatting>
  <conditionalFormatting sqref="U29:U30">
    <cfRule type="containsText" dxfId="162" priority="118" operator="containsText" text=" ">
      <formula>NOT(ISERROR(SEARCH(" ",U29)))</formula>
    </cfRule>
  </conditionalFormatting>
  <conditionalFormatting sqref="U31:U32">
    <cfRule type="containsText" dxfId="161" priority="91" operator="containsText" text=" ">
      <formula>NOT(ISERROR(SEARCH(" ",U31)))</formula>
    </cfRule>
  </conditionalFormatting>
  <conditionalFormatting sqref="W26:W27">
    <cfRule type="containsText" dxfId="160" priority="117" operator="containsText" text=" ">
      <formula>NOT(ISERROR(SEARCH(" ",W26)))</formula>
    </cfRule>
  </conditionalFormatting>
  <conditionalFormatting sqref="W29:W30">
    <cfRule type="containsText" dxfId="159" priority="116" operator="containsText" text=" ">
      <formula>NOT(ISERROR(SEARCH(" ",W29)))</formula>
    </cfRule>
  </conditionalFormatting>
  <conditionalFormatting sqref="A1:C4 C5:C6 A5:A8 C8 C31:C32 F1:P2 F3:I3 V1:XFD8 K3:P3 V34:XFD1048576 R12:S15 F31:F32 F12:K15 R1:S3 F4:S5 F6:O8 R6:S8 P6:Q11 P21:Q32 A34:S1048576 A31:A33 X33:XFD33">
    <cfRule type="containsText" dxfId="158" priority="168" operator="containsText" text=" ">
      <formula>NOT(ISERROR(SEARCH(" ",A1)))</formula>
    </cfRule>
  </conditionalFormatting>
  <conditionalFormatting sqref="D1:D6 D8 E4">
    <cfRule type="containsText" dxfId="157" priority="39" operator="containsText" text=" ">
      <formula>NOT(ISERROR(SEARCH(" ",D1)))</formula>
    </cfRule>
  </conditionalFormatting>
  <conditionalFormatting sqref="T1:T2 T34:T1048576 T5:T9">
    <cfRule type="containsText" dxfId="156" priority="153" operator="containsText" text=" ">
      <formula>NOT(ISERROR(SEARCH(" ",T1)))</formula>
    </cfRule>
  </conditionalFormatting>
  <conditionalFormatting sqref="U1:U9 U34:U1048576">
    <cfRule type="containsText" dxfId="155" priority="152" operator="containsText" text=" ">
      <formula>NOT(ISERROR(SEARCH(" ",U1)))</formula>
    </cfRule>
  </conditionalFormatting>
  <conditionalFormatting sqref="A29:A30 T3 M29:M30 T26:U27 M26:M27">
    <cfRule type="containsText" dxfId="154" priority="151" operator="containsText" text=" ">
      <formula>NOT(ISERROR(SEARCH(" ",A3)))</formula>
    </cfRule>
  </conditionalFormatting>
  <conditionalFormatting sqref="J3 X31:XFD32">
    <cfRule type="containsText" dxfId="153" priority="167" operator="containsText" text=" ">
      <formula>NOT(ISERROR(SEARCH(" ",J3)))</formula>
    </cfRule>
  </conditionalFormatting>
  <conditionalFormatting sqref="B5:B6 B31:B32">
    <cfRule type="containsText" dxfId="152" priority="62" operator="containsText" text=" ">
      <formula>NOT(ISERROR(SEARCH(" ",B5)))</formula>
    </cfRule>
  </conditionalFormatting>
  <conditionalFormatting sqref="B7 T12:XFD15 T23:U23 M12:M15 A12:E15 D31:E32 D23:D30 M23 A17:O21 R17:XFD21">
    <cfRule type="containsText" dxfId="151" priority="60" operator="containsText" text=" ">
      <formula>NOT(ISERROR(SEARCH(" ",A7)))</formula>
    </cfRule>
  </conditionalFormatting>
  <conditionalFormatting sqref="C9 F9:O9 A9 N12:O15 L12:L15 V9:XFD9 R9:S9">
    <cfRule type="containsText" dxfId="150" priority="163" operator="containsText" text=" ">
      <formula>NOT(ISERROR(SEARCH(" ",A9)))</formula>
    </cfRule>
  </conditionalFormatting>
  <conditionalFormatting sqref="C10 F10:O10 A10 V10:XFD10 R10:S10">
    <cfRule type="containsText" dxfId="149" priority="143" operator="containsText" text=" ">
      <formula>NOT(ISERROR(SEARCH(" ",A10)))</formula>
    </cfRule>
  </conditionalFormatting>
  <conditionalFormatting sqref="A11 F11:L11 V11:XFD11 N11:O11 R11:S11">
    <cfRule type="containsText" dxfId="148" priority="26" operator="containsText" text=" ">
      <formula>NOT(ISERROR(SEARCH(" ",A11)))</formula>
    </cfRule>
  </conditionalFormatting>
  <conditionalFormatting sqref="P12:Q20">
    <cfRule type="containsText" dxfId="147" priority="6" operator="containsText" text=" ">
      <formula>NOT(ISERROR(SEARCH(" ",P12)))</formula>
    </cfRule>
  </conditionalFormatting>
  <conditionalFormatting sqref="T16:XFD16 M16 A16:E16">
    <cfRule type="containsText" dxfId="146" priority="9" operator="containsText" text=" ">
      <formula>NOT(ISERROR(SEARCH(" ",A16)))</formula>
    </cfRule>
  </conditionalFormatting>
  <conditionalFormatting sqref="R16:S16 F16:K16">
    <cfRule type="containsText" dxfId="145" priority="11" operator="containsText" text=" ">
      <formula>NOT(ISERROR(SEARCH(" ",F16)))</formula>
    </cfRule>
  </conditionalFormatting>
  <conditionalFormatting sqref="C22 A22 F22:L22 V22:XFD22 N22:O22 R22:S22">
    <cfRule type="containsText" dxfId="144" priority="18" operator="containsText" text=" ">
      <formula>NOT(ISERROR(SEARCH(" ",A22)))</formula>
    </cfRule>
  </conditionalFormatting>
  <conditionalFormatting sqref="A23 A26:A27 C23 F23:L23 V23:XFD23 N26:O27 V26:V27 X26:XFD27 L26:L27 G26:J27 N23:O23 R23:S23 R26:S27">
    <cfRule type="containsText" dxfId="143" priority="161" operator="containsText" text=" ">
      <formula>NOT(ISERROR(SEARCH(" ",A23)))</formula>
    </cfRule>
  </conditionalFormatting>
  <conditionalFormatting sqref="B23 B26:B30">
    <cfRule type="containsText" dxfId="142" priority="58" operator="containsText" text=" ">
      <formula>NOT(ISERROR(SEARCH(" ",B23)))</formula>
    </cfRule>
  </conditionalFormatting>
  <conditionalFormatting sqref="E26:E27 E23">
    <cfRule type="containsText" dxfId="141" priority="33" operator="containsText" text=" ">
      <formula>NOT(ISERROR(SEARCH(" ",E23)))</formula>
    </cfRule>
  </conditionalFormatting>
  <conditionalFormatting sqref="A24 C24 F24:L24 N24:O24 V24:XFD24 R24:S24">
    <cfRule type="containsText" dxfId="140" priority="69" operator="containsText" text=" ">
      <formula>NOT(ISERROR(SEARCH(" ",A24)))</formula>
    </cfRule>
  </conditionalFormatting>
  <conditionalFormatting sqref="A25 N25:O25 V25 X25:XFD25 L25 G25:J25 R25:S25">
    <cfRule type="containsText" dxfId="139" priority="114" operator="containsText" text=" ">
      <formula>NOT(ISERROR(SEARCH(" ",A25)))</formula>
    </cfRule>
  </conditionalFormatting>
  <conditionalFormatting sqref="A28 N28:O28 V28 X28:XFD28 L28 G28:J28 R28:S28">
    <cfRule type="containsText" dxfId="138" priority="77" operator="containsText" text=" ">
      <formula>NOT(ISERROR(SEARCH(" ",A28)))</formula>
    </cfRule>
  </conditionalFormatting>
  <conditionalFormatting sqref="V29:V30 X29:XFD30 L29:L30 G29:J30 N29:O30 R29:S30">
    <cfRule type="containsText" dxfId="137" priority="150" operator="containsText" text=" ">
      <formula>NOT(ISERROR(SEARCH(" ",G29)))</formula>
    </cfRule>
  </conditionalFormatting>
  <conditionalFormatting sqref="G31:J31 L31 N31:O31 V31:W31 R31:S31">
    <cfRule type="containsText" dxfId="136" priority="97" operator="containsText" text=" ">
      <formula>NOT(ISERROR(SEARCH(" ",G31)))</formula>
    </cfRule>
  </conditionalFormatting>
  <conditionalFormatting sqref="R32:S32 V32:W32">
    <cfRule type="containsText" dxfId="135" priority="93" operator="containsText" text=" ">
      <formula>NOT(ISERROR(SEARCH(" ",R32)))</formula>
    </cfRule>
  </conditionalFormatting>
  <conditionalFormatting sqref="T33:V33 M33 B33:E33">
    <cfRule type="containsText" dxfId="134" priority="3" operator="containsText" text=" ">
      <formula>NOT(ISERROR(SEARCH(" ",B33)))</formula>
    </cfRule>
  </conditionalFormatting>
  <conditionalFormatting sqref="R33:S33 F33:K33">
    <cfRule type="containsText" dxfId="133" priority="5" operator="containsText" text=" ">
      <formula>NOT(ISERROR(SEARCH(" ",F33)))</formula>
    </cfRule>
  </conditionalFormatting>
  <conditionalFormatting sqref="N33:O33 L33">
    <cfRule type="containsText" dxfId="132" priority="4" operator="containsText" text=" ">
      <formula>NOT(ISERROR(SEARCH(" ",L33)))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B5" sqref="B5"/>
    </sheetView>
  </sheetViews>
  <sheetFormatPr defaultColWidth="9" defaultRowHeight="15.6" x14ac:dyDescent="0.25"/>
  <cols>
    <col min="1" max="1" width="9.88671875" style="1" customWidth="1"/>
    <col min="2" max="2" width="25.21875" style="1" customWidth="1"/>
    <col min="3" max="3" width="20.77734375" style="1" customWidth="1"/>
    <col min="4" max="4" width="26.44140625" style="1" customWidth="1"/>
    <col min="5" max="5" width="17.44140625" style="1" customWidth="1"/>
    <col min="6" max="6" width="20.44140625" style="1" customWidth="1"/>
    <col min="7" max="7" width="11.88671875" style="1" customWidth="1"/>
    <col min="8" max="8" width="13.44140625" style="1" customWidth="1"/>
    <col min="9" max="9" width="10.44140625" style="1" customWidth="1"/>
    <col min="10" max="10" width="14.6640625" style="1" customWidth="1"/>
    <col min="11" max="11" width="9" style="1"/>
    <col min="12" max="12" width="14" style="1" customWidth="1"/>
    <col min="13" max="13" width="19.88671875" style="1" customWidth="1"/>
    <col min="14" max="14" width="14" style="1" customWidth="1"/>
    <col min="15" max="15" width="11.21875" style="1" customWidth="1"/>
    <col min="16" max="16" width="12" style="1" customWidth="1"/>
    <col min="17" max="16384" width="9" style="1"/>
  </cols>
  <sheetData>
    <row r="1" spans="1:17" x14ac:dyDescent="0.35">
      <c r="A1" s="2" t="s">
        <v>0</v>
      </c>
      <c r="B1" s="2" t="s">
        <v>796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85" t="s">
        <v>0</v>
      </c>
      <c r="I1" s="85" t="s">
        <v>0</v>
      </c>
      <c r="J1" s="85" t="s">
        <v>0</v>
      </c>
      <c r="K1" s="88" t="s">
        <v>0</v>
      </c>
      <c r="L1" s="88" t="s">
        <v>0</v>
      </c>
      <c r="M1" s="89" t="s">
        <v>0</v>
      </c>
      <c r="N1" s="89" t="s">
        <v>0</v>
      </c>
      <c r="O1" s="2" t="s">
        <v>0</v>
      </c>
      <c r="P1" s="2" t="s">
        <v>0</v>
      </c>
    </row>
    <row r="2" spans="1:17" x14ac:dyDescent="0.35">
      <c r="A2" s="2" t="s">
        <v>11</v>
      </c>
      <c r="B2" s="2" t="s">
        <v>12</v>
      </c>
      <c r="C2" s="2" t="s">
        <v>14</v>
      </c>
      <c r="D2" s="2" t="s">
        <v>14</v>
      </c>
      <c r="E2" s="2" t="s">
        <v>11</v>
      </c>
      <c r="F2" s="2" t="s">
        <v>11</v>
      </c>
      <c r="G2" s="2" t="s">
        <v>14</v>
      </c>
      <c r="H2" s="85" t="s">
        <v>11</v>
      </c>
      <c r="I2" s="85" t="s">
        <v>11</v>
      </c>
      <c r="J2" s="85" t="s">
        <v>11</v>
      </c>
      <c r="K2" s="88" t="s">
        <v>11</v>
      </c>
      <c r="L2" s="88" t="s">
        <v>11</v>
      </c>
      <c r="M2" s="89" t="s">
        <v>14</v>
      </c>
      <c r="N2" s="89" t="s">
        <v>11</v>
      </c>
      <c r="O2" s="2" t="s">
        <v>11</v>
      </c>
      <c r="P2" s="2" t="s">
        <v>11</v>
      </c>
      <c r="Q2" s="1" t="s">
        <v>1829</v>
      </c>
    </row>
    <row r="3" spans="1:17" x14ac:dyDescent="0.35">
      <c r="A3" s="2" t="s">
        <v>1810</v>
      </c>
      <c r="B3" s="2" t="s">
        <v>1167</v>
      </c>
      <c r="C3" s="2" t="s">
        <v>1830</v>
      </c>
      <c r="D3" s="2" t="s">
        <v>1833</v>
      </c>
      <c r="E3" s="2" t="s">
        <v>1834</v>
      </c>
      <c r="F3" s="2" t="s">
        <v>1837</v>
      </c>
      <c r="G3" s="2" t="s">
        <v>1838</v>
      </c>
      <c r="H3" s="85" t="s">
        <v>1839</v>
      </c>
      <c r="I3" s="85" t="s">
        <v>1841</v>
      </c>
      <c r="J3" s="85" t="s">
        <v>1842</v>
      </c>
      <c r="K3" s="88" t="s">
        <v>1845</v>
      </c>
      <c r="L3" s="88" t="s">
        <v>1846</v>
      </c>
      <c r="M3" s="89" t="s">
        <v>1847</v>
      </c>
      <c r="N3" s="89" t="s">
        <v>1848</v>
      </c>
      <c r="O3" s="2" t="s">
        <v>1849</v>
      </c>
      <c r="P3" s="2" t="s">
        <v>1508</v>
      </c>
    </row>
    <row r="4" spans="1:17" s="69" customFormat="1" ht="92.4" x14ac:dyDescent="0.25">
      <c r="A4" s="60" t="s">
        <v>1850</v>
      </c>
      <c r="B4" s="86" t="s">
        <v>1968</v>
      </c>
      <c r="C4" s="60" t="s">
        <v>1852</v>
      </c>
      <c r="D4" s="60" t="s">
        <v>1855</v>
      </c>
      <c r="E4" s="60" t="s">
        <v>1969</v>
      </c>
      <c r="F4" s="60" t="s">
        <v>1970</v>
      </c>
      <c r="G4" s="86" t="s">
        <v>1971</v>
      </c>
      <c r="H4" s="87" t="s">
        <v>1972</v>
      </c>
      <c r="I4" s="87" t="s">
        <v>1863</v>
      </c>
      <c r="J4" s="87" t="s">
        <v>1864</v>
      </c>
      <c r="K4" s="90" t="s">
        <v>1867</v>
      </c>
      <c r="L4" s="90" t="s">
        <v>1868</v>
      </c>
      <c r="M4" s="91" t="s">
        <v>1869</v>
      </c>
      <c r="N4" s="91" t="s">
        <v>1870</v>
      </c>
      <c r="O4" s="60" t="s">
        <v>1871</v>
      </c>
      <c r="P4" s="60" t="s">
        <v>1872</v>
      </c>
      <c r="Q4" s="65" t="s">
        <v>1873</v>
      </c>
    </row>
    <row r="5" spans="1:17" x14ac:dyDescent="0.25">
      <c r="A5" s="1">
        <v>1204</v>
      </c>
      <c r="B5" s="1" t="s">
        <v>1973</v>
      </c>
      <c r="C5" s="1" t="s">
        <v>1974</v>
      </c>
      <c r="D5" s="1" t="s">
        <v>1975</v>
      </c>
      <c r="E5" s="1">
        <f>'道具|Item'!G23</f>
        <v>0</v>
      </c>
      <c r="F5" s="1">
        <f>'道具|Item'!J23</f>
        <v>0</v>
      </c>
      <c r="G5" s="1">
        <f>'道具|Item'!K23</f>
        <v>6</v>
      </c>
      <c r="H5" s="1">
        <f>'道具|Item'!L23</f>
        <v>-1</v>
      </c>
      <c r="I5" s="1">
        <f>'道具|Item'!N23</f>
        <v>0</v>
      </c>
      <c r="J5" s="1">
        <f>'道具|Item'!O23</f>
        <v>-1</v>
      </c>
      <c r="K5" s="1">
        <f>'道具|Item'!R23</f>
        <v>0</v>
      </c>
      <c r="L5" s="1">
        <f>'道具|Item'!S23</f>
        <v>-1</v>
      </c>
      <c r="M5" s="1">
        <f>'道具|Item'!T23</f>
        <v>0</v>
      </c>
      <c r="N5" s="1">
        <f>'道具|Item'!U23</f>
        <v>-1</v>
      </c>
      <c r="O5" s="1">
        <f>'道具|Item'!V23</f>
        <v>0</v>
      </c>
      <c r="P5" s="1">
        <f>'道具|Item'!W23</f>
        <v>-1</v>
      </c>
    </row>
  </sheetData>
  <phoneticPr fontId="57" type="noConversion"/>
  <conditionalFormatting sqref="M3">
    <cfRule type="containsText" dxfId="131" priority="6" operator="containsText" text=" ">
      <formula>NOT(ISERROR(SEARCH(" ",M3)))</formula>
    </cfRule>
  </conditionalFormatting>
  <conditionalFormatting sqref="A5:XFD5">
    <cfRule type="containsText" dxfId="130" priority="16" operator="containsText" text=" ">
      <formula>NOT(ISERROR(SEARCH(" ",A5)))</formula>
    </cfRule>
  </conditionalFormatting>
  <conditionalFormatting sqref="M1:M2">
    <cfRule type="containsText" dxfId="129" priority="8" operator="containsText" text=" ">
      <formula>NOT(ISERROR(SEARCH(" ",M1)))</formula>
    </cfRule>
  </conditionalFormatting>
  <conditionalFormatting sqref="A3:E3 I7:K7 A6:D7 H6:K6 A8:L1048576 G3:L3 A4:L4 L6:L7 A1:L2 O1:XFD4 O6:XFD1048576">
    <cfRule type="containsText" dxfId="128" priority="23" operator="containsText" text=" ">
      <formula>NOT(ISERROR(SEARCH(" ",A1)))</formula>
    </cfRule>
  </conditionalFormatting>
  <conditionalFormatting sqref="F3 N1:N4 M6:N1048576">
    <cfRule type="containsText" dxfId="127" priority="22" operator="containsText" text=" ">
      <formula>NOT(ISERROR(SEARCH(" ",F1)))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F30" sqref="F30"/>
    </sheetView>
  </sheetViews>
  <sheetFormatPr defaultColWidth="9" defaultRowHeight="15.6" x14ac:dyDescent="0.25"/>
  <cols>
    <col min="1" max="1" width="9.88671875" style="1" customWidth="1"/>
    <col min="2" max="2" width="16.5546875" style="1" customWidth="1"/>
    <col min="3" max="3" width="17.88671875" style="1" customWidth="1"/>
    <col min="4" max="4" width="16.5546875" style="1" customWidth="1"/>
    <col min="5" max="5" width="15.109375" style="1" customWidth="1"/>
    <col min="6" max="6" width="32" style="1" customWidth="1"/>
    <col min="7" max="7" width="21.6640625" style="1" customWidth="1"/>
    <col min="8" max="8" width="19.77734375" style="1" customWidth="1"/>
    <col min="9" max="12" width="9" style="1"/>
    <col min="13" max="13" width="10.109375" style="1" customWidth="1"/>
    <col min="14" max="14" width="10.6640625" style="1" customWidth="1"/>
    <col min="15" max="15" width="11.88671875" style="1" customWidth="1"/>
    <col min="16" max="16" width="9" style="1"/>
    <col min="17" max="17" width="12.33203125" style="1" customWidth="1"/>
    <col min="18" max="16384" width="9" style="1"/>
  </cols>
  <sheetData>
    <row r="1" spans="1:10" x14ac:dyDescent="0.35">
      <c r="A1" s="2" t="s">
        <v>0</v>
      </c>
      <c r="B1" s="2" t="s">
        <v>0</v>
      </c>
      <c r="C1" s="2" t="s">
        <v>0</v>
      </c>
      <c r="D1" s="2" t="s">
        <v>0</v>
      </c>
      <c r="E1" s="51" t="s">
        <v>0</v>
      </c>
      <c r="F1" s="30" t="s">
        <v>0</v>
      </c>
      <c r="G1" s="74" t="s">
        <v>0</v>
      </c>
      <c r="H1" s="30" t="s">
        <v>0</v>
      </c>
    </row>
    <row r="2" spans="1:10" x14ac:dyDescent="0.35">
      <c r="A2" s="2" t="s">
        <v>11</v>
      </c>
      <c r="B2" s="2" t="s">
        <v>11</v>
      </c>
      <c r="C2" s="2" t="s">
        <v>11</v>
      </c>
      <c r="D2" s="2" t="s">
        <v>14</v>
      </c>
      <c r="E2" s="51" t="s">
        <v>11</v>
      </c>
      <c r="F2" s="30" t="s">
        <v>14</v>
      </c>
      <c r="G2" s="74" t="s">
        <v>11</v>
      </c>
      <c r="H2" s="30" t="s">
        <v>14</v>
      </c>
    </row>
    <row r="3" spans="1:10" x14ac:dyDescent="0.35">
      <c r="A3" s="2" t="s">
        <v>98</v>
      </c>
      <c r="B3" s="2" t="s">
        <v>1976</v>
      </c>
      <c r="C3" s="2" t="s">
        <v>1977</v>
      </c>
      <c r="D3" s="2" t="s">
        <v>942</v>
      </c>
      <c r="E3" s="51" t="s">
        <v>1978</v>
      </c>
      <c r="F3" s="30" t="s">
        <v>30</v>
      </c>
      <c r="G3" s="75" t="s">
        <v>1979</v>
      </c>
      <c r="H3" s="30" t="s">
        <v>134</v>
      </c>
    </row>
    <row r="4" spans="1:10" s="69" customFormat="1" ht="79.2" x14ac:dyDescent="0.25">
      <c r="A4" s="34" t="s">
        <v>134</v>
      </c>
      <c r="B4" s="34" t="s">
        <v>1980</v>
      </c>
      <c r="C4" s="76" t="s">
        <v>1981</v>
      </c>
      <c r="D4" s="76" t="s">
        <v>978</v>
      </c>
      <c r="E4" s="77" t="s">
        <v>1982</v>
      </c>
      <c r="F4" s="4" t="s">
        <v>1983</v>
      </c>
      <c r="G4" s="75" t="s">
        <v>1984</v>
      </c>
      <c r="H4" s="4" t="s">
        <v>1985</v>
      </c>
      <c r="J4" s="12" t="s">
        <v>1986</v>
      </c>
    </row>
    <row r="5" spans="1:10" x14ac:dyDescent="0.35">
      <c r="A5" s="63">
        <v>1</v>
      </c>
      <c r="B5" s="78">
        <v>0</v>
      </c>
      <c r="C5" s="78">
        <v>0</v>
      </c>
      <c r="D5" s="79">
        <v>2</v>
      </c>
      <c r="E5" s="80">
        <v>1</v>
      </c>
      <c r="F5" s="63" t="s">
        <v>1987</v>
      </c>
      <c r="G5" s="63">
        <v>1</v>
      </c>
      <c r="H5" s="81"/>
    </row>
    <row r="6" spans="1:10" x14ac:dyDescent="0.35">
      <c r="A6" s="63">
        <v>2</v>
      </c>
      <c r="B6" s="78" t="s">
        <v>258</v>
      </c>
      <c r="C6" s="78" t="s">
        <v>258</v>
      </c>
      <c r="D6" s="79">
        <v>2</v>
      </c>
      <c r="E6" s="80">
        <v>1</v>
      </c>
      <c r="F6" s="63" t="s">
        <v>1988</v>
      </c>
      <c r="G6" s="63">
        <v>1</v>
      </c>
      <c r="H6" s="63" t="s">
        <v>1989</v>
      </c>
      <c r="I6" s="1" t="s">
        <v>1990</v>
      </c>
    </row>
    <row r="7" spans="1:10" x14ac:dyDescent="0.35">
      <c r="A7" s="63">
        <v>3</v>
      </c>
      <c r="B7" s="78" t="s">
        <v>403</v>
      </c>
      <c r="C7" s="78" t="s">
        <v>403</v>
      </c>
      <c r="D7" s="79">
        <v>2</v>
      </c>
      <c r="E7" s="80">
        <v>1</v>
      </c>
      <c r="F7" s="63" t="s">
        <v>896</v>
      </c>
      <c r="G7" s="63">
        <v>0</v>
      </c>
      <c r="H7" s="63"/>
    </row>
    <row r="8" spans="1:10" x14ac:dyDescent="0.35">
      <c r="A8" s="63">
        <v>4</v>
      </c>
      <c r="B8" s="78" t="s">
        <v>248</v>
      </c>
      <c r="C8" s="78" t="s">
        <v>248</v>
      </c>
      <c r="D8" s="79">
        <v>2</v>
      </c>
      <c r="E8" s="80">
        <v>1</v>
      </c>
      <c r="F8" s="63" t="s">
        <v>1991</v>
      </c>
      <c r="G8" s="63">
        <v>0</v>
      </c>
      <c r="H8" s="81"/>
    </row>
    <row r="9" spans="1:10" x14ac:dyDescent="0.35">
      <c r="A9" s="63">
        <v>5</v>
      </c>
      <c r="B9" s="78" t="s">
        <v>521</v>
      </c>
      <c r="C9" s="78" t="s">
        <v>521</v>
      </c>
      <c r="D9" s="79">
        <v>2</v>
      </c>
      <c r="E9" s="80">
        <v>1</v>
      </c>
      <c r="F9" s="63" t="s">
        <v>1724</v>
      </c>
      <c r="G9" s="63">
        <v>0</v>
      </c>
      <c r="H9" s="81"/>
    </row>
    <row r="10" spans="1:10" x14ac:dyDescent="0.35">
      <c r="A10" s="63">
        <v>6</v>
      </c>
      <c r="B10" s="78" t="s">
        <v>346</v>
      </c>
      <c r="C10" s="78" t="s">
        <v>346</v>
      </c>
      <c r="D10" s="79">
        <v>2</v>
      </c>
      <c r="E10" s="80">
        <v>1</v>
      </c>
      <c r="F10" s="63" t="s">
        <v>1737</v>
      </c>
      <c r="G10" s="63">
        <v>0</v>
      </c>
      <c r="H10" s="81"/>
    </row>
    <row r="11" spans="1:10" x14ac:dyDescent="0.35">
      <c r="A11" s="63">
        <v>7</v>
      </c>
      <c r="B11" s="78" t="s">
        <v>518</v>
      </c>
      <c r="C11" s="78" t="s">
        <v>518</v>
      </c>
      <c r="D11" s="79">
        <v>2</v>
      </c>
      <c r="E11" s="80">
        <v>1</v>
      </c>
      <c r="F11" s="63" t="s">
        <v>1992</v>
      </c>
      <c r="G11" s="63">
        <v>0</v>
      </c>
      <c r="H11" s="81"/>
    </row>
    <row r="12" spans="1:10" x14ac:dyDescent="0.35">
      <c r="A12" s="63">
        <v>8</v>
      </c>
      <c r="B12" s="78">
        <v>-1</v>
      </c>
      <c r="C12" s="78">
        <f>B12</f>
        <v>-1</v>
      </c>
      <c r="D12" s="79">
        <v>2</v>
      </c>
      <c r="E12" s="80">
        <v>1</v>
      </c>
      <c r="F12" s="63" t="s">
        <v>1993</v>
      </c>
      <c r="G12" s="63">
        <v>0</v>
      </c>
      <c r="H12" s="81"/>
    </row>
    <row r="13" spans="1:10" x14ac:dyDescent="0.35">
      <c r="A13" s="63">
        <v>9</v>
      </c>
      <c r="B13" s="78">
        <v>0</v>
      </c>
      <c r="C13" s="78">
        <v>0</v>
      </c>
      <c r="D13" s="82">
        <v>3</v>
      </c>
      <c r="E13" s="80">
        <v>1</v>
      </c>
      <c r="F13" s="63" t="s">
        <v>1994</v>
      </c>
      <c r="G13" s="63">
        <v>1</v>
      </c>
      <c r="H13" s="83"/>
    </row>
    <row r="14" spans="1:10" x14ac:dyDescent="0.35">
      <c r="A14" s="63">
        <v>10</v>
      </c>
      <c r="B14" s="78" t="s">
        <v>258</v>
      </c>
      <c r="C14" s="78" t="s">
        <v>258</v>
      </c>
      <c r="D14" s="82">
        <v>3</v>
      </c>
      <c r="E14" s="80">
        <v>1</v>
      </c>
      <c r="F14" s="63" t="s">
        <v>1995</v>
      </c>
      <c r="G14" s="63">
        <v>1</v>
      </c>
      <c r="H14" s="63" t="s">
        <v>1996</v>
      </c>
    </row>
    <row r="15" spans="1:10" x14ac:dyDescent="0.35">
      <c r="A15" s="63">
        <v>11</v>
      </c>
      <c r="B15" s="78" t="s">
        <v>403</v>
      </c>
      <c r="C15" s="78" t="s">
        <v>403</v>
      </c>
      <c r="D15" s="82">
        <v>3</v>
      </c>
      <c r="E15" s="80">
        <v>1</v>
      </c>
      <c r="F15" s="63" t="s">
        <v>1988</v>
      </c>
      <c r="G15" s="63">
        <v>1</v>
      </c>
      <c r="H15" s="81"/>
    </row>
    <row r="16" spans="1:10" x14ac:dyDescent="0.35">
      <c r="A16" s="63">
        <v>12</v>
      </c>
      <c r="B16" s="78" t="s">
        <v>248</v>
      </c>
      <c r="C16" s="78" t="s">
        <v>248</v>
      </c>
      <c r="D16" s="82">
        <v>3</v>
      </c>
      <c r="E16" s="80">
        <v>1</v>
      </c>
      <c r="F16" s="63" t="s">
        <v>1943</v>
      </c>
      <c r="G16" s="63">
        <v>0</v>
      </c>
      <c r="H16" s="81"/>
    </row>
    <row r="17" spans="1:8" x14ac:dyDescent="0.35">
      <c r="A17" s="63">
        <v>13</v>
      </c>
      <c r="B17" s="78" t="s">
        <v>521</v>
      </c>
      <c r="C17" s="78" t="s">
        <v>521</v>
      </c>
      <c r="D17" s="82">
        <v>3</v>
      </c>
      <c r="E17" s="80">
        <v>1</v>
      </c>
      <c r="F17" s="63" t="s">
        <v>896</v>
      </c>
      <c r="G17" s="63">
        <v>0</v>
      </c>
      <c r="H17" s="81"/>
    </row>
    <row r="18" spans="1:8" x14ac:dyDescent="0.35">
      <c r="A18" s="63">
        <v>14</v>
      </c>
      <c r="B18" s="78" t="s">
        <v>346</v>
      </c>
      <c r="C18" s="78" t="s">
        <v>346</v>
      </c>
      <c r="D18" s="82">
        <v>3</v>
      </c>
      <c r="E18" s="80">
        <v>1</v>
      </c>
      <c r="F18" s="63" t="s">
        <v>898</v>
      </c>
      <c r="G18" s="63">
        <v>0</v>
      </c>
      <c r="H18" s="83"/>
    </row>
    <row r="19" spans="1:8" x14ac:dyDescent="0.35">
      <c r="A19" s="63">
        <v>15</v>
      </c>
      <c r="B19" s="78" t="s">
        <v>518</v>
      </c>
      <c r="C19" s="78" t="s">
        <v>518</v>
      </c>
      <c r="D19" s="82">
        <v>3</v>
      </c>
      <c r="E19" s="80">
        <v>1</v>
      </c>
      <c r="F19" s="63" t="s">
        <v>1991</v>
      </c>
      <c r="G19" s="63">
        <v>0</v>
      </c>
      <c r="H19" s="83"/>
    </row>
    <row r="20" spans="1:8" x14ac:dyDescent="0.35">
      <c r="A20" s="63">
        <v>16</v>
      </c>
      <c r="B20" s="78" t="s">
        <v>377</v>
      </c>
      <c r="C20" s="78" t="s">
        <v>390</v>
      </c>
      <c r="D20" s="82">
        <v>3</v>
      </c>
      <c r="E20" s="80">
        <v>1</v>
      </c>
      <c r="F20" s="63" t="s">
        <v>1737</v>
      </c>
      <c r="G20" s="63">
        <v>0</v>
      </c>
      <c r="H20" s="83"/>
    </row>
    <row r="21" spans="1:8" x14ac:dyDescent="0.35">
      <c r="A21" s="63">
        <v>17</v>
      </c>
      <c r="B21" s="78">
        <v>-1</v>
      </c>
      <c r="C21" s="78">
        <f>B21</f>
        <v>-1</v>
      </c>
      <c r="D21" s="82">
        <v>3</v>
      </c>
      <c r="E21" s="80">
        <v>1</v>
      </c>
      <c r="F21" s="63" t="s">
        <v>1997</v>
      </c>
      <c r="G21" s="63">
        <v>0</v>
      </c>
      <c r="H21" s="83"/>
    </row>
    <row r="22" spans="1:8" x14ac:dyDescent="0.35">
      <c r="A22" s="63">
        <v>18</v>
      </c>
      <c r="B22" s="78">
        <v>0</v>
      </c>
      <c r="C22" s="78">
        <v>0</v>
      </c>
      <c r="D22" s="84" t="s">
        <v>1998</v>
      </c>
      <c r="E22" s="80">
        <v>1</v>
      </c>
      <c r="F22" s="63" t="s">
        <v>780</v>
      </c>
      <c r="G22" s="63">
        <v>1</v>
      </c>
      <c r="H22" s="83"/>
    </row>
    <row r="23" spans="1:8" x14ac:dyDescent="0.35">
      <c r="A23" s="63">
        <v>19</v>
      </c>
      <c r="B23" s="78" t="s">
        <v>258</v>
      </c>
      <c r="C23" s="78" t="s">
        <v>258</v>
      </c>
      <c r="D23" s="84" t="s">
        <v>1998</v>
      </c>
      <c r="E23" s="80">
        <v>1</v>
      </c>
      <c r="F23" s="63" t="s">
        <v>1999</v>
      </c>
      <c r="G23" s="63">
        <v>1</v>
      </c>
      <c r="H23" s="63" t="s">
        <v>1996</v>
      </c>
    </row>
    <row r="24" spans="1:8" x14ac:dyDescent="0.35">
      <c r="A24" s="63">
        <v>20</v>
      </c>
      <c r="B24" s="78" t="s">
        <v>403</v>
      </c>
      <c r="C24" s="78" t="s">
        <v>403</v>
      </c>
      <c r="D24" s="84" t="s">
        <v>1998</v>
      </c>
      <c r="E24" s="80">
        <v>1</v>
      </c>
      <c r="F24" s="63" t="s">
        <v>1995</v>
      </c>
      <c r="G24" s="63">
        <v>1</v>
      </c>
      <c r="H24" s="81"/>
    </row>
    <row r="25" spans="1:8" x14ac:dyDescent="0.35">
      <c r="A25" s="63">
        <v>21</v>
      </c>
      <c r="B25" s="78" t="s">
        <v>248</v>
      </c>
      <c r="C25" s="78" t="s">
        <v>248</v>
      </c>
      <c r="D25" s="84" t="s">
        <v>1998</v>
      </c>
      <c r="E25" s="80">
        <v>1</v>
      </c>
      <c r="F25" s="63" t="s">
        <v>908</v>
      </c>
      <c r="G25" s="63">
        <v>0</v>
      </c>
      <c r="H25" s="81"/>
    </row>
    <row r="26" spans="1:8" x14ac:dyDescent="0.35">
      <c r="A26" s="63">
        <v>22</v>
      </c>
      <c r="B26" s="78" t="s">
        <v>521</v>
      </c>
      <c r="C26" s="78" t="s">
        <v>521</v>
      </c>
      <c r="D26" s="84" t="s">
        <v>1998</v>
      </c>
      <c r="E26" s="80">
        <v>1</v>
      </c>
      <c r="F26" s="63" t="s">
        <v>902</v>
      </c>
      <c r="G26" s="63">
        <v>0</v>
      </c>
      <c r="H26" s="81"/>
    </row>
    <row r="27" spans="1:8" x14ac:dyDescent="0.35">
      <c r="A27" s="63">
        <v>23</v>
      </c>
      <c r="B27" s="78" t="s">
        <v>346</v>
      </c>
      <c r="C27" s="78" t="s">
        <v>346</v>
      </c>
      <c r="D27" s="84" t="s">
        <v>1998</v>
      </c>
      <c r="E27" s="80">
        <v>1</v>
      </c>
      <c r="F27" s="63" t="s">
        <v>2000</v>
      </c>
      <c r="G27" s="63">
        <v>0</v>
      </c>
      <c r="H27" s="83"/>
    </row>
    <row r="28" spans="1:8" x14ac:dyDescent="0.35">
      <c r="A28" s="63">
        <v>24</v>
      </c>
      <c r="B28" s="78" t="s">
        <v>518</v>
      </c>
      <c r="C28" s="78" t="s">
        <v>518</v>
      </c>
      <c r="D28" s="84" t="s">
        <v>1998</v>
      </c>
      <c r="E28" s="80">
        <v>1</v>
      </c>
      <c r="F28" s="63" t="s">
        <v>896</v>
      </c>
      <c r="G28" s="63">
        <v>0</v>
      </c>
      <c r="H28" s="83"/>
    </row>
    <row r="29" spans="1:8" x14ac:dyDescent="0.35">
      <c r="A29" s="63">
        <v>25</v>
      </c>
      <c r="B29" s="78" t="s">
        <v>377</v>
      </c>
      <c r="C29" s="78" t="s">
        <v>390</v>
      </c>
      <c r="D29" s="84" t="s">
        <v>1998</v>
      </c>
      <c r="E29" s="80">
        <v>1</v>
      </c>
      <c r="F29" s="63" t="s">
        <v>898</v>
      </c>
      <c r="G29" s="63">
        <v>0</v>
      </c>
      <c r="H29" s="83"/>
    </row>
    <row r="30" spans="1:8" x14ac:dyDescent="0.35">
      <c r="A30" s="63">
        <v>26</v>
      </c>
      <c r="B30" s="78">
        <v>-1</v>
      </c>
      <c r="C30" s="78">
        <f>B30</f>
        <v>-1</v>
      </c>
      <c r="D30" s="84" t="s">
        <v>1998</v>
      </c>
      <c r="E30" s="80">
        <v>1</v>
      </c>
      <c r="F30" s="63" t="s">
        <v>1743</v>
      </c>
      <c r="G30" s="63">
        <v>0</v>
      </c>
      <c r="H30" s="83"/>
    </row>
  </sheetData>
  <phoneticPr fontId="57" type="noConversion"/>
  <conditionalFormatting sqref="D2">
    <cfRule type="containsText" dxfId="126" priority="100" operator="containsText" text=" ">
      <formula>NOT(ISERROR(SEARCH(" ",D2)))</formula>
    </cfRule>
  </conditionalFormatting>
  <conditionalFormatting sqref="F6">
    <cfRule type="containsText" dxfId="125" priority="32" operator="containsText" text=" ">
      <formula>NOT(ISERROR(SEARCH(" ",F6)))</formula>
    </cfRule>
  </conditionalFormatting>
  <conditionalFormatting sqref="H6">
    <cfRule type="containsText" dxfId="124" priority="213" operator="containsText" text=" ">
      <formula>NOT(ISERROR(SEARCH(" ",H6)))</formula>
    </cfRule>
  </conditionalFormatting>
  <conditionalFormatting sqref="F7">
    <cfRule type="containsText" dxfId="123" priority="31" operator="containsText" text=" ">
      <formula>NOT(ISERROR(SEARCH(" ",F7)))</formula>
    </cfRule>
  </conditionalFormatting>
  <conditionalFormatting sqref="H7">
    <cfRule type="containsText" dxfId="122" priority="227" operator="containsText" text=" ">
      <formula>NOT(ISERROR(SEARCH(" ",H7)))</formula>
    </cfRule>
  </conditionalFormatting>
  <conditionalFormatting sqref="F8">
    <cfRule type="containsText" dxfId="121" priority="37" operator="containsText" text=" ">
      <formula>NOT(ISERROR(SEARCH(" ",F8)))</formula>
    </cfRule>
  </conditionalFormatting>
  <conditionalFormatting sqref="Q8">
    <cfRule type="containsText" dxfId="120" priority="38" operator="containsText" text=" ">
      <formula>NOT(ISERROR(SEARCH(" ",Q8)))</formula>
    </cfRule>
  </conditionalFormatting>
  <conditionalFormatting sqref="F9">
    <cfRule type="containsText" dxfId="119" priority="35" operator="containsText" text=" ">
      <formula>NOT(ISERROR(SEARCH(" ",F9)))</formula>
    </cfRule>
  </conditionalFormatting>
  <conditionalFormatting sqref="F10">
    <cfRule type="containsText" dxfId="118" priority="34" operator="containsText" text=" ">
      <formula>NOT(ISERROR(SEARCH(" ",F10)))</formula>
    </cfRule>
  </conditionalFormatting>
  <conditionalFormatting sqref="F11">
    <cfRule type="containsText" dxfId="117" priority="33" operator="containsText" text=" ">
      <formula>NOT(ISERROR(SEARCH(" ",F11)))</formula>
    </cfRule>
  </conditionalFormatting>
  <conditionalFormatting sqref="B12:C12">
    <cfRule type="containsText" dxfId="116" priority="21" operator="containsText" text=" ">
      <formula>NOT(ISERROR(SEARCH(" ",B12)))</formula>
    </cfRule>
  </conditionalFormatting>
  <conditionalFormatting sqref="F12">
    <cfRule type="containsText" dxfId="115" priority="17" operator="containsText" text=" ">
      <formula>NOT(ISERROR(SEARCH(" ",F12)))</formula>
    </cfRule>
  </conditionalFormatting>
  <conditionalFormatting sqref="F13:G13">
    <cfRule type="containsText" dxfId="114" priority="24" operator="containsText" text=" ">
      <formula>NOT(ISERROR(SEARCH(" ",F13)))</formula>
    </cfRule>
  </conditionalFormatting>
  <conditionalFormatting sqref="F14:G14">
    <cfRule type="containsText" dxfId="113" priority="23" operator="containsText" text=" ">
      <formula>NOT(ISERROR(SEARCH(" ",F14)))</formula>
    </cfRule>
  </conditionalFormatting>
  <conditionalFormatting sqref="H14">
    <cfRule type="containsText" dxfId="112" priority="214" operator="containsText" text=" ">
      <formula>NOT(ISERROR(SEARCH(" ",H14)))</formula>
    </cfRule>
  </conditionalFormatting>
  <conditionalFormatting sqref="F15:G15">
    <cfRule type="containsText" dxfId="111" priority="27" operator="containsText" text=" ">
      <formula>NOT(ISERROR(SEARCH(" ",F15)))</formula>
    </cfRule>
  </conditionalFormatting>
  <conditionalFormatting sqref="B21:C21">
    <cfRule type="containsText" dxfId="110" priority="2" operator="containsText" text=" ">
      <formula>NOT(ISERROR(SEARCH(" ",B21)))</formula>
    </cfRule>
  </conditionalFormatting>
  <conditionalFormatting sqref="F21">
    <cfRule type="containsText" dxfId="109" priority="11" operator="containsText" text=" ">
      <formula>NOT(ISERROR(SEARCH(" ",F21)))</formula>
    </cfRule>
  </conditionalFormatting>
  <conditionalFormatting sqref="H21">
    <cfRule type="containsText" dxfId="108" priority="15" operator="containsText" text=" ">
      <formula>NOT(ISERROR(SEARCH(" ",H21)))</formula>
    </cfRule>
  </conditionalFormatting>
  <conditionalFormatting sqref="F22:G22">
    <cfRule type="containsText" dxfId="107" priority="25" operator="containsText" text=" ">
      <formula>NOT(ISERROR(SEARCH(" ",F22)))</formula>
    </cfRule>
  </conditionalFormatting>
  <conditionalFormatting sqref="F23:G23">
    <cfRule type="containsText" dxfId="106" priority="29" operator="containsText" text=" ">
      <formula>NOT(ISERROR(SEARCH(" ",F23)))</formula>
    </cfRule>
  </conditionalFormatting>
  <conditionalFormatting sqref="H23">
    <cfRule type="containsText" dxfId="105" priority="106" operator="containsText" text=" ">
      <formula>NOT(ISERROR(SEARCH(" ",H23)))</formula>
    </cfRule>
  </conditionalFormatting>
  <conditionalFormatting sqref="F24:G24">
    <cfRule type="containsText" dxfId="104" priority="30" operator="containsText" text=" ">
      <formula>NOT(ISERROR(SEARCH(" ",F24)))</formula>
    </cfRule>
  </conditionalFormatting>
  <conditionalFormatting sqref="B30:C30">
    <cfRule type="containsText" dxfId="103" priority="1" operator="containsText" text=" ">
      <formula>NOT(ISERROR(SEARCH(" ",B30)))</formula>
    </cfRule>
  </conditionalFormatting>
  <conditionalFormatting sqref="F30">
    <cfRule type="containsText" dxfId="102" priority="5" operator="containsText" text=" ">
      <formula>NOT(ISERROR(SEARCH(" ",F30)))</formula>
    </cfRule>
  </conditionalFormatting>
  <conditionalFormatting sqref="A29:A30 A23:A24 A17:A18 B14:C20 A6:C6 A5 A11:A12 B7:C11 E2 A2:C2 A1:E1 H18:N20 I6:XFD6 I14:N17 K4:XFD4 I4 I21:N21 R8:XFD8 Q9:XFD12 Q14:XFD21 Q7:XFD7 H31:XFD1048576 I1:XFD3">
    <cfRule type="containsText" dxfId="101" priority="234" operator="containsText" text=" ">
      <formula>NOT(ISERROR(SEARCH(" ",A1)))</formula>
    </cfRule>
  </conditionalFormatting>
  <conditionalFormatting sqref="A25:A28 A3:E4 A31:G1048576 A19:A22 A13:A16 A7:A10 I22:N30 Q22:XFD30 O7:P30 J4 N8 I8:L8 I9:N12 I7:N7">
    <cfRule type="containsText" dxfId="100" priority="218" operator="containsText" text=" ">
      <formula>NOT(ISERROR(SEARCH(" ",A3)))</formula>
    </cfRule>
  </conditionalFormatting>
  <conditionalFormatting sqref="B5:C5 I5:XFD5">
    <cfRule type="containsText" dxfId="99" priority="222" operator="containsText" text=" ">
      <formula>NOT(ISERROR(SEARCH(" ",B5)))</formula>
    </cfRule>
  </conditionalFormatting>
  <conditionalFormatting sqref="F5:G5 G6:G12">
    <cfRule type="containsText" dxfId="98" priority="26" operator="containsText" text=" ">
      <formula>NOT(ISERROR(SEARCH(" ",F5)))</formula>
    </cfRule>
  </conditionalFormatting>
  <conditionalFormatting sqref="B13:C13 H13:N13 Q13:XFD13">
    <cfRule type="containsText" dxfId="97" priority="217" operator="containsText" text=" ">
      <formula>NOT(ISERROR(SEARCH(" ",B13)))</formula>
    </cfRule>
  </conditionalFormatting>
  <conditionalFormatting sqref="F16:G16 F17:F20 G17:G21">
    <cfRule type="containsText" dxfId="96" priority="36" operator="containsText" text=" ">
      <formula>NOT(ISERROR(SEARCH(" ",F16)))</formula>
    </cfRule>
  </conditionalFormatting>
  <conditionalFormatting sqref="B22:C22 H22">
    <cfRule type="containsText" dxfId="95" priority="109" operator="containsText" text=" ">
      <formula>NOT(ISERROR(SEARCH(" ",B22)))</formula>
    </cfRule>
  </conditionalFormatting>
  <conditionalFormatting sqref="B23:C29 H27:H30">
    <cfRule type="containsText" dxfId="94" priority="115" operator="containsText" text=" ">
      <formula>NOT(ISERROR(SEARCH(" ",B23)))</formula>
    </cfRule>
  </conditionalFormatting>
  <conditionalFormatting sqref="F25:G25 F26:F29 G26:G30">
    <cfRule type="containsText" dxfId="93" priority="28" operator="containsText" text=" ">
      <formula>NOT(ISERROR(SEARCH(" ",F25)))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7" sqref="B7"/>
    </sheetView>
  </sheetViews>
  <sheetFormatPr defaultColWidth="9" defaultRowHeight="15.6" x14ac:dyDescent="0.35"/>
  <cols>
    <col min="1" max="1" width="9" style="1"/>
    <col min="2" max="2" width="11.33203125" style="1" customWidth="1"/>
    <col min="3" max="3" width="15.33203125" style="1" customWidth="1"/>
    <col min="4" max="5" width="9" style="1"/>
    <col min="6" max="6" width="14.6640625" style="39" customWidth="1"/>
    <col min="7" max="7" width="16" style="1" customWidth="1"/>
    <col min="8" max="16384" width="9" style="1"/>
  </cols>
  <sheetData>
    <row r="1" spans="1:7" x14ac:dyDescent="0.35">
      <c r="A1" s="2" t="s">
        <v>1</v>
      </c>
      <c r="B1" s="2" t="s">
        <v>1</v>
      </c>
      <c r="C1" s="2" t="s">
        <v>1</v>
      </c>
      <c r="E1" s="1" t="s">
        <v>2001</v>
      </c>
    </row>
    <row r="2" spans="1:7" x14ac:dyDescent="0.35">
      <c r="A2" s="2" t="s">
        <v>11</v>
      </c>
      <c r="B2" s="2" t="s">
        <v>11</v>
      </c>
      <c r="C2" s="2" t="s">
        <v>13</v>
      </c>
      <c r="E2" s="1" t="s">
        <v>2002</v>
      </c>
      <c r="F2" s="71">
        <v>100</v>
      </c>
    </row>
    <row r="3" spans="1:7" x14ac:dyDescent="0.35">
      <c r="A3" s="2" t="s">
        <v>134</v>
      </c>
      <c r="B3" s="2" t="s">
        <v>2003</v>
      </c>
      <c r="C3" s="2" t="s">
        <v>2004</v>
      </c>
      <c r="G3" s="1" t="s">
        <v>2005</v>
      </c>
    </row>
    <row r="4" spans="1:7" x14ac:dyDescent="0.35">
      <c r="A4" s="2" t="s">
        <v>2006</v>
      </c>
      <c r="B4" s="2" t="s">
        <v>2007</v>
      </c>
      <c r="C4" s="2" t="s">
        <v>2008</v>
      </c>
      <c r="E4" s="1" t="s">
        <v>2009</v>
      </c>
      <c r="F4" s="1" t="s">
        <v>2010</v>
      </c>
      <c r="G4" s="72">
        <f>SUM(G5:G19)</f>
        <v>800.00000000000011</v>
      </c>
    </row>
    <row r="5" spans="1:7" x14ac:dyDescent="0.35">
      <c r="A5" s="1">
        <v>1</v>
      </c>
      <c r="B5" s="1">
        <f>$F$2*E5</f>
        <v>100</v>
      </c>
      <c r="C5" s="1">
        <f>F5/SUM($F$5:$F$19)</f>
        <v>0</v>
      </c>
      <c r="E5" s="1">
        <v>1</v>
      </c>
      <c r="F5" s="73">
        <v>0</v>
      </c>
      <c r="G5" s="1">
        <f t="shared" ref="G5:G16" si="0">C5*B5</f>
        <v>0</v>
      </c>
    </row>
    <row r="6" spans="1:7" x14ac:dyDescent="0.35">
      <c r="A6" s="1">
        <v>2</v>
      </c>
      <c r="B6" s="1">
        <f t="shared" ref="B6:B19" si="1">$F$2*E6</f>
        <v>200</v>
      </c>
      <c r="C6" s="1">
        <f t="shared" ref="C6:C19" si="2">F6/SUM($F$5:$F$19)</f>
        <v>0</v>
      </c>
      <c r="E6" s="1">
        <v>2</v>
      </c>
      <c r="F6" s="73">
        <v>0</v>
      </c>
      <c r="G6" s="1">
        <f t="shared" si="0"/>
        <v>0</v>
      </c>
    </row>
    <row r="7" spans="1:7" x14ac:dyDescent="0.35">
      <c r="A7" s="1">
        <v>3</v>
      </c>
      <c r="B7" s="1">
        <f t="shared" si="1"/>
        <v>300</v>
      </c>
      <c r="C7" s="1">
        <f t="shared" si="2"/>
        <v>3.8834951456310676E-2</v>
      </c>
      <c r="E7" s="1">
        <v>3</v>
      </c>
      <c r="F7" s="73">
        <v>4</v>
      </c>
      <c r="G7" s="1">
        <f t="shared" si="0"/>
        <v>11.650485436893202</v>
      </c>
    </row>
    <row r="8" spans="1:7" x14ac:dyDescent="0.35">
      <c r="A8" s="1">
        <v>4</v>
      </c>
      <c r="B8" s="1">
        <f t="shared" si="1"/>
        <v>400</v>
      </c>
      <c r="C8" s="1">
        <f t="shared" si="2"/>
        <v>4.8543689320388349E-2</v>
      </c>
      <c r="E8" s="1">
        <v>4</v>
      </c>
      <c r="F8" s="73">
        <v>5</v>
      </c>
      <c r="G8" s="1">
        <f t="shared" si="0"/>
        <v>19.417475728155338</v>
      </c>
    </row>
    <row r="9" spans="1:7" x14ac:dyDescent="0.35">
      <c r="A9" s="1">
        <v>5</v>
      </c>
      <c r="B9" s="1">
        <f t="shared" si="1"/>
        <v>500</v>
      </c>
      <c r="C9" s="1">
        <f t="shared" si="2"/>
        <v>9.7087378640776698E-2</v>
      </c>
      <c r="E9" s="1">
        <v>5</v>
      </c>
      <c r="F9" s="73">
        <v>10</v>
      </c>
      <c r="G9" s="1">
        <f t="shared" si="0"/>
        <v>48.543689320388346</v>
      </c>
    </row>
    <row r="10" spans="1:7" x14ac:dyDescent="0.35">
      <c r="A10" s="1">
        <v>6</v>
      </c>
      <c r="B10" s="1">
        <f t="shared" si="1"/>
        <v>600</v>
      </c>
      <c r="C10" s="1">
        <f t="shared" si="2"/>
        <v>0.14563106796116504</v>
      </c>
      <c r="E10" s="1">
        <v>6</v>
      </c>
      <c r="F10" s="73">
        <v>15</v>
      </c>
      <c r="G10" s="1">
        <f t="shared" si="0"/>
        <v>87.378640776699029</v>
      </c>
    </row>
    <row r="11" spans="1:7" x14ac:dyDescent="0.35">
      <c r="A11" s="1">
        <v>7</v>
      </c>
      <c r="B11" s="1">
        <f t="shared" si="1"/>
        <v>700</v>
      </c>
      <c r="C11" s="1">
        <f t="shared" si="2"/>
        <v>0.1553398058252427</v>
      </c>
      <c r="E11" s="1">
        <v>7</v>
      </c>
      <c r="F11" s="73">
        <v>16</v>
      </c>
      <c r="G11" s="1">
        <f t="shared" si="0"/>
        <v>108.7378640776699</v>
      </c>
    </row>
    <row r="12" spans="1:7" x14ac:dyDescent="0.35">
      <c r="A12" s="1">
        <v>8</v>
      </c>
      <c r="B12" s="1">
        <f t="shared" si="1"/>
        <v>800</v>
      </c>
      <c r="C12" s="1">
        <f t="shared" si="2"/>
        <v>0.14563106796116504</v>
      </c>
      <c r="E12" s="1">
        <v>8</v>
      </c>
      <c r="F12" s="73">
        <v>15</v>
      </c>
      <c r="G12" s="1">
        <f t="shared" si="0"/>
        <v>116.50485436893203</v>
      </c>
    </row>
    <row r="13" spans="1:7" x14ac:dyDescent="0.35">
      <c r="A13" s="1">
        <v>9</v>
      </c>
      <c r="B13" s="1">
        <f t="shared" si="1"/>
        <v>900</v>
      </c>
      <c r="C13" s="1">
        <f t="shared" si="2"/>
        <v>9.7087378640776698E-2</v>
      </c>
      <c r="E13" s="1">
        <v>9</v>
      </c>
      <c r="F13" s="73">
        <v>10</v>
      </c>
      <c r="G13" s="1">
        <f t="shared" si="0"/>
        <v>87.378640776699029</v>
      </c>
    </row>
    <row r="14" spans="1:7" x14ac:dyDescent="0.35">
      <c r="A14" s="1">
        <v>10</v>
      </c>
      <c r="B14" s="1">
        <f t="shared" si="1"/>
        <v>1000</v>
      </c>
      <c r="C14" s="1">
        <f t="shared" si="2"/>
        <v>7.7669902912621352E-2</v>
      </c>
      <c r="E14" s="1">
        <v>10</v>
      </c>
      <c r="F14" s="73">
        <v>8</v>
      </c>
      <c r="G14" s="1">
        <f t="shared" si="0"/>
        <v>77.669902912621353</v>
      </c>
    </row>
    <row r="15" spans="1:7" x14ac:dyDescent="0.35">
      <c r="A15" s="1">
        <v>11</v>
      </c>
      <c r="B15" s="1">
        <f t="shared" si="1"/>
        <v>1100</v>
      </c>
      <c r="C15" s="1">
        <f t="shared" si="2"/>
        <v>5.8252427184466021E-2</v>
      </c>
      <c r="E15" s="1">
        <v>11</v>
      </c>
      <c r="F15" s="73">
        <v>6</v>
      </c>
      <c r="G15" s="1">
        <f t="shared" si="0"/>
        <v>64.077669902912618</v>
      </c>
    </row>
    <row r="16" spans="1:7" x14ac:dyDescent="0.35">
      <c r="A16" s="1">
        <v>12</v>
      </c>
      <c r="B16" s="1">
        <f t="shared" si="1"/>
        <v>1200</v>
      </c>
      <c r="C16" s="1">
        <f t="shared" si="2"/>
        <v>4.8543689320388349E-2</v>
      </c>
      <c r="E16" s="1">
        <v>12</v>
      </c>
      <c r="F16" s="73">
        <v>5</v>
      </c>
      <c r="G16" s="1">
        <f t="shared" si="0"/>
        <v>58.252427184466022</v>
      </c>
    </row>
    <row r="17" spans="1:7" x14ac:dyDescent="0.35">
      <c r="A17" s="1">
        <v>13</v>
      </c>
      <c r="B17" s="1">
        <f t="shared" si="1"/>
        <v>1300</v>
      </c>
      <c r="C17" s="1">
        <f t="shared" si="2"/>
        <v>3.8834951456310676E-2</v>
      </c>
      <c r="E17" s="1">
        <v>13</v>
      </c>
      <c r="F17" s="73">
        <v>4</v>
      </c>
      <c r="G17" s="1">
        <f t="shared" ref="G17:G19" si="3">C17*B17</f>
        <v>50.485436893203882</v>
      </c>
    </row>
    <row r="18" spans="1:7" x14ac:dyDescent="0.35">
      <c r="A18" s="1">
        <v>14</v>
      </c>
      <c r="B18" s="1">
        <f t="shared" si="1"/>
        <v>1400</v>
      </c>
      <c r="C18" s="1">
        <f t="shared" si="2"/>
        <v>2.9126213592233011E-2</v>
      </c>
      <c r="E18" s="1">
        <v>14</v>
      </c>
      <c r="F18" s="73">
        <v>3</v>
      </c>
      <c r="G18" s="1">
        <f t="shared" si="3"/>
        <v>40.776699029126213</v>
      </c>
    </row>
    <row r="19" spans="1:7" x14ac:dyDescent="0.35">
      <c r="A19" s="1">
        <v>15</v>
      </c>
      <c r="B19" s="1">
        <f t="shared" si="1"/>
        <v>1500</v>
      </c>
      <c r="C19" s="1">
        <f t="shared" si="2"/>
        <v>1.9417475728155338E-2</v>
      </c>
      <c r="E19" s="1">
        <v>15</v>
      </c>
      <c r="F19" s="73">
        <v>2</v>
      </c>
      <c r="G19" s="1">
        <f t="shared" si="3"/>
        <v>29.126213592233007</v>
      </c>
    </row>
  </sheetData>
  <phoneticPr fontId="57" type="noConversion"/>
  <conditionalFormatting sqref="C2">
    <cfRule type="containsText" dxfId="92" priority="1" operator="containsText" text=" ">
      <formula>NOT(ISERROR(SEARCH(" ",C2)))</formula>
    </cfRule>
  </conditionalFormatting>
  <conditionalFormatting sqref="C3">
    <cfRule type="containsText" dxfId="91" priority="3" operator="containsText" text=" ">
      <formula>NOT(ISERROR(SEARCH(" ",C3)))</formula>
    </cfRule>
  </conditionalFormatting>
  <conditionalFormatting sqref="A1:C1 F4 A2:B3 A20:E1048576 E8 E10 E12 E14 E16 D7:D16 D6:E6 G1:XFD1 I2:XFD2 E2 G2 E18 G3:XFD1048576 A4:C16 A17:D19">
    <cfRule type="containsText" dxfId="90" priority="4" operator="containsText" text=" ">
      <formula>NOT(ISERROR(SEARCH(" ",A1)))</formula>
    </cfRule>
  </conditionalFormatting>
  <conditionalFormatting sqref="D1:E1 E7 E9 E11 E13 E15 D3:E5 D2 E19 E17">
    <cfRule type="containsText" dxfId="89" priority="2" operator="containsText" text=" ">
      <formula>NOT(ISERROR(SEARCH(" ",D1)))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26"/>
  <sheetViews>
    <sheetView workbookViewId="0">
      <selection activeCell="S26" sqref="S26"/>
    </sheetView>
  </sheetViews>
  <sheetFormatPr defaultColWidth="9" defaultRowHeight="15.6" x14ac:dyDescent="0.35"/>
  <cols>
    <col min="1" max="1" width="8.21875" style="39" customWidth="1"/>
    <col min="2" max="2" width="9" style="39"/>
    <col min="3" max="3" width="29" style="39" customWidth="1"/>
    <col min="4" max="4" width="11.21875" style="39" customWidth="1"/>
    <col min="5" max="5" width="9" style="39"/>
    <col min="6" max="6" width="9" style="1" customWidth="1"/>
    <col min="7" max="7" width="7.44140625" style="1" customWidth="1"/>
    <col min="8" max="8" width="6.21875" style="1" customWidth="1"/>
    <col min="9" max="9" width="6.44140625" style="1" customWidth="1"/>
    <col min="10" max="10" width="9" style="1"/>
    <col min="11" max="12" width="7.44140625" style="1" customWidth="1"/>
    <col min="13" max="13" width="5.88671875" style="1" customWidth="1"/>
    <col min="14" max="14" width="4.44140625" style="1" customWidth="1"/>
    <col min="15" max="15" width="9" style="1"/>
    <col min="16" max="16" width="9.33203125" style="1" customWidth="1"/>
    <col min="17" max="17" width="7.44140625" style="1" customWidth="1"/>
    <col min="18" max="18" width="6.21875" style="1" customWidth="1"/>
    <col min="19" max="19" width="4.44140625" style="1" customWidth="1"/>
    <col min="20" max="22" width="9" style="1"/>
    <col min="23" max="23" width="11.6640625" style="1" customWidth="1"/>
    <col min="24" max="27" width="9" style="1"/>
    <col min="28" max="16384" width="9" style="39"/>
  </cols>
  <sheetData>
    <row r="1" spans="1:27" x14ac:dyDescent="0.35">
      <c r="A1" s="2" t="s">
        <v>0</v>
      </c>
      <c r="B1" s="2" t="s">
        <v>0</v>
      </c>
      <c r="C1" s="2" t="s">
        <v>0</v>
      </c>
    </row>
    <row r="2" spans="1:27" x14ac:dyDescent="0.35">
      <c r="A2" s="2" t="s">
        <v>11</v>
      </c>
      <c r="B2" s="2" t="s">
        <v>11</v>
      </c>
      <c r="C2" s="2" t="s">
        <v>14</v>
      </c>
      <c r="F2" s="64" t="s">
        <v>2011</v>
      </c>
      <c r="G2" s="65"/>
      <c r="H2" s="65"/>
      <c r="K2" s="65"/>
      <c r="L2" s="65"/>
      <c r="M2" s="65"/>
      <c r="P2" s="65"/>
      <c r="Q2" s="65"/>
      <c r="R2" s="65"/>
    </row>
    <row r="3" spans="1:27" x14ac:dyDescent="0.35">
      <c r="A3" s="2" t="s">
        <v>98</v>
      </c>
      <c r="B3" s="2" t="s">
        <v>2012</v>
      </c>
      <c r="C3" s="2" t="s">
        <v>2013</v>
      </c>
      <c r="F3" s="674" t="s">
        <v>2014</v>
      </c>
      <c r="G3" s="674"/>
      <c r="H3" s="674"/>
      <c r="I3" s="674"/>
      <c r="J3" s="674"/>
      <c r="K3" s="675" t="s">
        <v>2015</v>
      </c>
      <c r="L3" s="675"/>
      <c r="M3" s="675"/>
      <c r="N3" s="675"/>
      <c r="O3" s="675"/>
      <c r="P3" s="676" t="s">
        <v>2016</v>
      </c>
      <c r="Q3" s="676"/>
      <c r="R3" s="676"/>
      <c r="S3" s="676"/>
      <c r="T3" s="676"/>
    </row>
    <row r="4" spans="1:27" x14ac:dyDescent="0.35">
      <c r="A4" s="60" t="s">
        <v>2017</v>
      </c>
      <c r="B4" s="60" t="s">
        <v>2018</v>
      </c>
      <c r="C4" s="60" t="s">
        <v>2019</v>
      </c>
      <c r="F4" s="66" t="s">
        <v>1133</v>
      </c>
      <c r="G4" s="66" t="s">
        <v>1134</v>
      </c>
      <c r="H4" s="66" t="s">
        <v>1135</v>
      </c>
      <c r="I4" s="66" t="s">
        <v>99</v>
      </c>
      <c r="J4" s="66" t="s">
        <v>1647</v>
      </c>
      <c r="K4" s="66" t="s">
        <v>1133</v>
      </c>
      <c r="L4" s="66" t="s">
        <v>1134</v>
      </c>
      <c r="M4" s="66" t="s">
        <v>1135</v>
      </c>
      <c r="N4" s="66" t="s">
        <v>99</v>
      </c>
      <c r="O4" s="66" t="s">
        <v>1647</v>
      </c>
      <c r="P4" s="66" t="s">
        <v>1133</v>
      </c>
      <c r="Q4" s="66" t="s">
        <v>1134</v>
      </c>
      <c r="R4" s="66" t="s">
        <v>1135</v>
      </c>
      <c r="S4" s="66" t="s">
        <v>99</v>
      </c>
      <c r="T4" s="66" t="s">
        <v>1647</v>
      </c>
      <c r="U4" s="69"/>
      <c r="V4" s="69"/>
      <c r="W4" s="11">
        <f>'抽奖|MoonBless'!DN4</f>
        <v>0</v>
      </c>
      <c r="X4" s="70" t="str">
        <f>'抽奖|MoonBless'!DO4</f>
        <v>人民币价值</v>
      </c>
      <c r="Y4" s="70" t="str">
        <f>'抽奖|MoonBless'!DP4</f>
        <v>价值
钻石价值</v>
      </c>
      <c r="Z4" s="70" t="str">
        <f>'抽奖|MoonBless'!DQ4</f>
        <v>物品类型</v>
      </c>
      <c r="AA4" s="11" t="str">
        <f>'抽奖|MoonBless'!DR4</f>
        <v>id</v>
      </c>
    </row>
    <row r="5" spans="1:27" x14ac:dyDescent="0.35">
      <c r="A5" s="39">
        <v>1</v>
      </c>
      <c r="B5" s="39">
        <v>10</v>
      </c>
      <c r="C5" s="1" t="str">
        <f>IF(P5&lt;&gt;"",G5&amp;"|"&amp;H5&amp;"|"&amp;I5&amp;","&amp;L5&amp;"|"&amp;M5&amp;"|"&amp;N5&amp;","&amp;Q5&amp;"|"&amp;R5&amp;"|"&amp;S5,IF(K5&lt;&gt;"",G5&amp;"|"&amp;H5&amp;"|"&amp;I5&amp;","&amp;L5&amp;"|"&amp;M5&amp;"|"&amp;N5,G5&amp;"|"&amp;H5&amp;"|"&amp;I5))</f>
        <v>1|2|20000,1|1|20,2|1001|10</v>
      </c>
      <c r="F5" s="67" t="s">
        <v>169</v>
      </c>
      <c r="G5" s="68">
        <f>VLOOKUP(F5,W:AA,4,0)</f>
        <v>1</v>
      </c>
      <c r="H5" s="68">
        <f>VLOOKUP(F5,W:AA,5,0)</f>
        <v>2</v>
      </c>
      <c r="I5" s="67">
        <v>20000</v>
      </c>
      <c r="J5" s="6">
        <f>VLOOKUP(F5,W:AA,2,0)*I5</f>
        <v>0.1</v>
      </c>
      <c r="K5" s="67" t="s">
        <v>1107</v>
      </c>
      <c r="L5" s="68">
        <f>VLOOKUP(K5,W:AA,4,0)</f>
        <v>1</v>
      </c>
      <c r="M5" s="68">
        <f>VLOOKUP(K5,W:AA,5,0)</f>
        <v>1</v>
      </c>
      <c r="N5" s="67">
        <v>20</v>
      </c>
      <c r="O5" s="6">
        <f>VLOOKUP(K5,W:AA,2,0)*N5</f>
        <v>2</v>
      </c>
      <c r="P5" s="67" t="s">
        <v>1139</v>
      </c>
      <c r="Q5" s="68">
        <f>VLOOKUP(P5,W:AA,4,0)</f>
        <v>2</v>
      </c>
      <c r="R5" s="68">
        <f>VLOOKUP(P5,W:AA,5,0)</f>
        <v>1001</v>
      </c>
      <c r="S5" s="67">
        <v>10</v>
      </c>
      <c r="T5" s="6">
        <f>VLOOKUP(P5,W:AA,2,0)*S5</f>
        <v>2</v>
      </c>
      <c r="W5" s="11" t="str">
        <f>'抽奖|MoonBless'!DN5</f>
        <v>人民币</v>
      </c>
      <c r="X5" s="11">
        <f>'抽奖|MoonBless'!DO5</f>
        <v>1</v>
      </c>
      <c r="Y5" s="11">
        <f>'抽奖|MoonBless'!DP5</f>
        <v>10</v>
      </c>
      <c r="Z5" s="11">
        <f>'抽奖|MoonBless'!DQ5</f>
        <v>1</v>
      </c>
      <c r="AA5" s="11">
        <f>'抽奖|MoonBless'!DR5</f>
        <v>0</v>
      </c>
    </row>
    <row r="6" spans="1:27" x14ac:dyDescent="0.35">
      <c r="A6" s="39">
        <v>2</v>
      </c>
      <c r="B6" s="39">
        <v>30</v>
      </c>
      <c r="C6" s="1" t="str">
        <f t="shared" ref="C6:C7" si="0">IF(P6&lt;&gt;"",G6&amp;"|"&amp;H6&amp;"|"&amp;I6&amp;","&amp;L6&amp;"|"&amp;M6&amp;"|"&amp;N6&amp;","&amp;Q6&amp;"|"&amp;R6&amp;"|"&amp;S6,IF(K6&lt;&gt;"",G6&amp;"|"&amp;H6&amp;"|"&amp;I6&amp;","&amp;L6&amp;"|"&amp;M6&amp;"|"&amp;N6,G6&amp;"|"&amp;H6&amp;"|"&amp;I6))</f>
        <v>2|1005|1,1|1|50,2|1001|30</v>
      </c>
      <c r="F6" s="67" t="s">
        <v>1662</v>
      </c>
      <c r="G6" s="68">
        <f>VLOOKUP(F6,W:AA,4,0)</f>
        <v>2</v>
      </c>
      <c r="H6" s="68">
        <f>VLOOKUP(F6,W:AA,5,0)</f>
        <v>1005</v>
      </c>
      <c r="I6" s="67">
        <v>1</v>
      </c>
      <c r="J6" s="6">
        <f>VLOOKUP(F6,W:AA,2,0)*I6</f>
        <v>5</v>
      </c>
      <c r="K6" s="67" t="s">
        <v>1107</v>
      </c>
      <c r="L6" s="68">
        <f>VLOOKUP(K6,W:AA,4,0)</f>
        <v>1</v>
      </c>
      <c r="M6" s="68">
        <f>VLOOKUP(K6,W:AA,5,0)</f>
        <v>1</v>
      </c>
      <c r="N6" s="67">
        <v>50</v>
      </c>
      <c r="O6" s="6">
        <f>VLOOKUP(K6,W:AA,2,0)*N6</f>
        <v>5</v>
      </c>
      <c r="P6" s="67" t="s">
        <v>1139</v>
      </c>
      <c r="Q6" s="68">
        <f>VLOOKUP(P6,W:AA,4,0)</f>
        <v>2</v>
      </c>
      <c r="R6" s="68">
        <f>VLOOKUP(P6,W:AA,5,0)</f>
        <v>1001</v>
      </c>
      <c r="S6" s="67">
        <v>30</v>
      </c>
      <c r="T6" s="6">
        <f>VLOOKUP(P6,W:AA,2,0)*S6</f>
        <v>6</v>
      </c>
      <c r="W6" s="11" t="str">
        <f>'抽奖|MoonBless'!DN6</f>
        <v>钻石</v>
      </c>
      <c r="X6" s="11">
        <f>'抽奖|MoonBless'!DO6</f>
        <v>0.1</v>
      </c>
      <c r="Y6" s="11">
        <f>'抽奖|MoonBless'!DP6</f>
        <v>1</v>
      </c>
      <c r="Z6" s="11">
        <f>'抽奖|MoonBless'!DQ6</f>
        <v>1</v>
      </c>
      <c r="AA6" s="11">
        <f>'抽奖|MoonBless'!DR6</f>
        <v>1</v>
      </c>
    </row>
    <row r="7" spans="1:27" x14ac:dyDescent="0.35">
      <c r="A7" s="39">
        <v>3</v>
      </c>
      <c r="B7" s="39">
        <v>100</v>
      </c>
      <c r="C7" s="1" t="str">
        <f t="shared" si="0"/>
        <v>2|1005|1,1|1|200,2|1001|50</v>
      </c>
      <c r="F7" s="67" t="s">
        <v>1662</v>
      </c>
      <c r="G7" s="68">
        <f>VLOOKUP(F7,W:AA,4,0)</f>
        <v>2</v>
      </c>
      <c r="H7" s="68">
        <f>VLOOKUP(F7,W:AA,5,0)</f>
        <v>1005</v>
      </c>
      <c r="I7" s="67">
        <v>1</v>
      </c>
      <c r="J7" s="6">
        <f>VLOOKUP(F7,W:AA,2,0)*I7</f>
        <v>5</v>
      </c>
      <c r="K7" s="67" t="s">
        <v>1107</v>
      </c>
      <c r="L7" s="68">
        <f>VLOOKUP(K7,W:AA,4,0)</f>
        <v>1</v>
      </c>
      <c r="M7" s="68">
        <f>VLOOKUP(K7,W:AA,5,0)</f>
        <v>1</v>
      </c>
      <c r="N7" s="67">
        <v>200</v>
      </c>
      <c r="O7" s="6">
        <f>VLOOKUP(K7,W:AA,2,0)*N7</f>
        <v>20</v>
      </c>
      <c r="P7" s="67" t="s">
        <v>1139</v>
      </c>
      <c r="Q7" s="68">
        <f>VLOOKUP(P7,W:AA,4,0)</f>
        <v>2</v>
      </c>
      <c r="R7" s="68">
        <f>VLOOKUP(P7,W:AA,5,0)</f>
        <v>1001</v>
      </c>
      <c r="S7" s="67">
        <v>50</v>
      </c>
      <c r="T7" s="6">
        <f>VLOOKUP(P7,W:AA,2,0)*S7</f>
        <v>10</v>
      </c>
      <c r="W7" s="11" t="str">
        <f>'抽奖|MoonBless'!DN7</f>
        <v>金币</v>
      </c>
      <c r="X7" s="11">
        <f>'抽奖|MoonBless'!DO7</f>
        <v>5.0000000000000004E-6</v>
      </c>
      <c r="Y7" s="11">
        <f>'抽奖|MoonBless'!DP7</f>
        <v>5.0000000000000002E-5</v>
      </c>
      <c r="Z7" s="11">
        <f>'抽奖|MoonBless'!DQ7</f>
        <v>1</v>
      </c>
      <c r="AA7" s="11">
        <f>'抽奖|MoonBless'!DR7</f>
        <v>2</v>
      </c>
    </row>
    <row r="8" spans="1:27" x14ac:dyDescent="0.35">
      <c r="C8" s="1"/>
      <c r="F8" s="67"/>
      <c r="G8" s="68"/>
      <c r="H8" s="68"/>
      <c r="I8" s="67"/>
      <c r="J8" s="6"/>
      <c r="K8" s="67"/>
      <c r="L8" s="68"/>
      <c r="M8" s="68"/>
      <c r="N8" s="67"/>
      <c r="O8" s="6"/>
      <c r="P8" s="67"/>
      <c r="Q8" s="68"/>
      <c r="R8" s="68"/>
      <c r="S8" s="67"/>
      <c r="T8" s="6"/>
      <c r="W8" s="11" t="str">
        <f>'抽奖|MoonBless'!DN8</f>
        <v>锁定</v>
      </c>
      <c r="X8" s="11">
        <f>'抽奖|MoonBless'!DO8</f>
        <v>0.2</v>
      </c>
      <c r="Y8" s="11">
        <f>'抽奖|MoonBless'!DP8</f>
        <v>2</v>
      </c>
      <c r="Z8" s="11">
        <f>'抽奖|MoonBless'!DQ8</f>
        <v>2</v>
      </c>
      <c r="AA8" s="11">
        <f>'抽奖|MoonBless'!DR8</f>
        <v>1001</v>
      </c>
    </row>
    <row r="9" spans="1:27" x14ac:dyDescent="0.35">
      <c r="C9" s="1"/>
      <c r="F9" s="67"/>
      <c r="G9" s="68"/>
      <c r="H9" s="68"/>
      <c r="I9" s="67"/>
      <c r="J9" s="6"/>
      <c r="K9" s="67"/>
      <c r="L9" s="68"/>
      <c r="M9" s="68"/>
      <c r="N9" s="67"/>
      <c r="O9" s="6"/>
      <c r="P9" s="67"/>
      <c r="Q9" s="68"/>
      <c r="R9" s="68"/>
      <c r="S9" s="67"/>
      <c r="T9" s="6"/>
      <c r="W9" s="11" t="str">
        <f>'抽奖|MoonBless'!DN9</f>
        <v>冰冻</v>
      </c>
      <c r="X9" s="11">
        <f>'抽奖|MoonBless'!DO9</f>
        <v>0.5</v>
      </c>
      <c r="Y9" s="11">
        <f>'抽奖|MoonBless'!DP9</f>
        <v>5</v>
      </c>
      <c r="Z9" s="11">
        <f>'抽奖|MoonBless'!DQ9</f>
        <v>2</v>
      </c>
      <c r="AA9" s="11">
        <f>'抽奖|MoonBless'!DR9</f>
        <v>1002</v>
      </c>
    </row>
    <row r="10" spans="1:27" x14ac:dyDescent="0.35">
      <c r="C10" s="1"/>
      <c r="F10" s="67"/>
      <c r="G10" s="68"/>
      <c r="H10" s="68"/>
      <c r="I10" s="67"/>
      <c r="J10" s="6"/>
      <c r="K10" s="67"/>
      <c r="L10" s="68"/>
      <c r="M10" s="68"/>
      <c r="N10" s="67"/>
      <c r="O10" s="6"/>
      <c r="P10" s="67"/>
      <c r="Q10" s="68"/>
      <c r="R10" s="68"/>
      <c r="S10" s="67"/>
      <c r="T10" s="6"/>
      <c r="W10" s="11" t="str">
        <f>'抽奖|MoonBless'!DN10</f>
        <v>狂暴</v>
      </c>
      <c r="X10" s="11">
        <f>'抽奖|MoonBless'!DO10</f>
        <v>1</v>
      </c>
      <c r="Y10" s="11">
        <f>'抽奖|MoonBless'!DP10</f>
        <v>10</v>
      </c>
      <c r="Z10" s="11">
        <f>'抽奖|MoonBless'!DQ10</f>
        <v>2</v>
      </c>
      <c r="AA10" s="11">
        <f>'抽奖|MoonBless'!DR10</f>
        <v>1003</v>
      </c>
    </row>
    <row r="11" spans="1:27" x14ac:dyDescent="0.35">
      <c r="C11" s="1"/>
      <c r="F11" s="67"/>
      <c r="G11" s="68"/>
      <c r="H11" s="68"/>
      <c r="I11" s="67"/>
      <c r="J11" s="6"/>
      <c r="K11" s="67"/>
      <c r="L11" s="68"/>
      <c r="M11" s="68"/>
      <c r="N11" s="67"/>
      <c r="O11" s="6"/>
      <c r="P11" s="67"/>
      <c r="Q11" s="68"/>
      <c r="R11" s="68"/>
      <c r="S11" s="67"/>
      <c r="T11" s="6"/>
      <c r="W11" s="11" t="str">
        <f>'抽奖|MoonBless'!DN11</f>
        <v>召唤</v>
      </c>
      <c r="X11" s="11">
        <f>'抽奖|MoonBless'!DO11</f>
        <v>0.2</v>
      </c>
      <c r="Y11" s="11">
        <f>'抽奖|MoonBless'!DP11</f>
        <v>2</v>
      </c>
      <c r="Z11" s="11">
        <f>'抽奖|MoonBless'!DQ11</f>
        <v>2</v>
      </c>
      <c r="AA11" s="11">
        <f>'抽奖|MoonBless'!DR11</f>
        <v>1004</v>
      </c>
    </row>
    <row r="12" spans="1:27" x14ac:dyDescent="0.35">
      <c r="W12" s="11" t="str">
        <f>'抽奖|MoonBless'!DN12</f>
        <v>福卡</v>
      </c>
      <c r="X12" s="11">
        <f>'抽奖|MoonBless'!DO12</f>
        <v>2.5000000000000001E-3</v>
      </c>
      <c r="Y12" s="11">
        <f>'抽奖|MoonBless'!DP12</f>
        <v>2.5000000000000001E-2</v>
      </c>
      <c r="Z12" s="11">
        <f>'抽奖|MoonBless'!DQ12</f>
        <v>2</v>
      </c>
      <c r="AA12" s="11">
        <f>'抽奖|MoonBless'!DR12</f>
        <v>1204</v>
      </c>
    </row>
    <row r="13" spans="1:27" x14ac:dyDescent="0.35">
      <c r="W13" s="11" t="str">
        <f>'抽奖|MoonBless'!DN13</f>
        <v>超级武器1</v>
      </c>
      <c r="X13" s="11">
        <f>'抽奖|MoonBless'!DO13</f>
        <v>5</v>
      </c>
      <c r="Y13" s="11">
        <f>'抽奖|MoonBless'!DP13</f>
        <v>50</v>
      </c>
      <c r="Z13" s="11">
        <f>'抽奖|MoonBless'!DQ13</f>
        <v>2</v>
      </c>
      <c r="AA13" s="11">
        <f>'抽奖|MoonBless'!DR13</f>
        <v>1005</v>
      </c>
    </row>
    <row r="14" spans="1:27" x14ac:dyDescent="0.35">
      <c r="W14" s="11" t="str">
        <f>'抽奖|MoonBless'!DN14</f>
        <v>超级武器2</v>
      </c>
      <c r="X14" s="11">
        <f>'抽奖|MoonBless'!DO14</f>
        <v>10</v>
      </c>
      <c r="Y14" s="11">
        <f>'抽奖|MoonBless'!DP14</f>
        <v>100</v>
      </c>
      <c r="Z14" s="11">
        <f>'抽奖|MoonBless'!DQ14</f>
        <v>2</v>
      </c>
      <c r="AA14" s="11">
        <f>'抽奖|MoonBless'!DR14</f>
        <v>1006</v>
      </c>
    </row>
    <row r="15" spans="1:27" x14ac:dyDescent="0.35">
      <c r="W15" s="11" t="str">
        <f>'抽奖|MoonBless'!DN15</f>
        <v>超级武器3</v>
      </c>
      <c r="X15" s="11">
        <f>'抽奖|MoonBless'!DO15</f>
        <v>25</v>
      </c>
      <c r="Y15" s="11">
        <f>'抽奖|MoonBless'!DP15</f>
        <v>250</v>
      </c>
      <c r="Z15" s="11">
        <f>'抽奖|MoonBless'!DQ15</f>
        <v>2</v>
      </c>
      <c r="AA15" s="11">
        <f>'抽奖|MoonBless'!DR15</f>
        <v>1007</v>
      </c>
    </row>
    <row r="16" spans="1:27" x14ac:dyDescent="0.35">
      <c r="W16" s="11" t="str">
        <f>'抽奖|MoonBless'!DN16</f>
        <v>超级武器4</v>
      </c>
      <c r="X16" s="11">
        <f>'抽奖|MoonBless'!DO16</f>
        <v>50</v>
      </c>
      <c r="Y16" s="11">
        <f>'抽奖|MoonBless'!DP16</f>
        <v>500</v>
      </c>
      <c r="Z16" s="11">
        <f>'抽奖|MoonBless'!DQ16</f>
        <v>2</v>
      </c>
      <c r="AA16" s="11">
        <f>'抽奖|MoonBless'!DR16</f>
        <v>1008</v>
      </c>
    </row>
    <row r="17" spans="23:27" x14ac:dyDescent="0.35">
      <c r="W17" s="11" t="str">
        <f>'抽奖|MoonBless'!DN17</f>
        <v>5元话费卡</v>
      </c>
      <c r="X17" s="11">
        <f>'抽奖|MoonBless'!DO17</f>
        <v>5</v>
      </c>
      <c r="Y17" s="11">
        <f>'抽奖|MoonBless'!DP17</f>
        <v>50</v>
      </c>
      <c r="Z17" s="11">
        <f>'抽奖|MoonBless'!DQ17</f>
        <v>2</v>
      </c>
      <c r="AA17" s="11">
        <f>'抽奖|MoonBless'!DR17</f>
        <v>1206</v>
      </c>
    </row>
    <row r="18" spans="23:27" x14ac:dyDescent="0.35">
      <c r="W18" s="11" t="str">
        <f>'抽奖|MoonBless'!DN18</f>
        <v>2元话费卡</v>
      </c>
      <c r="X18" s="11">
        <f>'抽奖|MoonBless'!DO18</f>
        <v>2</v>
      </c>
      <c r="Y18" s="11">
        <f>'抽奖|MoonBless'!DP18</f>
        <v>20</v>
      </c>
      <c r="Z18" s="11">
        <f>'抽奖|MoonBless'!DQ18</f>
        <v>2</v>
      </c>
      <c r="AA18" s="11">
        <f>'抽奖|MoonBless'!DR18</f>
        <v>1205</v>
      </c>
    </row>
    <row r="19" spans="23:27" x14ac:dyDescent="0.35">
      <c r="W19" s="11" t="str">
        <f>'抽奖|MoonBless'!DN19</f>
        <v>高压锅</v>
      </c>
      <c r="X19" s="11">
        <f>'抽奖|MoonBless'!DO19</f>
        <v>200</v>
      </c>
      <c r="Y19" s="11">
        <f>'抽奖|MoonBless'!DP19</f>
        <v>2000</v>
      </c>
      <c r="Z19" s="11">
        <f>'抽奖|MoonBless'!DQ19</f>
        <v>2</v>
      </c>
      <c r="AA19" s="11">
        <f>'抽奖|MoonBless'!DR19</f>
        <v>1208</v>
      </c>
    </row>
    <row r="20" spans="23:27" x14ac:dyDescent="0.35">
      <c r="W20" s="1" t="str">
        <f>'抽奖|MoonBless'!DN20</f>
        <v>30元话费卡</v>
      </c>
      <c r="X20" s="1">
        <f>'抽奖|MoonBless'!DO20</f>
        <v>30</v>
      </c>
      <c r="Y20" s="1">
        <f>'抽奖|MoonBless'!DP20</f>
        <v>300</v>
      </c>
      <c r="Z20" s="1">
        <f>'抽奖|MoonBless'!DQ20</f>
        <v>2</v>
      </c>
      <c r="AA20" s="1">
        <f>'抽奖|MoonBless'!DR20</f>
        <v>1209</v>
      </c>
    </row>
    <row r="21" spans="23:27" x14ac:dyDescent="0.35">
      <c r="W21" s="1" t="str">
        <f>'抽奖|MoonBless'!DN21</f>
        <v>50元话费卡</v>
      </c>
      <c r="X21" s="1">
        <f>'抽奖|MoonBless'!DO21</f>
        <v>50</v>
      </c>
      <c r="Y21" s="1">
        <f>'抽奖|MoonBless'!DP21</f>
        <v>500</v>
      </c>
      <c r="Z21" s="1">
        <f>'抽奖|MoonBless'!DQ21</f>
        <v>2</v>
      </c>
      <c r="AA21" s="1">
        <f>'抽奖|MoonBless'!DR21</f>
        <v>1210</v>
      </c>
    </row>
    <row r="22" spans="23:27" x14ac:dyDescent="0.35">
      <c r="W22" s="1" t="str">
        <f>'抽奖|MoonBless'!DN22</f>
        <v>活跃度</v>
      </c>
      <c r="X22" s="1">
        <f>'抽奖|MoonBless'!DO22</f>
        <v>1</v>
      </c>
      <c r="Y22" s="1">
        <f>'抽奖|MoonBless'!DP22</f>
        <v>10</v>
      </c>
      <c r="Z22" s="1">
        <f>'抽奖|MoonBless'!DQ22</f>
        <v>1</v>
      </c>
      <c r="AA22" s="1">
        <f>'抽奖|MoonBless'!DR22</f>
        <v>6</v>
      </c>
    </row>
    <row r="23" spans="23:27" x14ac:dyDescent="0.35">
      <c r="W23" s="1" t="str">
        <f>'抽奖|MoonBless'!DN23</f>
        <v>红包【恭】</v>
      </c>
      <c r="X23" s="1">
        <f>'抽奖|MoonBless'!DO23</f>
        <v>1</v>
      </c>
      <c r="Y23" s="1">
        <f>'抽奖|MoonBless'!DP23</f>
        <v>10</v>
      </c>
      <c r="Z23" s="1">
        <f>'抽奖|MoonBless'!DQ23</f>
        <v>2</v>
      </c>
      <c r="AA23" s="1">
        <f>'抽奖|MoonBless'!DR23</f>
        <v>1301</v>
      </c>
    </row>
    <row r="24" spans="23:27" x14ac:dyDescent="0.35">
      <c r="W24" s="1" t="str">
        <f>'抽奖|MoonBless'!DN24</f>
        <v>红包【喜】</v>
      </c>
      <c r="X24" s="1">
        <f>'抽奖|MoonBless'!DO24</f>
        <v>1</v>
      </c>
      <c r="Y24" s="1">
        <f>'抽奖|MoonBless'!DP24</f>
        <v>10</v>
      </c>
      <c r="Z24" s="1">
        <f>'抽奖|MoonBless'!DQ24</f>
        <v>2</v>
      </c>
      <c r="AA24" s="1">
        <f>'抽奖|MoonBless'!DR24</f>
        <v>1302</v>
      </c>
    </row>
    <row r="25" spans="23:27" x14ac:dyDescent="0.35">
      <c r="W25" s="1" t="str">
        <f>'抽奖|MoonBless'!DN25</f>
        <v>红包【发】</v>
      </c>
      <c r="X25" s="1">
        <f>'抽奖|MoonBless'!DO25</f>
        <v>1</v>
      </c>
      <c r="Y25" s="1">
        <f>'抽奖|MoonBless'!DP25</f>
        <v>10</v>
      </c>
      <c r="Z25" s="1">
        <f>'抽奖|MoonBless'!DQ25</f>
        <v>2</v>
      </c>
      <c r="AA25" s="1">
        <f>'抽奖|MoonBless'!DR25</f>
        <v>1303</v>
      </c>
    </row>
    <row r="26" spans="23:27" x14ac:dyDescent="0.35">
      <c r="W26" s="1" t="str">
        <f>'抽奖|MoonBless'!DN26</f>
        <v>红包【财】</v>
      </c>
      <c r="X26" s="1">
        <f>'抽奖|MoonBless'!DO26</f>
        <v>1</v>
      </c>
      <c r="Y26" s="1">
        <f>'抽奖|MoonBless'!DP26</f>
        <v>10</v>
      </c>
      <c r="Z26" s="1">
        <f>'抽奖|MoonBless'!DQ26</f>
        <v>2</v>
      </c>
      <c r="AA26" s="1">
        <f>'抽奖|MoonBless'!DR26</f>
        <v>1304</v>
      </c>
    </row>
  </sheetData>
  <mergeCells count="3">
    <mergeCell ref="F3:J3"/>
    <mergeCell ref="K3:O3"/>
    <mergeCell ref="P3:T3"/>
  </mergeCells>
  <phoneticPr fontId="57" type="noConversion"/>
  <conditionalFormatting sqref="F12:J12">
    <cfRule type="containsText" dxfId="88" priority="23" operator="containsText" text=" ">
      <formula>NOT(ISERROR(SEARCH(" ",F12)))</formula>
    </cfRule>
  </conditionalFormatting>
  <conditionalFormatting sqref="K12:O12">
    <cfRule type="containsText" dxfId="87" priority="18" operator="containsText" text=" ">
      <formula>NOT(ISERROR(SEARCH(" ",K12)))</formula>
    </cfRule>
  </conditionalFormatting>
  <conditionalFormatting sqref="P12:T12">
    <cfRule type="containsText" dxfId="86" priority="13" operator="containsText" text=" ">
      <formula>NOT(ISERROR(SEARCH(" ",P12)))</formula>
    </cfRule>
  </conditionalFormatting>
  <conditionalFormatting sqref="Z12">
    <cfRule type="containsText" dxfId="85" priority="31" operator="containsText" text=" ">
      <formula>NOT(ISERROR(SEARCH(" ",Z12)))</formula>
    </cfRule>
  </conditionalFormatting>
  <conditionalFormatting sqref="W17">
    <cfRule type="containsText" dxfId="84" priority="28" operator="containsText" text=" ">
      <formula>NOT(ISERROR(SEARCH(" ",W17)))</formula>
    </cfRule>
  </conditionalFormatting>
  <conditionalFormatting sqref="W18">
    <cfRule type="containsText" dxfId="83" priority="27" operator="containsText" text=" ">
      <formula>NOT(ISERROR(SEARCH(" ",W18)))</formula>
    </cfRule>
  </conditionalFormatting>
  <conditionalFormatting sqref="Z19">
    <cfRule type="containsText" dxfId="82" priority="26" operator="containsText" text=" ">
      <formula>NOT(ISERROR(SEARCH(" ",Z19)))</formula>
    </cfRule>
  </conditionalFormatting>
  <conditionalFormatting sqref="C5:C11">
    <cfRule type="containsText" dxfId="81" priority="24" operator="containsText" text=" ">
      <formula>NOT(ISERROR(SEARCH(" ",C5)))</formula>
    </cfRule>
  </conditionalFormatting>
  <conditionalFormatting sqref="I8:I9">
    <cfRule type="containsText" dxfId="80" priority="12" operator="containsText" text=" ">
      <formula>NOT(ISERROR(SEARCH(" ",I8)))</formula>
    </cfRule>
  </conditionalFormatting>
  <conditionalFormatting sqref="I10:I11">
    <cfRule type="containsText" dxfId="79" priority="6" operator="containsText" text=" ">
      <formula>NOT(ISERROR(SEARCH(" ",I10)))</formula>
    </cfRule>
  </conditionalFormatting>
  <conditionalFormatting sqref="N6:N7">
    <cfRule type="containsText" dxfId="78" priority="21" operator="containsText" text=" ">
      <formula>NOT(ISERROR(SEARCH(" ",N6)))</formula>
    </cfRule>
  </conditionalFormatting>
  <conditionalFormatting sqref="N8:N9">
    <cfRule type="containsText" dxfId="77" priority="10" operator="containsText" text=" ">
      <formula>NOT(ISERROR(SEARCH(" ",N8)))</formula>
    </cfRule>
  </conditionalFormatting>
  <conditionalFormatting sqref="N10:N11">
    <cfRule type="containsText" dxfId="76" priority="4" operator="containsText" text=" ">
      <formula>NOT(ISERROR(SEARCH(" ",N10)))</formula>
    </cfRule>
  </conditionalFormatting>
  <conditionalFormatting sqref="S6:S7">
    <cfRule type="containsText" dxfId="75" priority="16" operator="containsText" text=" ">
      <formula>NOT(ISERROR(SEARCH(" ",S6)))</formula>
    </cfRule>
  </conditionalFormatting>
  <conditionalFormatting sqref="S8:S9">
    <cfRule type="containsText" dxfId="74" priority="8" operator="containsText" text=" ">
      <formula>NOT(ISERROR(SEARCH(" ",S8)))</formula>
    </cfRule>
  </conditionalFormatting>
  <conditionalFormatting sqref="S10:S11">
    <cfRule type="containsText" dxfId="73" priority="2" operator="containsText" text=" ">
      <formula>NOT(ISERROR(SEARCH(" ",S10)))</formula>
    </cfRule>
  </conditionalFormatting>
  <conditionalFormatting sqref="X8:X11">
    <cfRule type="containsText" dxfId="72" priority="32" operator="containsText" text=" ">
      <formula>NOT(ISERROR(SEARCH(" ",X8)))</formula>
    </cfRule>
  </conditionalFormatting>
  <conditionalFormatting sqref="X13:X16">
    <cfRule type="containsText" dxfId="71" priority="29" operator="containsText" text=" ">
      <formula>NOT(ISERROR(SEARCH(" ",X13)))</formula>
    </cfRule>
  </conditionalFormatting>
  <conditionalFormatting sqref="Z8:Z11">
    <cfRule type="containsText" dxfId="70" priority="33" operator="containsText" text=" ">
      <formula>NOT(ISERROR(SEARCH(" ",Z8)))</formula>
    </cfRule>
  </conditionalFormatting>
  <conditionalFormatting sqref="Z13:Z16">
    <cfRule type="containsText" dxfId="69" priority="30" operator="containsText" text=" ">
      <formula>NOT(ISERROR(SEARCH(" ",Z13)))</formula>
    </cfRule>
  </conditionalFormatting>
  <conditionalFormatting sqref="E1:E11 A12:E1048576 AB1:XFD1048576 A5:B11">
    <cfRule type="containsText" dxfId="68" priority="43" operator="containsText" text=" ">
      <formula>NOT(ISERROR(SEARCH(" ",A1)))</formula>
    </cfRule>
  </conditionalFormatting>
  <conditionalFormatting sqref="F1:J2 F4:J5 J6:J7 F3 U4:V5 U1:W3 F6:H7">
    <cfRule type="containsText" dxfId="67" priority="35" operator="containsText" text=" ">
      <formula>NOT(ISERROR(SEARCH(" ",F1)))</formula>
    </cfRule>
  </conditionalFormatting>
  <conditionalFormatting sqref="K1:O2 K4:O5 K6:M7 O6:O7 K3">
    <cfRule type="containsText" dxfId="66" priority="20" operator="containsText" text=" ">
      <formula>NOT(ISERROR(SEARCH(" ",K1)))</formula>
    </cfRule>
  </conditionalFormatting>
  <conditionalFormatting sqref="P1:T2 T6:T7 P3 P4:T5 P6:R7">
    <cfRule type="containsText" dxfId="65" priority="15" operator="containsText" text=" ">
      <formula>NOT(ISERROR(SEARCH(" ",P1)))</formula>
    </cfRule>
  </conditionalFormatting>
  <conditionalFormatting sqref="Y8:Y11 W5:Z7 W8:W11 W12:Y12 W13:W16 Y13:Y16 X17:Z18 W19:Y19 W4:AA4">
    <cfRule type="containsText" dxfId="64" priority="34" operator="containsText" text=" ">
      <formula>NOT(ISERROR(SEARCH(" ",W4)))</formula>
    </cfRule>
  </conditionalFormatting>
  <conditionalFormatting sqref="AA5 F15:J1048576 AA12:AA19 U12:V19 U20:AA1048576">
    <cfRule type="containsText" dxfId="63" priority="42" operator="containsText" text=" ">
      <formula>NOT(ISERROR(SEARCH(" ",F5)))</formula>
    </cfRule>
  </conditionalFormatting>
  <conditionalFormatting sqref="V7 I6:I7 AA7">
    <cfRule type="containsText" dxfId="62" priority="40" operator="containsText" text=" ">
      <formula>NOT(ISERROR(SEARCH(" ",I6)))</formula>
    </cfRule>
  </conditionalFormatting>
  <conditionalFormatting sqref="U6:V6 U7:U11 AA6">
    <cfRule type="containsText" dxfId="61" priority="41" operator="containsText" text=" ">
      <formula>NOT(ISERROR(SEARCH(" ",U6)))</formula>
    </cfRule>
  </conditionalFormatting>
  <conditionalFormatting sqref="J8:J9 F8:H9">
    <cfRule type="containsText" dxfId="60" priority="11" operator="containsText" text=" ">
      <formula>NOT(ISERROR(SEARCH(" ",F8)))</formula>
    </cfRule>
  </conditionalFormatting>
  <conditionalFormatting sqref="K8:M9 O8:O9">
    <cfRule type="containsText" dxfId="59" priority="9" operator="containsText" text=" ">
      <formula>NOT(ISERROR(SEARCH(" ",K8)))</formula>
    </cfRule>
  </conditionalFormatting>
  <conditionalFormatting sqref="T8:T9 P8:R9">
    <cfRule type="containsText" dxfId="58" priority="7" operator="containsText" text=" ">
      <formula>NOT(ISERROR(SEARCH(" ",P8)))</formula>
    </cfRule>
  </conditionalFormatting>
  <conditionalFormatting sqref="V8 AA8">
    <cfRule type="containsText" dxfId="57" priority="39" operator="containsText" text=" ">
      <formula>NOT(ISERROR(SEARCH(" ",V8)))</formula>
    </cfRule>
  </conditionalFormatting>
  <conditionalFormatting sqref="V9 AA9">
    <cfRule type="containsText" dxfId="56" priority="38" operator="containsText" text=" ">
      <formula>NOT(ISERROR(SEARCH(" ",V9)))</formula>
    </cfRule>
  </conditionalFormatting>
  <conditionalFormatting sqref="J10:J11 F10:H11">
    <cfRule type="containsText" dxfId="55" priority="5" operator="containsText" text=" ">
      <formula>NOT(ISERROR(SEARCH(" ",F10)))</formula>
    </cfRule>
  </conditionalFormatting>
  <conditionalFormatting sqref="K10:M11 O10:O11">
    <cfRule type="containsText" dxfId="54" priority="3" operator="containsText" text=" ">
      <formula>NOT(ISERROR(SEARCH(" ",K10)))</formula>
    </cfRule>
  </conditionalFormatting>
  <conditionalFormatting sqref="T10:T11 P10:R11">
    <cfRule type="containsText" dxfId="53" priority="1" operator="containsText" text=" ">
      <formula>NOT(ISERROR(SEARCH(" ",P10)))</formula>
    </cfRule>
  </conditionalFormatting>
  <conditionalFormatting sqref="V10 AA10">
    <cfRule type="containsText" dxfId="52" priority="37" operator="containsText" text=" ">
      <formula>NOT(ISERROR(SEARCH(" ",V10)))</formula>
    </cfRule>
  </conditionalFormatting>
  <conditionalFormatting sqref="V11 AA11">
    <cfRule type="containsText" dxfId="51" priority="36" operator="containsText" text=" ">
      <formula>NOT(ISERROR(SEARCH(" ",V11)))</formula>
    </cfRule>
  </conditionalFormatting>
  <conditionalFormatting sqref="F13:J14">
    <cfRule type="containsText" dxfId="50" priority="25" operator="containsText" text=" ">
      <formula>NOT(ISERROR(SEARCH(" ",F13)))</formula>
    </cfRule>
  </conditionalFormatting>
  <conditionalFormatting sqref="K13:O14">
    <cfRule type="containsText" dxfId="49" priority="19" operator="containsText" text=" ">
      <formula>NOT(ISERROR(SEARCH(" ",K13)))</formula>
    </cfRule>
  </conditionalFormatting>
  <conditionalFormatting sqref="P13:T14">
    <cfRule type="containsText" dxfId="48" priority="14" operator="containsText" text=" ">
      <formula>NOT(ISERROR(SEARCH(" ",P13)))</formula>
    </cfRule>
  </conditionalFormatting>
  <conditionalFormatting sqref="K15:O1048576">
    <cfRule type="containsText" dxfId="47" priority="22" operator="containsText" text=" ">
      <formula>NOT(ISERROR(SEARCH(" ",K15)))</formula>
    </cfRule>
  </conditionalFormatting>
  <conditionalFormatting sqref="P15:T1048576">
    <cfRule type="containsText" dxfId="46" priority="17" operator="containsText" text=" ">
      <formula>NOT(ISERROR(SEARCH(" ",P15)))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9"/>
  <sheetViews>
    <sheetView workbookViewId="0">
      <selection activeCell="U37" sqref="U37"/>
    </sheetView>
  </sheetViews>
  <sheetFormatPr defaultColWidth="9" defaultRowHeight="15.6" x14ac:dyDescent="0.35"/>
  <cols>
    <col min="1" max="1" width="9" style="39"/>
    <col min="2" max="2" width="14.21875" style="39" customWidth="1"/>
    <col min="3" max="3" width="11.77734375" style="39" customWidth="1"/>
    <col min="4" max="9" width="9" style="39"/>
    <col min="10" max="10" width="14.77734375" style="39" customWidth="1"/>
    <col min="11" max="12" width="12.88671875" style="39" customWidth="1"/>
    <col min="13" max="16384" width="9" style="39"/>
  </cols>
  <sheetData>
    <row r="1" spans="1:13" x14ac:dyDescent="0.35">
      <c r="A1" s="2" t="s">
        <v>1</v>
      </c>
      <c r="B1" s="2" t="s">
        <v>1</v>
      </c>
      <c r="C1" s="2" t="s">
        <v>1</v>
      </c>
      <c r="F1" s="39" t="s">
        <v>2020</v>
      </c>
    </row>
    <row r="2" spans="1:13" x14ac:dyDescent="0.35">
      <c r="A2" s="2" t="s">
        <v>11</v>
      </c>
      <c r="B2" s="2" t="s">
        <v>11</v>
      </c>
      <c r="C2" s="2" t="s">
        <v>11</v>
      </c>
    </row>
    <row r="3" spans="1:13" x14ac:dyDescent="0.35">
      <c r="A3" s="2" t="s">
        <v>134</v>
      </c>
      <c r="B3" s="2" t="s">
        <v>2021</v>
      </c>
      <c r="C3" s="2" t="s">
        <v>135</v>
      </c>
    </row>
    <row r="4" spans="1:13" ht="52.8" x14ac:dyDescent="0.35">
      <c r="A4" s="60" t="s">
        <v>2006</v>
      </c>
      <c r="B4" s="60" t="s">
        <v>2022</v>
      </c>
      <c r="C4" s="60" t="s">
        <v>2023</v>
      </c>
    </row>
    <row r="5" spans="1:13" x14ac:dyDescent="0.35">
      <c r="A5" s="39">
        <v>1</v>
      </c>
      <c r="B5" s="39">
        <v>0</v>
      </c>
      <c r="C5" s="61">
        <v>5000</v>
      </c>
      <c r="I5" s="62" t="s">
        <v>2024</v>
      </c>
      <c r="J5" s="62" t="s">
        <v>2025</v>
      </c>
      <c r="K5" s="62" t="s">
        <v>2026</v>
      </c>
      <c r="L5" s="62" t="s">
        <v>2027</v>
      </c>
      <c r="M5" s="62" t="s">
        <v>2028</v>
      </c>
    </row>
    <row r="6" spans="1:13" x14ac:dyDescent="0.35">
      <c r="A6" s="39">
        <v>2</v>
      </c>
      <c r="B6" s="39">
        <v>250</v>
      </c>
      <c r="C6" s="61">
        <f>C5</f>
        <v>5000</v>
      </c>
      <c r="I6" s="39">
        <v>1000</v>
      </c>
      <c r="J6" s="39">
        <f>C5</f>
        <v>5000</v>
      </c>
      <c r="K6" s="63">
        <v>10</v>
      </c>
      <c r="L6" s="39">
        <v>0</v>
      </c>
      <c r="M6" s="39">
        <f>(J6/(I6*(1/K6))+L6)*0.96</f>
        <v>48</v>
      </c>
    </row>
    <row r="7" spans="1:13" x14ac:dyDescent="0.35">
      <c r="A7" s="39">
        <v>3</v>
      </c>
      <c r="B7" s="39">
        <v>500</v>
      </c>
      <c r="C7" s="61">
        <f t="shared" ref="C7:C9" si="0">C6</f>
        <v>5000</v>
      </c>
      <c r="I7" s="39">
        <f>I6</f>
        <v>1000</v>
      </c>
      <c r="J7" s="39">
        <f>C6</f>
        <v>5000</v>
      </c>
      <c r="K7" s="39">
        <v>200</v>
      </c>
      <c r="L7" s="39">
        <v>0</v>
      </c>
      <c r="M7" s="39">
        <f>(J7/(I7*(1/K7))+L7)*0.96</f>
        <v>960</v>
      </c>
    </row>
    <row r="8" spans="1:13" x14ac:dyDescent="0.35">
      <c r="A8" s="39">
        <v>4</v>
      </c>
      <c r="B8" s="39">
        <v>1000</v>
      </c>
      <c r="C8" s="61">
        <f t="shared" si="0"/>
        <v>5000</v>
      </c>
      <c r="I8" s="39">
        <f t="shared" ref="I8:I9" si="1">I7</f>
        <v>1000</v>
      </c>
      <c r="J8" s="61">
        <f>C7</f>
        <v>5000</v>
      </c>
      <c r="K8" s="61">
        <v>500</v>
      </c>
      <c r="L8" s="61">
        <v>0</v>
      </c>
      <c r="M8" s="61">
        <f>(J8/(I8*(1/K8))+L8)*0.96</f>
        <v>2400</v>
      </c>
    </row>
    <row r="9" spans="1:13" x14ac:dyDescent="0.35">
      <c r="A9" s="39">
        <v>5</v>
      </c>
      <c r="B9" s="39">
        <v>3000</v>
      </c>
      <c r="C9" s="61">
        <f t="shared" si="0"/>
        <v>5000</v>
      </c>
      <c r="I9" s="39">
        <f t="shared" si="1"/>
        <v>1000</v>
      </c>
      <c r="J9" s="39">
        <f>C8</f>
        <v>5000</v>
      </c>
      <c r="K9" s="39">
        <v>5000</v>
      </c>
      <c r="L9" s="39">
        <v>0</v>
      </c>
      <c r="M9" s="39">
        <f>(J9/(I9*(1/K9))+L9)*0.96</f>
        <v>24000</v>
      </c>
    </row>
  </sheetData>
  <phoneticPr fontId="57" type="noConversion"/>
  <conditionalFormatting sqref="K6">
    <cfRule type="containsText" dxfId="45" priority="1" operator="containsText" text=" ">
      <formula>NOT(ISERROR(SEARCH(" ",K6)))</formula>
    </cfRule>
    <cfRule type="containsText" dxfId="44" priority="2" operator="containsText" text=" ">
      <formula>NOT(ISERROR(SEARCH(" ",K6)))</formula>
    </cfRule>
  </conditionalFormatting>
  <conditionalFormatting sqref="A1:C4">
    <cfRule type="containsText" dxfId="43" priority="4" operator="containsText" text=" ">
      <formula>NOT(ISERROR(SEARCH(" ",A1)))</formula>
    </cfRule>
  </conditionalFormatting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12"/>
  <sheetViews>
    <sheetView workbookViewId="0">
      <selection activeCell="M29" sqref="M29"/>
    </sheetView>
  </sheetViews>
  <sheetFormatPr defaultColWidth="9" defaultRowHeight="15.6" x14ac:dyDescent="0.25"/>
  <cols>
    <col min="1" max="1" width="10.44140625" style="1" customWidth="1"/>
    <col min="2" max="2" width="9.88671875" style="1" customWidth="1"/>
    <col min="3" max="5" width="9" style="1"/>
    <col min="6" max="6" width="10.6640625" style="1" customWidth="1"/>
    <col min="7" max="7" width="13.44140625" style="1" customWidth="1"/>
    <col min="8" max="8" width="9.77734375" style="1" customWidth="1"/>
    <col min="9" max="9" width="21.33203125" style="1" customWidth="1"/>
    <col min="10" max="10" width="9" style="1"/>
    <col min="11" max="11" width="21.88671875" style="1" customWidth="1"/>
    <col min="12" max="13" width="9" style="1"/>
    <col min="14" max="14" width="10.6640625" style="1" customWidth="1"/>
    <col min="15" max="16384" width="9" style="1"/>
  </cols>
  <sheetData>
    <row r="1" spans="1:12" x14ac:dyDescent="0.35">
      <c r="A1" s="2" t="s">
        <v>0</v>
      </c>
      <c r="B1" s="2" t="s">
        <v>0</v>
      </c>
      <c r="C1" s="51" t="s">
        <v>0</v>
      </c>
      <c r="D1" s="51" t="s">
        <v>0</v>
      </c>
      <c r="E1" s="51" t="s">
        <v>0</v>
      </c>
      <c r="F1" s="51" t="s">
        <v>0</v>
      </c>
      <c r="G1" s="51" t="s">
        <v>0</v>
      </c>
      <c r="H1" s="51" t="s">
        <v>0</v>
      </c>
      <c r="I1" s="2" t="s">
        <v>0</v>
      </c>
      <c r="K1" s="12" t="s">
        <v>2029</v>
      </c>
      <c r="L1" s="1">
        <f>'鱼属性|FishAttribute'!$BF$53</f>
        <v>150</v>
      </c>
    </row>
    <row r="2" spans="1:12" x14ac:dyDescent="0.35">
      <c r="A2" s="2" t="s">
        <v>11</v>
      </c>
      <c r="B2" s="2" t="s">
        <v>11</v>
      </c>
      <c r="C2" s="51" t="s">
        <v>11</v>
      </c>
      <c r="D2" s="51" t="s">
        <v>11</v>
      </c>
      <c r="E2" s="51" t="s">
        <v>11</v>
      </c>
      <c r="F2" s="51" t="s">
        <v>11</v>
      </c>
      <c r="G2" s="51" t="s">
        <v>11</v>
      </c>
      <c r="H2" s="51" t="s">
        <v>11</v>
      </c>
      <c r="I2" s="2" t="s">
        <v>14</v>
      </c>
      <c r="K2" s="1" t="s">
        <v>2030</v>
      </c>
      <c r="L2" s="1">
        <f>1/(0.96/L1)/5*1000</f>
        <v>31250</v>
      </c>
    </row>
    <row r="3" spans="1:12" ht="30" x14ac:dyDescent="0.35">
      <c r="A3" s="2" t="s">
        <v>98</v>
      </c>
      <c r="B3" s="2" t="s">
        <v>942</v>
      </c>
      <c r="C3" s="51" t="s">
        <v>2031</v>
      </c>
      <c r="D3" s="51" t="s">
        <v>2032</v>
      </c>
      <c r="E3" s="51" t="s">
        <v>2033</v>
      </c>
      <c r="F3" s="51" t="s">
        <v>2034</v>
      </c>
      <c r="G3" s="51" t="s">
        <v>2035</v>
      </c>
      <c r="H3" s="52" t="s">
        <v>2036</v>
      </c>
      <c r="I3" s="2" t="s">
        <v>2037</v>
      </c>
      <c r="K3" s="1" t="s">
        <v>2038</v>
      </c>
      <c r="L3" s="55" t="str">
        <f>'全局参数|GlobalPar'!B35</f>
        <v>80</v>
      </c>
    </row>
    <row r="4" spans="1:12" ht="66" x14ac:dyDescent="0.25">
      <c r="A4" s="4" t="s">
        <v>2039</v>
      </c>
      <c r="B4" s="4" t="s">
        <v>2040</v>
      </c>
      <c r="C4" s="53" t="s">
        <v>2041</v>
      </c>
      <c r="D4" s="53" t="s">
        <v>2042</v>
      </c>
      <c r="E4" s="53" t="s">
        <v>2043</v>
      </c>
      <c r="F4" s="53" t="s">
        <v>2044</v>
      </c>
      <c r="G4" s="53" t="s">
        <v>2045</v>
      </c>
      <c r="H4" s="53" t="s">
        <v>2046</v>
      </c>
      <c r="I4" s="4" t="s">
        <v>2047</v>
      </c>
      <c r="K4" s="56" t="s">
        <v>2048</v>
      </c>
      <c r="L4" s="57">
        <f>L2/F5*G5</f>
        <v>150</v>
      </c>
    </row>
    <row r="5" spans="1:12" x14ac:dyDescent="0.25">
      <c r="A5" s="1">
        <v>1</v>
      </c>
      <c r="B5" s="1">
        <v>2</v>
      </c>
      <c r="C5" s="12">
        <v>10</v>
      </c>
      <c r="D5" s="12">
        <f t="shared" ref="D5:D10" si="0">C5+100</f>
        <v>110</v>
      </c>
      <c r="E5" s="12">
        <v>200</v>
      </c>
      <c r="F5" s="54">
        <v>625</v>
      </c>
      <c r="G5" s="54">
        <v>3</v>
      </c>
      <c r="H5" s="12">
        <f>L5</f>
        <v>100</v>
      </c>
      <c r="I5" s="58" t="s">
        <v>2049</v>
      </c>
      <c r="K5" s="1" t="s">
        <v>2050</v>
      </c>
      <c r="L5" s="59">
        <v>100</v>
      </c>
    </row>
    <row r="6" spans="1:12" x14ac:dyDescent="0.25">
      <c r="A6" s="1">
        <v>2</v>
      </c>
      <c r="B6" s="1">
        <v>2</v>
      </c>
      <c r="C6" s="12">
        <f>D5+20</f>
        <v>130</v>
      </c>
      <c r="D6" s="12">
        <f t="shared" si="0"/>
        <v>230</v>
      </c>
      <c r="E6" s="12">
        <f>E5</f>
        <v>200</v>
      </c>
      <c r="F6" s="12">
        <f>F5</f>
        <v>625</v>
      </c>
      <c r="G6" s="12">
        <f>G5</f>
        <v>3</v>
      </c>
      <c r="H6" s="12">
        <f>H5</f>
        <v>100</v>
      </c>
      <c r="I6" s="58" t="s">
        <v>2051</v>
      </c>
    </row>
    <row r="7" spans="1:12" x14ac:dyDescent="0.25">
      <c r="A7" s="1">
        <v>4</v>
      </c>
      <c r="B7" s="1">
        <v>3</v>
      </c>
      <c r="C7" s="12">
        <v>10</v>
      </c>
      <c r="D7" s="12">
        <f t="shared" si="0"/>
        <v>110</v>
      </c>
      <c r="E7" s="12">
        <f t="shared" ref="E7:E8" si="1">E6</f>
        <v>200</v>
      </c>
      <c r="F7" s="12">
        <f t="shared" ref="F7:H8" si="2">F6</f>
        <v>625</v>
      </c>
      <c r="G7" s="12">
        <f t="shared" si="2"/>
        <v>3</v>
      </c>
      <c r="H7" s="12">
        <f t="shared" si="2"/>
        <v>100</v>
      </c>
      <c r="I7" s="58" t="s">
        <v>2049</v>
      </c>
    </row>
    <row r="8" spans="1:12" x14ac:dyDescent="0.25">
      <c r="A8" s="1">
        <v>5</v>
      </c>
      <c r="B8" s="1">
        <v>3</v>
      </c>
      <c r="C8" s="12">
        <f>D7+20</f>
        <v>130</v>
      </c>
      <c r="D8" s="12">
        <f t="shared" si="0"/>
        <v>230</v>
      </c>
      <c r="E8" s="12">
        <f t="shared" si="1"/>
        <v>200</v>
      </c>
      <c r="F8" s="12">
        <f t="shared" si="2"/>
        <v>625</v>
      </c>
      <c r="G8" s="12">
        <f t="shared" si="2"/>
        <v>3</v>
      </c>
      <c r="H8" s="12">
        <f t="shared" si="2"/>
        <v>100</v>
      </c>
      <c r="I8" s="58" t="s">
        <v>2051</v>
      </c>
    </row>
    <row r="9" spans="1:12" x14ac:dyDescent="0.25">
      <c r="A9" s="1">
        <v>6</v>
      </c>
      <c r="B9" s="1">
        <v>1</v>
      </c>
      <c r="C9" s="12">
        <v>10</v>
      </c>
      <c r="D9" s="12">
        <f t="shared" si="0"/>
        <v>110</v>
      </c>
      <c r="E9" s="12">
        <v>200</v>
      </c>
      <c r="F9" s="12">
        <v>625</v>
      </c>
      <c r="G9" s="12">
        <v>3</v>
      </c>
      <c r="H9" s="12">
        <v>100</v>
      </c>
      <c r="I9" s="1">
        <v>701</v>
      </c>
    </row>
    <row r="10" spans="1:12" x14ac:dyDescent="0.25">
      <c r="A10" s="1">
        <v>7</v>
      </c>
      <c r="B10" s="1">
        <v>1</v>
      </c>
      <c r="C10" s="12">
        <f>D9+20</f>
        <v>130</v>
      </c>
      <c r="D10" s="12">
        <f t="shared" si="0"/>
        <v>230</v>
      </c>
      <c r="E10" s="12">
        <v>200</v>
      </c>
      <c r="F10" s="12">
        <v>625</v>
      </c>
      <c r="G10" s="12">
        <v>3</v>
      </c>
      <c r="H10" s="12">
        <v>100</v>
      </c>
      <c r="I10" s="1">
        <v>702</v>
      </c>
    </row>
    <row r="11" spans="1:12" x14ac:dyDescent="0.25">
      <c r="A11" s="1">
        <v>8</v>
      </c>
      <c r="B11" s="1">
        <v>4</v>
      </c>
      <c r="C11" s="12">
        <v>10</v>
      </c>
      <c r="D11" s="12">
        <f t="shared" ref="D11:D12" si="3">C11+100</f>
        <v>110</v>
      </c>
      <c r="E11" s="12">
        <v>200</v>
      </c>
      <c r="F11" s="12">
        <v>625</v>
      </c>
      <c r="G11" s="12">
        <v>3</v>
      </c>
      <c r="H11" s="12">
        <v>100</v>
      </c>
      <c r="I11" s="1">
        <v>701</v>
      </c>
    </row>
    <row r="12" spans="1:12" x14ac:dyDescent="0.25">
      <c r="A12" s="1">
        <v>9</v>
      </c>
      <c r="B12" s="1">
        <v>4</v>
      </c>
      <c r="C12" s="12">
        <f>D11+20</f>
        <v>130</v>
      </c>
      <c r="D12" s="12">
        <f t="shared" si="3"/>
        <v>230</v>
      </c>
      <c r="E12" s="12">
        <v>200</v>
      </c>
      <c r="F12" s="12">
        <v>625</v>
      </c>
      <c r="G12" s="12">
        <v>3</v>
      </c>
      <c r="H12" s="12">
        <v>100</v>
      </c>
      <c r="I12" s="1">
        <v>702</v>
      </c>
    </row>
  </sheetData>
  <phoneticPr fontId="57" type="noConversion"/>
  <conditionalFormatting sqref="B11:B12">
    <cfRule type="containsText" dxfId="42" priority="4" operator="containsText" text=" ">
      <formula>NOT(ISERROR(SEARCH(" ",B11)))</formula>
    </cfRule>
  </conditionalFormatting>
  <conditionalFormatting sqref="E11:E12">
    <cfRule type="containsText" dxfId="41" priority="2" operator="containsText" text=" ">
      <formula>NOT(ISERROR(SEARCH(" ",E11)))</formula>
    </cfRule>
  </conditionalFormatting>
  <conditionalFormatting sqref="O5:O6">
    <cfRule type="containsText" dxfId="40" priority="13" operator="containsText" text=" ">
      <formula>NOT(ISERROR(SEARCH(" ",O5)))</formula>
    </cfRule>
  </conditionalFormatting>
  <conditionalFormatting sqref="F5:N5 B5:B10 G6:N6 G7:H8 F6:F8 P5:XFD6 A13:N1048576 P11:XFD39 P44:XFD1048576 J11:N12">
    <cfRule type="containsText" dxfId="39" priority="23" operator="containsText" text=" ">
      <formula>NOT(ISERROR(SEARCH(" ",A5)))</formula>
    </cfRule>
  </conditionalFormatting>
  <conditionalFormatting sqref="C5:E5 C6:D6 E6:E10">
    <cfRule type="containsText" dxfId="38" priority="15" operator="containsText" text=" ">
      <formula>NOT(ISERROR(SEARCH(" ",C5)))</formula>
    </cfRule>
  </conditionalFormatting>
  <conditionalFormatting sqref="C7:D8">
    <cfRule type="containsText" dxfId="37" priority="6" operator="containsText" text=" ">
      <formula>NOT(ISERROR(SEARCH(" ",C7)))</formula>
    </cfRule>
  </conditionalFormatting>
  <conditionalFormatting sqref="P7:XFD10 I7:N8 P40:XFD43 F9:N10 O20:O36 O38:O40 O53:O1048576">
    <cfRule type="containsText" dxfId="36" priority="21" operator="containsText" text=" ">
      <formula>NOT(ISERROR(SEARCH(" ",F7)))</formula>
    </cfRule>
  </conditionalFormatting>
  <conditionalFormatting sqref="O7:O8 O52 O17">
    <cfRule type="containsText" dxfId="35" priority="12" operator="containsText" text=" ">
      <formula>NOT(ISERROR(SEARCH(" ",O7)))</formula>
    </cfRule>
  </conditionalFormatting>
  <conditionalFormatting sqref="C9:D10">
    <cfRule type="containsText" dxfId="34" priority="5" operator="containsText" text=" ">
      <formula>NOT(ISERROR(SEARCH(" ",C9)))</formula>
    </cfRule>
  </conditionalFormatting>
  <conditionalFormatting sqref="C11:D12">
    <cfRule type="containsText" dxfId="33" priority="1" operator="containsText" text=" ">
      <formula>NOT(ISERROR(SEARCH(" ",C11)))</formula>
    </cfRule>
  </conditionalFormatting>
  <conditionalFormatting sqref="F11:I12">
    <cfRule type="containsText" dxfId="32" priority="3" operator="containsText" text=" ">
      <formula>NOT(ISERROR(SEARCH(" ",F11)))</formula>
    </cfRule>
  </conditionalFormatting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7"/>
  <sheetViews>
    <sheetView workbookViewId="0">
      <selection activeCell="E6" sqref="E6"/>
    </sheetView>
  </sheetViews>
  <sheetFormatPr defaultColWidth="9" defaultRowHeight="15.6" x14ac:dyDescent="0.25"/>
  <cols>
    <col min="2" max="4" width="23.33203125" customWidth="1"/>
    <col min="5" max="5" width="12" customWidth="1"/>
    <col min="12" max="13" width="10.33203125" style="1" customWidth="1"/>
    <col min="14" max="16" width="9" style="1"/>
  </cols>
  <sheetData>
    <row r="1" spans="1:17" x14ac:dyDescent="0.35">
      <c r="A1" s="2" t="s">
        <v>0</v>
      </c>
      <c r="B1" s="30" t="s">
        <v>0</v>
      </c>
      <c r="C1" s="31" t="s">
        <v>0</v>
      </c>
    </row>
    <row r="2" spans="1:17" x14ac:dyDescent="0.35">
      <c r="A2" s="2" t="s">
        <v>11</v>
      </c>
      <c r="B2" s="30" t="s">
        <v>14</v>
      </c>
      <c r="C2" s="31" t="s">
        <v>14</v>
      </c>
    </row>
    <row r="3" spans="1:17" ht="16.2" x14ac:dyDescent="0.4">
      <c r="A3" s="2" t="s">
        <v>98</v>
      </c>
      <c r="B3" s="30" t="s">
        <v>30</v>
      </c>
      <c r="C3" s="32" t="s">
        <v>2052</v>
      </c>
      <c r="E3" s="33" t="s">
        <v>2053</v>
      </c>
    </row>
    <row r="4" spans="1:17" ht="92.4" x14ac:dyDescent="0.25">
      <c r="A4" s="34" t="s">
        <v>2054</v>
      </c>
      <c r="B4" s="4" t="s">
        <v>2055</v>
      </c>
      <c r="C4" s="35" t="s">
        <v>2055</v>
      </c>
      <c r="E4" s="36" t="s">
        <v>1638</v>
      </c>
      <c r="F4" s="37" t="s">
        <v>1134</v>
      </c>
      <c r="G4" s="37" t="s">
        <v>1135</v>
      </c>
      <c r="H4" s="38" t="s">
        <v>99</v>
      </c>
      <c r="I4" s="46" t="s">
        <v>2056</v>
      </c>
      <c r="L4" s="47">
        <f>'抽奖|MoonBless'!DN4</f>
        <v>0</v>
      </c>
      <c r="M4" s="48" t="str">
        <f>'抽奖|MoonBless'!DO4</f>
        <v>人民币价值</v>
      </c>
      <c r="N4" s="49" t="str">
        <f>'抽奖|MoonBless'!DP4</f>
        <v>价值
钻石价值</v>
      </c>
      <c r="O4" s="48" t="str">
        <f>'抽奖|MoonBless'!DQ4</f>
        <v>物品类型</v>
      </c>
      <c r="P4" s="50" t="str">
        <f>'抽奖|MoonBless'!DR4</f>
        <v>id</v>
      </c>
    </row>
    <row r="5" spans="1:17" x14ac:dyDescent="0.35">
      <c r="A5" s="39">
        <v>1</v>
      </c>
      <c r="B5" s="1" t="str">
        <f t="shared" ref="B5:B11" si="0">F5&amp;"|"&amp;G5&amp;"|"&amp;H5</f>
        <v>1|2|3000</v>
      </c>
      <c r="C5" s="1" t="str">
        <f>F5&amp;"|"&amp;G5&amp;"|"&amp;H5</f>
        <v>1|2|3000</v>
      </c>
      <c r="D5" s="1"/>
      <c r="E5" s="40" t="s">
        <v>169</v>
      </c>
      <c r="F5" s="11">
        <f t="shared" ref="F5:F11" si="1">VLOOKUP(E5,L:P,4,0)</f>
        <v>1</v>
      </c>
      <c r="G5" s="11">
        <f t="shared" ref="G5:G11" si="2">VLOOKUP(E5,L:P,5,0)</f>
        <v>2</v>
      </c>
      <c r="H5" s="41">
        <v>3000</v>
      </c>
      <c r="I5" s="19">
        <f t="shared" ref="I5:I11" si="3">VLOOKUP(E5,L:P,2,0)*H5</f>
        <v>1.5000000000000001E-2</v>
      </c>
      <c r="L5" s="10" t="str">
        <f>'抽奖|MoonBless'!DN5</f>
        <v>人民币</v>
      </c>
      <c r="M5" s="11">
        <f>'抽奖|MoonBless'!DO5</f>
        <v>1</v>
      </c>
      <c r="N5" s="11">
        <f>'抽奖|MoonBless'!DP5</f>
        <v>10</v>
      </c>
      <c r="O5" s="11">
        <f>'抽奖|MoonBless'!DQ5</f>
        <v>1</v>
      </c>
      <c r="P5" s="19">
        <f>'抽奖|MoonBless'!DR5</f>
        <v>0</v>
      </c>
    </row>
    <row r="6" spans="1:17" ht="16.2" x14ac:dyDescent="0.35">
      <c r="A6" s="39">
        <v>2</v>
      </c>
      <c r="B6" s="1" t="str">
        <f t="shared" si="0"/>
        <v>2|1204|10</v>
      </c>
      <c r="C6" s="42" t="s">
        <v>1726</v>
      </c>
      <c r="D6" s="39"/>
      <c r="E6" s="40" t="s">
        <v>1110</v>
      </c>
      <c r="F6" s="11">
        <f t="shared" si="1"/>
        <v>2</v>
      </c>
      <c r="G6" s="11">
        <f t="shared" si="2"/>
        <v>1204</v>
      </c>
      <c r="H6" s="41">
        <v>10</v>
      </c>
      <c r="I6" s="19">
        <f t="shared" si="3"/>
        <v>2.5000000000000001E-2</v>
      </c>
      <c r="L6" s="10" t="str">
        <f>'抽奖|MoonBless'!DN6</f>
        <v>钻石</v>
      </c>
      <c r="M6" s="11">
        <f>'抽奖|MoonBless'!DO6</f>
        <v>0.1</v>
      </c>
      <c r="N6" s="11">
        <f>'抽奖|MoonBless'!DP6</f>
        <v>1</v>
      </c>
      <c r="O6" s="11">
        <f>'抽奖|MoonBless'!DQ6</f>
        <v>1</v>
      </c>
      <c r="P6" s="19">
        <f>'抽奖|MoonBless'!DR6</f>
        <v>1</v>
      </c>
    </row>
    <row r="7" spans="1:17" ht="16.2" x14ac:dyDescent="0.35">
      <c r="A7" s="39">
        <v>3</v>
      </c>
      <c r="B7" s="1" t="str">
        <f t="shared" si="0"/>
        <v>1|1|20</v>
      </c>
      <c r="C7" s="1" t="str">
        <f t="shared" ref="C7:C11" si="4">F7&amp;"|"&amp;G7&amp;"|"&amp;H7</f>
        <v>1|1|20</v>
      </c>
      <c r="D7" s="39"/>
      <c r="E7" s="43" t="s">
        <v>1107</v>
      </c>
      <c r="F7" s="11">
        <f t="shared" si="1"/>
        <v>1</v>
      </c>
      <c r="G7" s="11">
        <f t="shared" si="2"/>
        <v>1</v>
      </c>
      <c r="H7" s="41">
        <v>20</v>
      </c>
      <c r="I7" s="19">
        <f t="shared" si="3"/>
        <v>2</v>
      </c>
      <c r="L7" s="10" t="str">
        <f>'抽奖|MoonBless'!DN7</f>
        <v>金币</v>
      </c>
      <c r="M7" s="11">
        <f>'抽奖|MoonBless'!DO7</f>
        <v>5.0000000000000004E-6</v>
      </c>
      <c r="N7" s="11">
        <f>'抽奖|MoonBless'!DP7</f>
        <v>5.0000000000000002E-5</v>
      </c>
      <c r="O7" s="11">
        <f>'抽奖|MoonBless'!DQ7</f>
        <v>1</v>
      </c>
      <c r="P7" s="19">
        <f>'抽奖|MoonBless'!DR7</f>
        <v>2</v>
      </c>
    </row>
    <row r="8" spans="1:17" ht="16.2" x14ac:dyDescent="0.35">
      <c r="A8" s="39">
        <v>4</v>
      </c>
      <c r="B8" s="1" t="str">
        <f t="shared" si="0"/>
        <v>1|2|10000</v>
      </c>
      <c r="C8" s="1" t="str">
        <f t="shared" si="4"/>
        <v>1|2|10000</v>
      </c>
      <c r="D8" s="39"/>
      <c r="E8" s="43" t="s">
        <v>169</v>
      </c>
      <c r="F8" s="11">
        <f t="shared" si="1"/>
        <v>1</v>
      </c>
      <c r="G8" s="11">
        <f t="shared" si="2"/>
        <v>2</v>
      </c>
      <c r="H8" s="41">
        <v>10000</v>
      </c>
      <c r="I8" s="19">
        <f t="shared" si="3"/>
        <v>0.05</v>
      </c>
      <c r="L8" s="10" t="str">
        <f>'抽奖|MoonBless'!DN8</f>
        <v>锁定</v>
      </c>
      <c r="M8" s="11">
        <f>'抽奖|MoonBless'!DO8</f>
        <v>0.2</v>
      </c>
      <c r="N8" s="11">
        <f>'抽奖|MoonBless'!DP8</f>
        <v>2</v>
      </c>
      <c r="O8" s="11">
        <f>'抽奖|MoonBless'!DQ8</f>
        <v>2</v>
      </c>
      <c r="P8" s="19">
        <f>'抽奖|MoonBless'!DR8</f>
        <v>1001</v>
      </c>
    </row>
    <row r="9" spans="1:17" ht="16.2" x14ac:dyDescent="0.35">
      <c r="A9" s="39">
        <v>5</v>
      </c>
      <c r="B9" s="1" t="str">
        <f t="shared" si="0"/>
        <v>1|1|50</v>
      </c>
      <c r="C9" s="1" t="str">
        <f t="shared" si="4"/>
        <v>1|1|50</v>
      </c>
      <c r="D9" s="39"/>
      <c r="E9" s="43" t="s">
        <v>1107</v>
      </c>
      <c r="F9" s="11">
        <f t="shared" si="1"/>
        <v>1</v>
      </c>
      <c r="G9" s="11">
        <f t="shared" si="2"/>
        <v>1</v>
      </c>
      <c r="H9" s="41">
        <v>50</v>
      </c>
      <c r="I9" s="19">
        <f t="shared" si="3"/>
        <v>5</v>
      </c>
      <c r="L9" s="10" t="str">
        <f>'抽奖|MoonBless'!DN9</f>
        <v>冰冻</v>
      </c>
      <c r="M9" s="11">
        <f>'抽奖|MoonBless'!DO9</f>
        <v>0.5</v>
      </c>
      <c r="N9" s="11">
        <f>'抽奖|MoonBless'!DP9</f>
        <v>5</v>
      </c>
      <c r="O9" s="11">
        <f>'抽奖|MoonBless'!DQ9</f>
        <v>2</v>
      </c>
      <c r="P9" s="19">
        <f>'抽奖|MoonBless'!DR9</f>
        <v>1002</v>
      </c>
    </row>
    <row r="10" spans="1:17" x14ac:dyDescent="0.35">
      <c r="A10" s="39">
        <v>6</v>
      </c>
      <c r="B10" s="1" t="str">
        <f t="shared" si="0"/>
        <v>1|2|50000</v>
      </c>
      <c r="C10" s="1" t="str">
        <f t="shared" si="4"/>
        <v>1|2|50000</v>
      </c>
      <c r="D10" s="39"/>
      <c r="E10" s="40" t="s">
        <v>169</v>
      </c>
      <c r="F10" s="11">
        <f t="shared" si="1"/>
        <v>1</v>
      </c>
      <c r="G10" s="11">
        <f t="shared" si="2"/>
        <v>2</v>
      </c>
      <c r="H10" s="41">
        <v>50000</v>
      </c>
      <c r="I10" s="19">
        <f t="shared" si="3"/>
        <v>0.25</v>
      </c>
      <c r="L10" s="10" t="str">
        <f>'抽奖|MoonBless'!DN10</f>
        <v>狂暴</v>
      </c>
      <c r="M10" s="11">
        <f>'抽奖|MoonBless'!DO10</f>
        <v>1</v>
      </c>
      <c r="N10" s="11">
        <f>'抽奖|MoonBless'!DP10</f>
        <v>10</v>
      </c>
      <c r="O10" s="11">
        <f>'抽奖|MoonBless'!DQ10</f>
        <v>2</v>
      </c>
      <c r="P10" s="19">
        <f>'抽奖|MoonBless'!DR10</f>
        <v>1003</v>
      </c>
    </row>
    <row r="11" spans="1:17" ht="16.2" x14ac:dyDescent="0.35">
      <c r="A11" s="39">
        <v>7</v>
      </c>
      <c r="B11" s="1" t="str">
        <f t="shared" si="0"/>
        <v>2|1005|1</v>
      </c>
      <c r="C11" s="1" t="str">
        <f t="shared" si="4"/>
        <v>2|1005|1</v>
      </c>
      <c r="D11" s="39"/>
      <c r="E11" s="44" t="s">
        <v>1662</v>
      </c>
      <c r="F11" s="14">
        <f t="shared" si="1"/>
        <v>2</v>
      </c>
      <c r="G11" s="14">
        <f t="shared" si="2"/>
        <v>1005</v>
      </c>
      <c r="H11" s="45">
        <v>1</v>
      </c>
      <c r="I11" s="21">
        <f t="shared" si="3"/>
        <v>5</v>
      </c>
      <c r="L11" s="10" t="str">
        <f>'抽奖|MoonBless'!DN11</f>
        <v>召唤</v>
      </c>
      <c r="M11" s="11">
        <f>'抽奖|MoonBless'!DO11</f>
        <v>0.2</v>
      </c>
      <c r="N11" s="11">
        <f>'抽奖|MoonBless'!DP11</f>
        <v>2</v>
      </c>
      <c r="O11" s="11">
        <f>'抽奖|MoonBless'!DQ11</f>
        <v>2</v>
      </c>
      <c r="P11" s="19">
        <f>'抽奖|MoonBless'!DR11</f>
        <v>1004</v>
      </c>
    </row>
    <row r="12" spans="1:17" x14ac:dyDescent="0.25">
      <c r="L12" s="10" t="str">
        <f>'抽奖|MoonBless'!DN12</f>
        <v>福卡</v>
      </c>
      <c r="M12" s="11">
        <f>'抽奖|MoonBless'!DO12</f>
        <v>2.5000000000000001E-3</v>
      </c>
      <c r="N12" s="11">
        <f>'抽奖|MoonBless'!DP12</f>
        <v>2.5000000000000001E-2</v>
      </c>
      <c r="O12" s="11">
        <f>'抽奖|MoonBless'!DQ12</f>
        <v>2</v>
      </c>
      <c r="P12" s="19">
        <f>'抽奖|MoonBless'!DR12</f>
        <v>1204</v>
      </c>
      <c r="Q12">
        <v>5</v>
      </c>
    </row>
    <row r="13" spans="1:17" x14ac:dyDescent="0.25">
      <c r="L13" s="10" t="str">
        <f>'抽奖|MoonBless'!DN13</f>
        <v>超级武器1</v>
      </c>
      <c r="M13" s="11">
        <f>'抽奖|MoonBless'!DO13</f>
        <v>5</v>
      </c>
      <c r="N13" s="11">
        <f>'抽奖|MoonBless'!DP13</f>
        <v>50</v>
      </c>
      <c r="O13" s="11">
        <f>'抽奖|MoonBless'!DQ13</f>
        <v>2</v>
      </c>
      <c r="P13" s="19">
        <f>'抽奖|MoonBless'!DR13</f>
        <v>1005</v>
      </c>
    </row>
    <row r="14" spans="1:17" x14ac:dyDescent="0.25">
      <c r="L14" s="10" t="str">
        <f>'抽奖|MoonBless'!DN14</f>
        <v>超级武器2</v>
      </c>
      <c r="M14" s="11">
        <f>'抽奖|MoonBless'!DO14</f>
        <v>10</v>
      </c>
      <c r="N14" s="11">
        <f>'抽奖|MoonBless'!DP14</f>
        <v>100</v>
      </c>
      <c r="O14" s="11">
        <f>'抽奖|MoonBless'!DQ14</f>
        <v>2</v>
      </c>
      <c r="P14" s="19">
        <f>'抽奖|MoonBless'!DR14</f>
        <v>1006</v>
      </c>
    </row>
    <row r="15" spans="1:17" x14ac:dyDescent="0.25">
      <c r="E15" s="40"/>
      <c r="F15" s="11"/>
      <c r="G15" s="11"/>
      <c r="H15" s="41"/>
      <c r="I15" s="19"/>
      <c r="L15" s="10" t="str">
        <f>'抽奖|MoonBless'!DN15</f>
        <v>超级武器3</v>
      </c>
      <c r="M15" s="11">
        <f>'抽奖|MoonBless'!DO15</f>
        <v>25</v>
      </c>
      <c r="N15" s="11">
        <f>'抽奖|MoonBless'!DP15</f>
        <v>250</v>
      </c>
      <c r="O15" s="11">
        <f>'抽奖|MoonBless'!DQ15</f>
        <v>2</v>
      </c>
      <c r="P15" s="19">
        <f>'抽奖|MoonBless'!DR15</f>
        <v>1007</v>
      </c>
    </row>
    <row r="16" spans="1:17" x14ac:dyDescent="0.25">
      <c r="E16" s="40"/>
      <c r="F16" s="11"/>
      <c r="G16" s="11"/>
      <c r="H16" s="41"/>
      <c r="I16" s="19"/>
      <c r="L16" s="10" t="str">
        <f>'抽奖|MoonBless'!DN16</f>
        <v>超级武器4</v>
      </c>
      <c r="M16" s="11">
        <f>'抽奖|MoonBless'!DO16</f>
        <v>50</v>
      </c>
      <c r="N16" s="11">
        <f>'抽奖|MoonBless'!DP16</f>
        <v>500</v>
      </c>
      <c r="O16" s="11">
        <f>'抽奖|MoonBless'!DQ16</f>
        <v>2</v>
      </c>
      <c r="P16" s="19">
        <f>'抽奖|MoonBless'!DR16</f>
        <v>1008</v>
      </c>
    </row>
    <row r="17" spans="12:16" x14ac:dyDescent="0.25">
      <c r="L17" s="10" t="str">
        <f>'抽奖|MoonBless'!DN17</f>
        <v>5元话费卡</v>
      </c>
      <c r="M17" s="11">
        <f>'抽奖|MoonBless'!DO17</f>
        <v>5</v>
      </c>
      <c r="N17" s="11">
        <f>'抽奖|MoonBless'!DP17</f>
        <v>50</v>
      </c>
      <c r="O17" s="11">
        <f>'抽奖|MoonBless'!DQ17</f>
        <v>2</v>
      </c>
      <c r="P17" s="19">
        <f>'抽奖|MoonBless'!DR17</f>
        <v>1206</v>
      </c>
    </row>
    <row r="18" spans="12:16" x14ac:dyDescent="0.25">
      <c r="L18" s="10" t="str">
        <f>'抽奖|MoonBless'!DN18</f>
        <v>2元话费卡</v>
      </c>
      <c r="M18" s="11">
        <f>'抽奖|MoonBless'!DO18</f>
        <v>2</v>
      </c>
      <c r="N18" s="11">
        <f>'抽奖|MoonBless'!DP18</f>
        <v>20</v>
      </c>
      <c r="O18" s="11">
        <f>'抽奖|MoonBless'!DQ18</f>
        <v>2</v>
      </c>
      <c r="P18" s="19">
        <f>'抽奖|MoonBless'!DR18</f>
        <v>1205</v>
      </c>
    </row>
    <row r="19" spans="12:16" x14ac:dyDescent="0.25">
      <c r="L19" s="13" t="str">
        <f>'抽奖|MoonBless'!DN19</f>
        <v>高压锅</v>
      </c>
      <c r="M19" s="14">
        <f>'抽奖|MoonBless'!DO19</f>
        <v>200</v>
      </c>
      <c r="N19" s="14">
        <f>'抽奖|MoonBless'!DP19</f>
        <v>2000</v>
      </c>
      <c r="O19" s="14">
        <f>'抽奖|MoonBless'!DQ19</f>
        <v>2</v>
      </c>
      <c r="P19" s="21">
        <f>'抽奖|MoonBless'!DR19</f>
        <v>1208</v>
      </c>
    </row>
    <row r="20" spans="12:16" x14ac:dyDescent="0.25">
      <c r="L20" s="1" t="str">
        <f>'抽奖|MoonBless'!DN20</f>
        <v>30元话费卡</v>
      </c>
      <c r="M20" s="1">
        <f>'抽奖|MoonBless'!DO20</f>
        <v>30</v>
      </c>
      <c r="N20" s="1">
        <f>'抽奖|MoonBless'!DP20</f>
        <v>300</v>
      </c>
      <c r="O20" s="1">
        <f>'抽奖|MoonBless'!DQ20</f>
        <v>2</v>
      </c>
      <c r="P20" s="1">
        <f>'抽奖|MoonBless'!DR20</f>
        <v>1209</v>
      </c>
    </row>
    <row r="21" spans="12:16" x14ac:dyDescent="0.25">
      <c r="L21" s="1" t="str">
        <f>'抽奖|MoonBless'!DN21</f>
        <v>50元话费卡</v>
      </c>
      <c r="M21" s="1">
        <f>'抽奖|MoonBless'!DO21</f>
        <v>50</v>
      </c>
      <c r="N21" s="1">
        <f>'抽奖|MoonBless'!DP21</f>
        <v>500</v>
      </c>
      <c r="O21" s="1">
        <f>'抽奖|MoonBless'!DQ21</f>
        <v>2</v>
      </c>
      <c r="P21" s="1">
        <f>'抽奖|MoonBless'!DR21</f>
        <v>1210</v>
      </c>
    </row>
    <row r="22" spans="12:16" x14ac:dyDescent="0.25">
      <c r="L22" s="1" t="str">
        <f>'抽奖|MoonBless'!DN22</f>
        <v>活跃度</v>
      </c>
      <c r="M22" s="1">
        <f>'抽奖|MoonBless'!DO22</f>
        <v>1</v>
      </c>
      <c r="N22" s="1">
        <f>'抽奖|MoonBless'!DP22</f>
        <v>10</v>
      </c>
      <c r="O22" s="1">
        <f>'抽奖|MoonBless'!DQ22</f>
        <v>1</v>
      </c>
      <c r="P22" s="1">
        <f>'抽奖|MoonBless'!DR22</f>
        <v>6</v>
      </c>
    </row>
    <row r="23" spans="12:16" x14ac:dyDescent="0.25">
      <c r="L23" s="1" t="str">
        <f>'抽奖|MoonBless'!DN23</f>
        <v>红包【恭】</v>
      </c>
      <c r="M23" s="1">
        <f>'抽奖|MoonBless'!DO23</f>
        <v>1</v>
      </c>
      <c r="N23" s="1">
        <f>'抽奖|MoonBless'!DP23</f>
        <v>10</v>
      </c>
      <c r="O23" s="1">
        <f>'抽奖|MoonBless'!DQ23</f>
        <v>2</v>
      </c>
      <c r="P23" s="1">
        <f>'抽奖|MoonBless'!DR23</f>
        <v>1301</v>
      </c>
    </row>
    <row r="24" spans="12:16" x14ac:dyDescent="0.25">
      <c r="L24" s="1" t="str">
        <f>'抽奖|MoonBless'!DN24</f>
        <v>红包【喜】</v>
      </c>
      <c r="M24" s="1">
        <f>'抽奖|MoonBless'!DO24</f>
        <v>1</v>
      </c>
      <c r="N24" s="1">
        <f>'抽奖|MoonBless'!DP24</f>
        <v>10</v>
      </c>
      <c r="O24" s="1">
        <f>'抽奖|MoonBless'!DQ24</f>
        <v>2</v>
      </c>
      <c r="P24" s="1">
        <f>'抽奖|MoonBless'!DR24</f>
        <v>1302</v>
      </c>
    </row>
    <row r="25" spans="12:16" x14ac:dyDescent="0.25">
      <c r="L25" s="1" t="str">
        <f>'抽奖|MoonBless'!DN25</f>
        <v>红包【发】</v>
      </c>
      <c r="M25" s="1">
        <f>'抽奖|MoonBless'!DO25</f>
        <v>1</v>
      </c>
      <c r="N25" s="1">
        <f>'抽奖|MoonBless'!DP25</f>
        <v>10</v>
      </c>
      <c r="O25" s="1">
        <f>'抽奖|MoonBless'!DQ25</f>
        <v>2</v>
      </c>
      <c r="P25" s="1">
        <f>'抽奖|MoonBless'!DR25</f>
        <v>1303</v>
      </c>
    </row>
    <row r="26" spans="12:16" x14ac:dyDescent="0.25">
      <c r="L26" s="1" t="str">
        <f>'抽奖|MoonBless'!DN26</f>
        <v>红包【财】</v>
      </c>
      <c r="M26" s="1">
        <f>'抽奖|MoonBless'!DO26</f>
        <v>1</v>
      </c>
      <c r="N26" s="1">
        <f>'抽奖|MoonBless'!DP26</f>
        <v>10</v>
      </c>
      <c r="O26" s="1">
        <f>'抽奖|MoonBless'!DQ26</f>
        <v>2</v>
      </c>
      <c r="P26" s="1">
        <f>'抽奖|MoonBless'!DR26</f>
        <v>1304</v>
      </c>
    </row>
    <row r="27" spans="12:16" x14ac:dyDescent="0.25">
      <c r="L27" s="1" t="str">
        <f>'抽奖|MoonBless'!DN27</f>
        <v>双轮</v>
      </c>
      <c r="M27" s="1">
        <f>'抽奖|MoonBless'!DO27</f>
        <v>100</v>
      </c>
      <c r="N27" s="1">
        <f>'抽奖|MoonBless'!DP27</f>
        <v>1000</v>
      </c>
      <c r="O27" s="1">
        <f>'抽奖|MoonBless'!DQ27</f>
        <v>2</v>
      </c>
      <c r="P27" s="1">
        <f>'抽奖|MoonBless'!DR27</f>
        <v>1500</v>
      </c>
    </row>
  </sheetData>
  <phoneticPr fontId="57" type="noConversion"/>
  <conditionalFormatting sqref="E6">
    <cfRule type="containsText" dxfId="31" priority="13" operator="containsText" text=" ">
      <formula>NOT(ISERROR(SEARCH(" ",E6)))</formula>
    </cfRule>
  </conditionalFormatting>
  <conditionalFormatting sqref="E7">
    <cfRule type="containsText" dxfId="30" priority="6" operator="containsText" text=" ">
      <formula>NOT(ISERROR(SEARCH(" ",E7)))</formula>
    </cfRule>
  </conditionalFormatting>
  <conditionalFormatting sqref="E8">
    <cfRule type="containsText" dxfId="29" priority="5" operator="containsText" text=" ">
      <formula>NOT(ISERROR(SEARCH(" ",E8)))</formula>
    </cfRule>
  </conditionalFormatting>
  <conditionalFormatting sqref="E9">
    <cfRule type="containsText" dxfId="28" priority="12" operator="containsText" text=" ">
      <formula>NOT(ISERROR(SEARCH(" ",E9)))</formula>
    </cfRule>
  </conditionalFormatting>
  <conditionalFormatting sqref="E11">
    <cfRule type="containsText" dxfId="27" priority="11" operator="containsText" text=" ">
      <formula>NOT(ISERROR(SEARCH(" ",E11)))</formula>
    </cfRule>
  </conditionalFormatting>
  <conditionalFormatting sqref="P12">
    <cfRule type="containsText" dxfId="26" priority="20" operator="containsText" text=" ">
      <formula>NOT(ISERROR(SEARCH(" ",P12)))</formula>
    </cfRule>
  </conditionalFormatting>
  <conditionalFormatting sqref="E16">
    <cfRule type="containsText" dxfId="25" priority="3" operator="containsText" text=" ">
      <formula>NOT(ISERROR(SEARCH(" ",E16)))</formula>
    </cfRule>
  </conditionalFormatting>
  <conditionalFormatting sqref="L17:M17">
    <cfRule type="containsText" dxfId="24" priority="17" operator="containsText" text=" ">
      <formula>NOT(ISERROR(SEARCH(" ",L17)))</formula>
    </cfRule>
  </conditionalFormatting>
  <conditionalFormatting sqref="L18:M18">
    <cfRule type="containsText" dxfId="23" priority="16" operator="containsText" text=" ">
      <formula>NOT(ISERROR(SEARCH(" ",L18)))</formula>
    </cfRule>
  </conditionalFormatting>
  <conditionalFormatting sqref="P19">
    <cfRule type="containsText" dxfId="22" priority="15" operator="containsText" text=" ">
      <formula>NOT(ISERROR(SEARCH(" ",P19)))</formula>
    </cfRule>
  </conditionalFormatting>
  <conditionalFormatting sqref="A1:A11">
    <cfRule type="containsText" dxfId="21" priority="24" operator="containsText" text=" ">
      <formula>NOT(ISERROR(SEARCH(" ",A1)))</formula>
    </cfRule>
  </conditionalFormatting>
  <conditionalFormatting sqref="B5:B11">
    <cfRule type="containsText" dxfId="20" priority="7" operator="containsText" text=" ">
      <formula>NOT(ISERROR(SEARCH(" ",B5)))</formula>
    </cfRule>
  </conditionalFormatting>
  <conditionalFormatting sqref="C5:C11">
    <cfRule type="containsText" dxfId="19" priority="1" operator="containsText" text="1204">
      <formula>NOT(ISERROR(SEARCH("1204",C5)))</formula>
    </cfRule>
    <cfRule type="containsText" dxfId="18" priority="2" operator="containsText" text=" ">
      <formula>NOT(ISERROR(SEARCH(" ",C5)))</formula>
    </cfRule>
  </conditionalFormatting>
  <conditionalFormatting sqref="D5:D11">
    <cfRule type="containsText" dxfId="17" priority="31" operator="containsText" text=" ">
      <formula>NOT(ISERROR(SEARCH(" ",D5)))</formula>
    </cfRule>
  </conditionalFormatting>
  <conditionalFormatting sqref="N8:N11">
    <cfRule type="containsText" dxfId="16" priority="21" operator="containsText" text=" ">
      <formula>NOT(ISERROR(SEARCH(" ",N8)))</formula>
    </cfRule>
  </conditionalFormatting>
  <conditionalFormatting sqref="N13:N16">
    <cfRule type="containsText" dxfId="15" priority="18" operator="containsText" text=" ">
      <formula>NOT(ISERROR(SEARCH(" ",N13)))</formula>
    </cfRule>
  </conditionalFormatting>
  <conditionalFormatting sqref="P8:P11">
    <cfRule type="containsText" dxfId="14" priority="22" operator="containsText" text=" ">
      <formula>NOT(ISERROR(SEARCH(" ",P8)))</formula>
    </cfRule>
  </conditionalFormatting>
  <conditionalFormatting sqref="P13:P16">
    <cfRule type="containsText" dxfId="13" priority="19" operator="containsText" text=" ">
      <formula>NOT(ISERROR(SEARCH(" ",P13)))</formula>
    </cfRule>
  </conditionalFormatting>
  <conditionalFormatting sqref="O8:O11 L1:P7 L8:M11 L20:P1048576 L12:O12 L13:M16 O13:O16 N17:P18 L19:O19">
    <cfRule type="containsText" dxfId="12" priority="23" operator="containsText" text=" ">
      <formula>NOT(ISERROR(SEARCH(" ",L1)))</formula>
    </cfRule>
  </conditionalFormatting>
  <conditionalFormatting sqref="E10:I10 F11:I11 F6:I9 E5:I5">
    <cfRule type="containsText" dxfId="11" priority="14" operator="containsText" text=" ">
      <formula>NOT(ISERROR(SEARCH(" ",E5)))</formula>
    </cfRule>
  </conditionalFormatting>
  <conditionalFormatting sqref="F16:I16 E15:I15">
    <cfRule type="containsText" dxfId="10" priority="4" operator="containsText" text=" ">
      <formula>NOT(ISERROR(SEARCH(" ",E15)))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2"/>
  <sheetViews>
    <sheetView topLeftCell="A28" workbookViewId="0">
      <selection activeCell="B45" sqref="B45"/>
    </sheetView>
  </sheetViews>
  <sheetFormatPr defaultColWidth="9" defaultRowHeight="15.6" x14ac:dyDescent="0.25"/>
  <cols>
    <col min="1" max="1" width="32.77734375" style="1" customWidth="1"/>
    <col min="2" max="2" width="50.88671875" style="58" customWidth="1"/>
    <col min="3" max="3" width="18.33203125" style="1" customWidth="1"/>
    <col min="4" max="4" width="51.77734375" style="1" customWidth="1"/>
    <col min="5" max="5" width="9.6640625" style="1" customWidth="1"/>
    <col min="6" max="7" width="9" style="1"/>
    <col min="8" max="8" width="10.109375" style="1" bestFit="1" customWidth="1"/>
    <col min="9" max="9" width="9" style="1"/>
    <col min="10" max="10" width="8.88671875" style="1" customWidth="1"/>
    <col min="11" max="12" width="9" style="1"/>
    <col min="13" max="13" width="8.5546875" style="1" customWidth="1"/>
    <col min="14" max="14" width="10.109375" style="1" customWidth="1"/>
    <col min="15" max="15" width="9" style="1"/>
    <col min="16" max="17" width="10.109375" style="1" customWidth="1"/>
    <col min="18" max="18" width="9" style="1"/>
    <col min="19" max="19" width="10.109375" style="1" customWidth="1"/>
    <col min="20" max="21" width="11.6640625" style="1" customWidth="1"/>
    <col min="22" max="22" width="11.44140625" style="1" customWidth="1"/>
    <col min="23" max="23" width="12.77734375" style="1" customWidth="1"/>
    <col min="24" max="24" width="9.33203125" style="1" customWidth="1"/>
    <col min="25" max="16384" width="9" style="1"/>
  </cols>
  <sheetData>
    <row r="1" spans="1:16" x14ac:dyDescent="0.35">
      <c r="A1" s="2" t="s">
        <v>133</v>
      </c>
      <c r="B1" s="514" t="s">
        <v>0</v>
      </c>
    </row>
    <row r="2" spans="1:16" x14ac:dyDescent="0.35">
      <c r="A2" s="2" t="s">
        <v>14</v>
      </c>
      <c r="B2" s="514" t="s">
        <v>14</v>
      </c>
    </row>
    <row r="3" spans="1:16" x14ac:dyDescent="0.35">
      <c r="A3" s="2" t="s">
        <v>134</v>
      </c>
      <c r="B3" s="514" t="s">
        <v>135</v>
      </c>
    </row>
    <row r="4" spans="1:16" ht="26.4" x14ac:dyDescent="0.35">
      <c r="A4" s="60" t="s">
        <v>136</v>
      </c>
      <c r="B4" s="515" t="s">
        <v>137</v>
      </c>
      <c r="D4" s="39" t="s">
        <v>138</v>
      </c>
    </row>
    <row r="5" spans="1:16" ht="16.2" x14ac:dyDescent="0.35">
      <c r="A5" s="486" t="s">
        <v>139</v>
      </c>
      <c r="B5" s="102">
        <v>6</v>
      </c>
      <c r="D5" s="39" t="s">
        <v>140</v>
      </c>
      <c r="E5" s="1">
        <v>6</v>
      </c>
    </row>
    <row r="6" spans="1:16" ht="16.2" x14ac:dyDescent="0.35">
      <c r="A6" s="486" t="s">
        <v>141</v>
      </c>
      <c r="B6" s="102">
        <f>1800/1280</f>
        <v>1.40625</v>
      </c>
      <c r="D6" s="39" t="s">
        <v>142</v>
      </c>
    </row>
    <row r="7" spans="1:16" ht="16.2" x14ac:dyDescent="0.35">
      <c r="A7" s="486" t="s">
        <v>143</v>
      </c>
      <c r="B7" s="102">
        <v>0.7</v>
      </c>
      <c r="D7" s="39" t="s">
        <v>144</v>
      </c>
    </row>
    <row r="8" spans="1:16" ht="16.2" x14ac:dyDescent="0.35">
      <c r="A8" s="486" t="s">
        <v>145</v>
      </c>
      <c r="B8" s="516">
        <v>5.0000000000000001E-3</v>
      </c>
      <c r="D8" s="39" t="s">
        <v>146</v>
      </c>
    </row>
    <row r="9" spans="1:16" ht="16.2" x14ac:dyDescent="0.35">
      <c r="A9" s="486" t="s">
        <v>147</v>
      </c>
      <c r="B9" s="517" t="s">
        <v>148</v>
      </c>
      <c r="D9" s="39" t="s">
        <v>149</v>
      </c>
    </row>
    <row r="10" spans="1:16" ht="16.2" x14ac:dyDescent="0.35">
      <c r="A10" s="486" t="s">
        <v>150</v>
      </c>
      <c r="B10" s="517" t="s">
        <v>151</v>
      </c>
      <c r="D10" s="39" t="s">
        <v>152</v>
      </c>
      <c r="E10"/>
    </row>
    <row r="11" spans="1:16" ht="16.2" x14ac:dyDescent="0.35">
      <c r="A11" s="486" t="s">
        <v>153</v>
      </c>
      <c r="B11" s="517" t="s">
        <v>154</v>
      </c>
      <c r="D11" s="39" t="s">
        <v>155</v>
      </c>
    </row>
    <row r="12" spans="1:16" ht="16.2" x14ac:dyDescent="0.4">
      <c r="A12" s="56" t="s">
        <v>156</v>
      </c>
      <c r="B12" s="518" t="s">
        <v>157</v>
      </c>
      <c r="D12" s="1" t="s">
        <v>158</v>
      </c>
      <c r="I12" s="39" t="s">
        <v>159</v>
      </c>
    </row>
    <row r="13" spans="1:16" ht="16.2" x14ac:dyDescent="0.25">
      <c r="A13" s="56" t="s">
        <v>160</v>
      </c>
      <c r="B13" s="519">
        <f>N15</f>
        <v>4000</v>
      </c>
      <c r="D13" s="1" t="s">
        <v>161</v>
      </c>
      <c r="I13" s="1" t="s">
        <v>162</v>
      </c>
    </row>
    <row r="14" spans="1:16" x14ac:dyDescent="0.25">
      <c r="A14" s="56" t="s">
        <v>163</v>
      </c>
      <c r="B14" s="520" t="s">
        <v>164</v>
      </c>
      <c r="D14" s="1" t="s">
        <v>165</v>
      </c>
      <c r="K14" s="47" t="s">
        <v>166</v>
      </c>
      <c r="L14" s="48" t="s">
        <v>167</v>
      </c>
      <c r="M14" s="48" t="s">
        <v>168</v>
      </c>
      <c r="N14" s="50" t="s">
        <v>169</v>
      </c>
    </row>
    <row r="15" spans="1:16" ht="16.2" x14ac:dyDescent="0.25">
      <c r="A15" s="56" t="s">
        <v>170</v>
      </c>
      <c r="B15" s="58" t="s">
        <v>171</v>
      </c>
      <c r="D15" s="1" t="s">
        <v>172</v>
      </c>
      <c r="K15" s="10">
        <v>0</v>
      </c>
      <c r="L15" s="11">
        <v>0</v>
      </c>
      <c r="M15" s="11">
        <v>1</v>
      </c>
      <c r="N15" s="19">
        <v>4000</v>
      </c>
      <c r="O15" s="1">
        <f>L15+N15</f>
        <v>4000</v>
      </c>
      <c r="P15" s="1">
        <f>O15*66</f>
        <v>264000</v>
      </c>
    </row>
    <row r="16" spans="1:16" ht="16.2" x14ac:dyDescent="0.25">
      <c r="A16" s="1" t="s">
        <v>173</v>
      </c>
      <c r="B16" s="58" t="s">
        <v>174</v>
      </c>
      <c r="D16" s="1" t="s">
        <v>175</v>
      </c>
      <c r="K16" s="10">
        <v>1</v>
      </c>
      <c r="L16" s="11">
        <v>0</v>
      </c>
      <c r="M16" s="11">
        <v>30</v>
      </c>
      <c r="N16" s="19">
        <v>4000</v>
      </c>
      <c r="O16" s="1">
        <f t="shared" ref="O16:O25" si="0">L16+N16</f>
        <v>4000</v>
      </c>
      <c r="P16" s="1">
        <f t="shared" ref="P16:P25" si="1">O16*66</f>
        <v>264000</v>
      </c>
    </row>
    <row r="17" spans="1:16" ht="16.2" x14ac:dyDescent="0.25">
      <c r="A17" s="1" t="s">
        <v>176</v>
      </c>
      <c r="B17" s="58" t="s">
        <v>177</v>
      </c>
      <c r="D17" s="1" t="s">
        <v>178</v>
      </c>
      <c r="K17" s="10">
        <v>2</v>
      </c>
      <c r="L17" s="11">
        <v>2000</v>
      </c>
      <c r="M17" s="11">
        <v>100</v>
      </c>
      <c r="N17" s="19">
        <v>4000</v>
      </c>
      <c r="O17" s="1">
        <f t="shared" si="0"/>
        <v>6000</v>
      </c>
      <c r="P17" s="1">
        <f t="shared" si="1"/>
        <v>396000</v>
      </c>
    </row>
    <row r="18" spans="1:16" x14ac:dyDescent="0.25">
      <c r="A18" s="1" t="s">
        <v>179</v>
      </c>
      <c r="B18" s="521">
        <f>'VIP升级|VIPUp'!AJ5*10000</f>
        <v>9600</v>
      </c>
      <c r="D18" s="1" t="s">
        <v>180</v>
      </c>
      <c r="I18" s="58"/>
      <c r="K18" s="10">
        <v>3</v>
      </c>
      <c r="L18" s="11">
        <v>3000</v>
      </c>
      <c r="M18" s="11">
        <v>150</v>
      </c>
      <c r="N18" s="19">
        <v>4000</v>
      </c>
      <c r="O18" s="1">
        <f t="shared" si="0"/>
        <v>7000</v>
      </c>
      <c r="P18" s="1">
        <f t="shared" si="1"/>
        <v>462000</v>
      </c>
    </row>
    <row r="19" spans="1:16" x14ac:dyDescent="0.25">
      <c r="A19" s="1" t="s">
        <v>181</v>
      </c>
      <c r="B19" s="620" t="s">
        <v>2082</v>
      </c>
      <c r="D19" s="1" t="s">
        <v>182</v>
      </c>
      <c r="I19" s="58"/>
      <c r="K19" s="10">
        <v>4</v>
      </c>
      <c r="L19" s="11">
        <v>4000</v>
      </c>
      <c r="M19" s="11">
        <v>200</v>
      </c>
      <c r="N19" s="19">
        <v>4000</v>
      </c>
      <c r="O19" s="1">
        <f t="shared" si="0"/>
        <v>8000</v>
      </c>
      <c r="P19" s="1">
        <f t="shared" si="1"/>
        <v>528000</v>
      </c>
    </row>
    <row r="20" spans="1:16" x14ac:dyDescent="0.25">
      <c r="A20" s="12" t="s">
        <v>183</v>
      </c>
      <c r="B20" s="58">
        <v>3</v>
      </c>
      <c r="D20" s="1" t="s">
        <v>184</v>
      </c>
      <c r="K20" s="10">
        <v>5</v>
      </c>
      <c r="L20" s="11">
        <v>5000</v>
      </c>
      <c r="M20" s="11">
        <v>250</v>
      </c>
      <c r="N20" s="19">
        <v>4000</v>
      </c>
      <c r="O20" s="1">
        <f t="shared" si="0"/>
        <v>9000</v>
      </c>
      <c r="P20" s="1">
        <f t="shared" si="1"/>
        <v>594000</v>
      </c>
    </row>
    <row r="21" spans="1:16" ht="16.2" x14ac:dyDescent="0.25">
      <c r="A21" s="1" t="s">
        <v>185</v>
      </c>
      <c r="B21" s="517" t="s">
        <v>186</v>
      </c>
      <c r="D21" s="1" t="s">
        <v>187</v>
      </c>
      <c r="K21" s="10">
        <v>6</v>
      </c>
      <c r="L21" s="11">
        <v>6000</v>
      </c>
      <c r="M21" s="11">
        <v>400</v>
      </c>
      <c r="N21" s="19">
        <v>4000</v>
      </c>
      <c r="O21" s="1">
        <f t="shared" si="0"/>
        <v>10000</v>
      </c>
      <c r="P21" s="1">
        <f t="shared" si="1"/>
        <v>660000</v>
      </c>
    </row>
    <row r="22" spans="1:16" x14ac:dyDescent="0.25">
      <c r="A22" s="1" t="s">
        <v>188</v>
      </c>
      <c r="B22" s="58" t="s">
        <v>189</v>
      </c>
      <c r="D22" s="1" t="s">
        <v>190</v>
      </c>
      <c r="K22" s="10">
        <v>7</v>
      </c>
      <c r="L22" s="11">
        <v>7000</v>
      </c>
      <c r="M22" s="11">
        <v>500</v>
      </c>
      <c r="N22" s="19">
        <v>4000</v>
      </c>
      <c r="O22" s="1">
        <f t="shared" si="0"/>
        <v>11000</v>
      </c>
      <c r="P22" s="1">
        <f t="shared" si="1"/>
        <v>726000</v>
      </c>
    </row>
    <row r="23" spans="1:16" x14ac:dyDescent="0.25">
      <c r="A23" s="1" t="s">
        <v>191</v>
      </c>
      <c r="B23" s="58" t="s">
        <v>192</v>
      </c>
      <c r="D23" s="1" t="s">
        <v>193</v>
      </c>
      <c r="K23" s="10">
        <v>8</v>
      </c>
      <c r="L23" s="11">
        <v>8000</v>
      </c>
      <c r="M23" s="11"/>
      <c r="N23" s="19">
        <v>4000</v>
      </c>
      <c r="O23" s="1">
        <f t="shared" si="0"/>
        <v>12000</v>
      </c>
      <c r="P23" s="1">
        <f t="shared" si="1"/>
        <v>792000</v>
      </c>
    </row>
    <row r="24" spans="1:16" x14ac:dyDescent="0.25">
      <c r="A24" s="1" t="s">
        <v>194</v>
      </c>
      <c r="B24" s="58" t="s">
        <v>195</v>
      </c>
      <c r="D24" s="1" t="s">
        <v>196</v>
      </c>
      <c r="K24" s="10">
        <v>9</v>
      </c>
      <c r="L24" s="11">
        <v>9000</v>
      </c>
      <c r="M24" s="11"/>
      <c r="N24" s="19">
        <v>4000</v>
      </c>
      <c r="O24" s="1">
        <f t="shared" si="0"/>
        <v>13000</v>
      </c>
      <c r="P24" s="1">
        <f t="shared" si="1"/>
        <v>858000</v>
      </c>
    </row>
    <row r="25" spans="1:16" ht="16.2" x14ac:dyDescent="0.25">
      <c r="A25" s="1" t="s">
        <v>197</v>
      </c>
      <c r="B25" s="58">
        <v>50</v>
      </c>
      <c r="D25" s="1" t="s">
        <v>198</v>
      </c>
      <c r="K25" s="13">
        <v>10</v>
      </c>
      <c r="L25" s="14">
        <v>11000</v>
      </c>
      <c r="M25" s="14"/>
      <c r="N25" s="21">
        <v>4000</v>
      </c>
      <c r="O25" s="1">
        <f t="shared" si="0"/>
        <v>15000</v>
      </c>
      <c r="P25" s="1">
        <f t="shared" si="1"/>
        <v>990000</v>
      </c>
    </row>
    <row r="26" spans="1:16" x14ac:dyDescent="0.25">
      <c r="A26" s="12" t="s">
        <v>199</v>
      </c>
      <c r="B26" s="58" t="s">
        <v>200</v>
      </c>
      <c r="C26" s="12"/>
      <c r="D26" s="12" t="s">
        <v>201</v>
      </c>
    </row>
    <row r="27" spans="1:16" ht="16.2" x14ac:dyDescent="0.25">
      <c r="A27" s="486" t="s">
        <v>202</v>
      </c>
      <c r="B27" s="517" t="s">
        <v>203</v>
      </c>
      <c r="D27" s="1" t="s">
        <v>204</v>
      </c>
    </row>
    <row r="28" spans="1:16" ht="16.2" x14ac:dyDescent="0.25">
      <c r="A28" s="486" t="s">
        <v>205</v>
      </c>
      <c r="B28" s="517" t="s">
        <v>206</v>
      </c>
      <c r="D28" s="1" t="s">
        <v>207</v>
      </c>
    </row>
    <row r="29" spans="1:16" ht="16.2" x14ac:dyDescent="0.25">
      <c r="A29" s="486" t="s">
        <v>208</v>
      </c>
      <c r="B29" s="522">
        <f>'鱼属性|FishAttribute'!E46</f>
        <v>600</v>
      </c>
      <c r="D29" s="1" t="s">
        <v>209</v>
      </c>
    </row>
    <row r="30" spans="1:16" ht="16.2" x14ac:dyDescent="0.25">
      <c r="A30" s="486" t="s">
        <v>210</v>
      </c>
      <c r="B30" s="517" t="s">
        <v>211</v>
      </c>
      <c r="D30" s="1" t="s">
        <v>212</v>
      </c>
    </row>
    <row r="31" spans="1:16" ht="16.2" x14ac:dyDescent="0.25">
      <c r="A31" s="486" t="s">
        <v>213</v>
      </c>
      <c r="B31" s="517" t="s">
        <v>214</v>
      </c>
      <c r="D31" s="1" t="s">
        <v>215</v>
      </c>
    </row>
    <row r="32" spans="1:16" ht="16.2" x14ac:dyDescent="0.25">
      <c r="A32" s="486" t="s">
        <v>216</v>
      </c>
      <c r="B32" s="517" t="s">
        <v>217</v>
      </c>
      <c r="D32" s="1" t="s">
        <v>218</v>
      </c>
    </row>
    <row r="33" spans="1:15" ht="16.2" x14ac:dyDescent="0.25">
      <c r="A33" s="486" t="s">
        <v>219</v>
      </c>
      <c r="B33" s="523">
        <f>'鱼属性|FishAttribute'!E43</f>
        <v>500</v>
      </c>
      <c r="D33" s="1" t="s">
        <v>220</v>
      </c>
    </row>
    <row r="34" spans="1:15" ht="16.2" x14ac:dyDescent="0.25">
      <c r="A34" s="486" t="s">
        <v>221</v>
      </c>
      <c r="B34" s="517" t="s">
        <v>222</v>
      </c>
      <c r="D34" s="1" t="s">
        <v>223</v>
      </c>
    </row>
    <row r="35" spans="1:15" x14ac:dyDescent="0.25">
      <c r="A35" s="524" t="s">
        <v>224</v>
      </c>
      <c r="B35" s="58" t="s">
        <v>225</v>
      </c>
      <c r="C35" s="12"/>
      <c r="D35" s="156" t="s">
        <v>226</v>
      </c>
    </row>
    <row r="36" spans="1:15" x14ac:dyDescent="0.25">
      <c r="A36" s="524" t="s">
        <v>227</v>
      </c>
      <c r="B36" s="58" t="s">
        <v>228</v>
      </c>
      <c r="C36" s="12"/>
      <c r="D36" s="156" t="s">
        <v>229</v>
      </c>
      <c r="L36" s="626" t="s">
        <v>230</v>
      </c>
      <c r="M36" s="66" t="s">
        <v>231</v>
      </c>
      <c r="N36" s="66" t="s">
        <v>232</v>
      </c>
      <c r="O36" s="66" t="s">
        <v>233</v>
      </c>
    </row>
    <row r="37" spans="1:15" ht="16.2" x14ac:dyDescent="0.25">
      <c r="A37" s="486" t="s">
        <v>234</v>
      </c>
      <c r="B37" s="523" t="str">
        <f>'炮解锁|CannonUnlock'!CG1&amp;","&amp;'炮解锁|CannonUnlock'!CG2&amp;","&amp;'炮解锁|CannonUnlock'!CG3</f>
        <v>50,100,150</v>
      </c>
      <c r="C37" s="486"/>
      <c r="D37" s="486" t="s">
        <v>235</v>
      </c>
      <c r="L37" s="626"/>
      <c r="M37" s="1">
        <v>9000</v>
      </c>
      <c r="N37" s="1">
        <v>5400</v>
      </c>
      <c r="O37" s="1">
        <v>3600</v>
      </c>
    </row>
    <row r="38" spans="1:15" ht="16.2" x14ac:dyDescent="0.25">
      <c r="A38" s="486" t="s">
        <v>236</v>
      </c>
      <c r="B38" s="517" t="s">
        <v>237</v>
      </c>
      <c r="C38" s="486"/>
      <c r="D38" s="525" t="s">
        <v>238</v>
      </c>
      <c r="L38" s="227">
        <v>0.25</v>
      </c>
      <c r="M38" s="1">
        <f t="shared" ref="M38:O39" si="2">ROUNDDOWN(M$37*$L38,-2)</f>
        <v>2200</v>
      </c>
      <c r="N38" s="1">
        <f t="shared" si="2"/>
        <v>1300</v>
      </c>
      <c r="O38" s="1">
        <f t="shared" si="2"/>
        <v>900</v>
      </c>
    </row>
    <row r="39" spans="1:15" ht="16.2" x14ac:dyDescent="0.25">
      <c r="A39" s="486" t="s">
        <v>239</v>
      </c>
      <c r="B39" s="523">
        <v>280</v>
      </c>
      <c r="C39" s="486"/>
      <c r="D39" s="525" t="s">
        <v>240</v>
      </c>
      <c r="L39" s="227">
        <v>0.33</v>
      </c>
      <c r="M39" s="1">
        <f t="shared" si="2"/>
        <v>2900</v>
      </c>
      <c r="N39" s="1">
        <f t="shared" si="2"/>
        <v>1700</v>
      </c>
      <c r="O39" s="1">
        <f t="shared" si="2"/>
        <v>1100</v>
      </c>
    </row>
    <row r="40" spans="1:15" ht="16.2" x14ac:dyDescent="0.25">
      <c r="A40" s="486" t="s">
        <v>241</v>
      </c>
      <c r="B40" s="523">
        <f>'炮解锁|CannonUnlock'!CG5*10000</f>
        <v>100</v>
      </c>
      <c r="C40" s="486"/>
      <c r="D40" s="525" t="s">
        <v>242</v>
      </c>
      <c r="L40" s="227">
        <f>1-L38-L39</f>
        <v>0.42</v>
      </c>
      <c r="M40" s="1">
        <f>M37-M38-M39</f>
        <v>3900</v>
      </c>
      <c r="N40" s="1">
        <f t="shared" ref="N40:O40" si="3">N37-N38-N39</f>
        <v>2400</v>
      </c>
      <c r="O40" s="1">
        <f t="shared" si="3"/>
        <v>1600</v>
      </c>
    </row>
    <row r="41" spans="1:15" ht="16.2" x14ac:dyDescent="0.25">
      <c r="A41" s="486" t="s">
        <v>243</v>
      </c>
      <c r="B41" s="523">
        <f>'炮解锁|CannonUnlock'!CG7*10000</f>
        <v>0</v>
      </c>
      <c r="C41" s="486"/>
      <c r="D41" s="525" t="s">
        <v>244</v>
      </c>
    </row>
    <row r="42" spans="1:15" ht="16.2" x14ac:dyDescent="0.25">
      <c r="A42" s="486" t="s">
        <v>245</v>
      </c>
      <c r="B42" s="523">
        <v>500</v>
      </c>
      <c r="C42" s="486"/>
      <c r="D42" s="525" t="s">
        <v>246</v>
      </c>
    </row>
    <row r="43" spans="1:15" x14ac:dyDescent="0.25">
      <c r="A43" s="1" t="s">
        <v>247</v>
      </c>
      <c r="B43" s="58" t="s">
        <v>248</v>
      </c>
      <c r="D43" s="1" t="s">
        <v>249</v>
      </c>
    </row>
    <row r="44" spans="1:15" x14ac:dyDescent="0.25">
      <c r="A44" s="1" t="s">
        <v>250</v>
      </c>
      <c r="B44" s="526">
        <v>2.5</v>
      </c>
      <c r="D44" s="1" t="s">
        <v>251</v>
      </c>
    </row>
    <row r="45" spans="1:15" x14ac:dyDescent="0.35">
      <c r="A45" s="1" t="s">
        <v>252</v>
      </c>
      <c r="B45" s="95" t="s">
        <v>2083</v>
      </c>
      <c r="D45" s="1" t="s">
        <v>253</v>
      </c>
    </row>
    <row r="46" spans="1:15" ht="16.2" x14ac:dyDescent="0.4">
      <c r="A46" s="42" t="s">
        <v>254</v>
      </c>
      <c r="B46" s="527" t="s">
        <v>255</v>
      </c>
      <c r="C46" s="42"/>
      <c r="D46" s="42" t="s">
        <v>256</v>
      </c>
    </row>
    <row r="47" spans="1:15" x14ac:dyDescent="0.35">
      <c r="A47" s="1" t="s">
        <v>257</v>
      </c>
      <c r="B47" s="95" t="s">
        <v>258</v>
      </c>
      <c r="D47" s="1" t="s">
        <v>259</v>
      </c>
    </row>
    <row r="48" spans="1:15" ht="16.2" x14ac:dyDescent="0.4">
      <c r="A48" s="486" t="s">
        <v>260</v>
      </c>
      <c r="B48" s="347">
        <f>12*60</f>
        <v>720</v>
      </c>
      <c r="C48" s="486"/>
      <c r="D48" s="486" t="s">
        <v>261</v>
      </c>
    </row>
    <row r="49" spans="1:21" ht="16.2" x14ac:dyDescent="0.4">
      <c r="A49" s="486" t="s">
        <v>262</v>
      </c>
      <c r="B49" s="347">
        <f>12*60</f>
        <v>720</v>
      </c>
      <c r="C49" s="486"/>
      <c r="D49" s="486" t="s">
        <v>263</v>
      </c>
    </row>
    <row r="50" spans="1:21" x14ac:dyDescent="0.25">
      <c r="A50" s="1" t="s">
        <v>264</v>
      </c>
      <c r="B50" s="58">
        <v>15</v>
      </c>
      <c r="D50" s="1" t="s">
        <v>265</v>
      </c>
    </row>
    <row r="51" spans="1:21" x14ac:dyDescent="0.25">
      <c r="A51" s="1" t="s">
        <v>266</v>
      </c>
      <c r="B51" s="58">
        <v>7</v>
      </c>
      <c r="D51" s="1" t="s">
        <v>267</v>
      </c>
    </row>
    <row r="52" spans="1:21" x14ac:dyDescent="0.25">
      <c r="A52" s="1" t="s">
        <v>268</v>
      </c>
      <c r="B52" s="58">
        <v>30</v>
      </c>
      <c r="D52" s="1" t="s">
        <v>269</v>
      </c>
      <c r="E52"/>
    </row>
    <row r="53" spans="1:21" x14ac:dyDescent="0.25">
      <c r="A53" s="1" t="s">
        <v>270</v>
      </c>
      <c r="B53" s="58">
        <v>15</v>
      </c>
      <c r="D53" s="1" t="s">
        <v>271</v>
      </c>
    </row>
    <row r="54" spans="1:21" x14ac:dyDescent="0.35">
      <c r="A54" s="1" t="s">
        <v>272</v>
      </c>
      <c r="B54" s="95" t="s">
        <v>273</v>
      </c>
      <c r="D54" s="1" t="s">
        <v>274</v>
      </c>
    </row>
    <row r="55" spans="1:21" x14ac:dyDescent="0.35">
      <c r="A55" s="1" t="s">
        <v>275</v>
      </c>
      <c r="B55" s="95" t="s">
        <v>273</v>
      </c>
      <c r="D55" s="1" t="s">
        <v>276</v>
      </c>
    </row>
    <row r="56" spans="1:21" x14ac:dyDescent="0.35">
      <c r="A56" s="1" t="s">
        <v>277</v>
      </c>
      <c r="B56" s="95" t="s">
        <v>273</v>
      </c>
      <c r="D56" s="1" t="s">
        <v>278</v>
      </c>
    </row>
    <row r="57" spans="1:21" x14ac:dyDescent="0.25">
      <c r="A57" s="1" t="s">
        <v>279</v>
      </c>
      <c r="B57" s="58" t="s">
        <v>280</v>
      </c>
      <c r="D57" s="1" t="s">
        <v>281</v>
      </c>
    </row>
    <row r="58" spans="1:21" x14ac:dyDescent="0.25">
      <c r="A58" s="56" t="s">
        <v>282</v>
      </c>
      <c r="B58" s="58" t="s">
        <v>283</v>
      </c>
      <c r="D58" s="1" t="s">
        <v>284</v>
      </c>
    </row>
    <row r="59" spans="1:21" x14ac:dyDescent="0.25">
      <c r="A59" s="1" t="s">
        <v>285</v>
      </c>
      <c r="B59" s="58" t="s">
        <v>286</v>
      </c>
      <c r="D59" s="1" t="s">
        <v>287</v>
      </c>
    </row>
    <row r="60" spans="1:21" x14ac:dyDescent="0.25">
      <c r="A60" s="1" t="s">
        <v>288</v>
      </c>
      <c r="B60" s="58" t="s">
        <v>289</v>
      </c>
      <c r="D60" s="1" t="s">
        <v>290</v>
      </c>
    </row>
    <row r="61" spans="1:21" x14ac:dyDescent="0.25">
      <c r="A61" s="1" t="s">
        <v>291</v>
      </c>
      <c r="B61" s="58" t="s">
        <v>292</v>
      </c>
      <c r="D61" s="1" t="s">
        <v>293</v>
      </c>
    </row>
    <row r="62" spans="1:21" x14ac:dyDescent="0.25">
      <c r="A62" s="1" t="s">
        <v>294</v>
      </c>
      <c r="B62" s="58" t="s">
        <v>295</v>
      </c>
      <c r="D62" s="1" t="s">
        <v>296</v>
      </c>
      <c r="J62" s="58" t="s">
        <v>297</v>
      </c>
    </row>
    <row r="63" spans="1:21" ht="18" x14ac:dyDescent="0.25">
      <c r="A63" s="12" t="s">
        <v>298</v>
      </c>
      <c r="B63" s="58">
        <v>2</v>
      </c>
      <c r="C63" s="12" t="s">
        <v>299</v>
      </c>
      <c r="D63" s="12" t="s">
        <v>300</v>
      </c>
      <c r="E63" s="102" t="s">
        <v>301</v>
      </c>
      <c r="Q63" s="47" t="s">
        <v>302</v>
      </c>
      <c r="R63" s="48"/>
      <c r="S63" s="48"/>
      <c r="T63" s="50"/>
      <c r="U63" s="11"/>
    </row>
    <row r="64" spans="1:21" x14ac:dyDescent="0.25">
      <c r="A64" s="12" t="s">
        <v>303</v>
      </c>
      <c r="B64" s="58">
        <v>-2</v>
      </c>
      <c r="C64" s="12" t="s">
        <v>299</v>
      </c>
      <c r="D64" s="12" t="s">
        <v>304</v>
      </c>
      <c r="I64" s="47"/>
      <c r="J64" s="48">
        <v>1400</v>
      </c>
      <c r="K64" s="50"/>
      <c r="Q64" s="10"/>
      <c r="R64" s="11"/>
      <c r="S64" s="11">
        <v>1900</v>
      </c>
      <c r="T64" s="19"/>
      <c r="U64" s="11"/>
    </row>
    <row r="65" spans="1:21" x14ac:dyDescent="0.25">
      <c r="A65" s="12" t="s">
        <v>305</v>
      </c>
      <c r="B65" s="58">
        <v>1000</v>
      </c>
      <c r="C65" s="12" t="s">
        <v>299</v>
      </c>
      <c r="D65" s="12" t="s">
        <v>306</v>
      </c>
      <c r="I65" s="10">
        <f>95+6.5</f>
        <v>101.5</v>
      </c>
      <c r="J65" s="11">
        <v>700</v>
      </c>
      <c r="K65" s="19">
        <f>J64-J65</f>
        <v>700</v>
      </c>
      <c r="Q65" s="10">
        <f>110/0.2</f>
        <v>550</v>
      </c>
      <c r="R65" s="11">
        <f>Q65+Q66+30</f>
        <v>630</v>
      </c>
      <c r="S65" s="11">
        <f>S64-R65</f>
        <v>1270</v>
      </c>
      <c r="T65" s="19">
        <f>S65-S64</f>
        <v>-630</v>
      </c>
      <c r="U65" s="11"/>
    </row>
    <row r="66" spans="1:21" ht="16.2" x14ac:dyDescent="0.25">
      <c r="A66" s="1" t="s">
        <v>307</v>
      </c>
      <c r="B66" s="517" t="s">
        <v>308</v>
      </c>
      <c r="D66" s="1" t="s">
        <v>309</v>
      </c>
      <c r="I66" s="13">
        <f>I65*6</f>
        <v>609</v>
      </c>
      <c r="J66" s="45">
        <v>0</v>
      </c>
      <c r="K66" s="21">
        <f>J65-J66</f>
        <v>700</v>
      </c>
      <c r="Q66" s="10">
        <f>10/0.2</f>
        <v>50</v>
      </c>
      <c r="R66" s="11"/>
      <c r="S66" s="11">
        <f>S65-R65</f>
        <v>640</v>
      </c>
      <c r="T66" s="19">
        <f>S66-S65</f>
        <v>-630</v>
      </c>
      <c r="U66" s="11"/>
    </row>
    <row r="67" spans="1:21" x14ac:dyDescent="0.25">
      <c r="A67" s="1" t="s">
        <v>310</v>
      </c>
      <c r="B67" s="58">
        <v>5</v>
      </c>
      <c r="D67" s="1" t="s">
        <v>311</v>
      </c>
      <c r="Q67" s="13"/>
      <c r="R67" s="14">
        <f>650*3</f>
        <v>1950</v>
      </c>
      <c r="S67" s="14"/>
      <c r="T67" s="21"/>
      <c r="U67" s="11"/>
    </row>
    <row r="68" spans="1:21" ht="16.2" x14ac:dyDescent="0.25">
      <c r="A68" s="1" t="s">
        <v>312</v>
      </c>
      <c r="B68" s="528" t="s">
        <v>313</v>
      </c>
      <c r="D68" s="1" t="s">
        <v>314</v>
      </c>
    </row>
    <row r="69" spans="1:21" ht="16.2" x14ac:dyDescent="0.25">
      <c r="A69" s="1" t="s">
        <v>315</v>
      </c>
      <c r="B69" s="58" t="s">
        <v>316</v>
      </c>
      <c r="D69" s="1" t="s">
        <v>317</v>
      </c>
    </row>
    <row r="70" spans="1:21" ht="16.2" x14ac:dyDescent="0.25">
      <c r="A70" s="1" t="s">
        <v>318</v>
      </c>
      <c r="B70" s="523">
        <v>1500</v>
      </c>
      <c r="D70" s="1" t="s">
        <v>319</v>
      </c>
    </row>
    <row r="71" spans="1:21" ht="16.2" x14ac:dyDescent="0.25">
      <c r="A71" s="1" t="s">
        <v>320</v>
      </c>
      <c r="B71" s="523" t="s">
        <v>321</v>
      </c>
      <c r="D71" s="1" t="s">
        <v>322</v>
      </c>
    </row>
    <row r="72" spans="1:21" x14ac:dyDescent="0.25">
      <c r="A72" s="1" t="s">
        <v>323</v>
      </c>
      <c r="B72" s="58" t="s">
        <v>324</v>
      </c>
      <c r="D72" s="1" t="s">
        <v>325</v>
      </c>
    </row>
    <row r="73" spans="1:21" ht="16.2" x14ac:dyDescent="0.25">
      <c r="A73" s="1" t="s">
        <v>326</v>
      </c>
      <c r="B73" s="517" t="s">
        <v>327</v>
      </c>
      <c r="D73" s="1" t="s">
        <v>328</v>
      </c>
    </row>
    <row r="74" spans="1:21" x14ac:dyDescent="0.25">
      <c r="A74" s="1" t="s">
        <v>329</v>
      </c>
      <c r="B74" s="58" t="s">
        <v>330</v>
      </c>
      <c r="D74" s="1" t="s">
        <v>331</v>
      </c>
    </row>
    <row r="75" spans="1:21" x14ac:dyDescent="0.25">
      <c r="A75" s="1" t="s">
        <v>332</v>
      </c>
      <c r="B75" s="58" t="s">
        <v>333</v>
      </c>
      <c r="D75" s="1" t="s">
        <v>334</v>
      </c>
    </row>
    <row r="76" spans="1:21" x14ac:dyDescent="0.25">
      <c r="A76" s="1" t="s">
        <v>335</v>
      </c>
      <c r="B76" s="58" t="s">
        <v>333</v>
      </c>
      <c r="D76" s="1" t="s">
        <v>336</v>
      </c>
    </row>
    <row r="77" spans="1:21" x14ac:dyDescent="0.25">
      <c r="A77" s="1" t="s">
        <v>337</v>
      </c>
      <c r="B77" s="58" t="s">
        <v>258</v>
      </c>
      <c r="D77" s="1" t="s">
        <v>338</v>
      </c>
    </row>
    <row r="78" spans="1:21" x14ac:dyDescent="0.25">
      <c r="A78" s="1" t="s">
        <v>339</v>
      </c>
      <c r="B78" s="58" t="s">
        <v>340</v>
      </c>
      <c r="D78" s="1" t="s">
        <v>341</v>
      </c>
    </row>
    <row r="79" spans="1:21" x14ac:dyDescent="0.25">
      <c r="A79" s="1" t="s">
        <v>342</v>
      </c>
      <c r="B79" s="58" t="s">
        <v>343</v>
      </c>
      <c r="D79" s="1" t="s">
        <v>344</v>
      </c>
    </row>
    <row r="80" spans="1:21" x14ac:dyDescent="0.25">
      <c r="A80" s="1" t="s">
        <v>345</v>
      </c>
      <c r="B80" s="58" t="s">
        <v>346</v>
      </c>
      <c r="D80" s="1" t="s">
        <v>347</v>
      </c>
    </row>
    <row r="81" spans="1:8" x14ac:dyDescent="0.25">
      <c r="A81" s="1" t="s">
        <v>348</v>
      </c>
      <c r="B81" s="58" t="s">
        <v>343</v>
      </c>
      <c r="D81" s="1" t="s">
        <v>349</v>
      </c>
    </row>
    <row r="82" spans="1:8" x14ac:dyDescent="0.25">
      <c r="A82" s="1" t="s">
        <v>350</v>
      </c>
      <c r="B82" s="58" t="s">
        <v>258</v>
      </c>
      <c r="D82" s="1" t="s">
        <v>351</v>
      </c>
    </row>
    <row r="83" spans="1:8" ht="16.2" x14ac:dyDescent="0.25">
      <c r="A83" s="1" t="s">
        <v>352</v>
      </c>
      <c r="B83" s="58" t="s">
        <v>353</v>
      </c>
      <c r="D83" s="1" t="s">
        <v>354</v>
      </c>
      <c r="H83" s="529" t="s">
        <v>355</v>
      </c>
    </row>
    <row r="84" spans="1:8" x14ac:dyDescent="0.25">
      <c r="A84" s="1" t="s">
        <v>356</v>
      </c>
      <c r="B84" s="58" t="s">
        <v>357</v>
      </c>
      <c r="H84" s="530" t="s">
        <v>358</v>
      </c>
    </row>
    <row r="85" spans="1:8" x14ac:dyDescent="0.25">
      <c r="A85" s="1" t="s">
        <v>359</v>
      </c>
      <c r="B85" s="531" t="str">
        <f>RIGHT('道具|Item'!T17,LEN('道具|Item'!T17)-4)&amp;","&amp;RIGHT('道具|Item'!T18,LEN('道具|Item'!T18)-4)&amp;","&amp;RIGHT('道具|Item'!T19,LEN('道具|Item'!T19)-4)&amp;","&amp;RIGHT('道具|Item'!T20,LEN('道具|Item'!T20)-4)</f>
        <v>1000000,2000000,5000000,10000000</v>
      </c>
    </row>
    <row r="86" spans="1:8" x14ac:dyDescent="0.25">
      <c r="A86" s="1" t="s">
        <v>360</v>
      </c>
      <c r="B86" s="1" t="s">
        <v>361</v>
      </c>
      <c r="D86" s="1" t="s">
        <v>362</v>
      </c>
    </row>
    <row r="87" spans="1:8" x14ac:dyDescent="0.25">
      <c r="A87" s="1" t="s">
        <v>363</v>
      </c>
      <c r="B87" s="1" t="s">
        <v>364</v>
      </c>
      <c r="D87" s="1" t="s">
        <v>365</v>
      </c>
    </row>
    <row r="88" spans="1:8" x14ac:dyDescent="0.25">
      <c r="A88" s="1" t="s">
        <v>366</v>
      </c>
      <c r="B88" s="1">
        <v>20</v>
      </c>
      <c r="D88" s="1" t="s">
        <v>367</v>
      </c>
    </row>
    <row r="89" spans="1:8" x14ac:dyDescent="0.25">
      <c r="A89" s="1" t="s">
        <v>368</v>
      </c>
      <c r="B89" s="58" t="s">
        <v>369</v>
      </c>
      <c r="D89" s="1" t="s">
        <v>370</v>
      </c>
    </row>
    <row r="90" spans="1:8" x14ac:dyDescent="0.25">
      <c r="A90" s="1" t="s">
        <v>371</v>
      </c>
      <c r="B90" s="58" t="s">
        <v>372</v>
      </c>
      <c r="D90" s="1" t="s">
        <v>373</v>
      </c>
    </row>
    <row r="91" spans="1:8" x14ac:dyDescent="0.25">
      <c r="A91" s="532" t="s">
        <v>374</v>
      </c>
      <c r="B91" s="533">
        <v>0</v>
      </c>
      <c r="C91" s="12" t="s">
        <v>299</v>
      </c>
      <c r="D91" s="1" t="s">
        <v>375</v>
      </c>
      <c r="E91" s="12"/>
    </row>
    <row r="92" spans="1:8" ht="16.2" x14ac:dyDescent="0.25">
      <c r="A92" s="534" t="s">
        <v>376</v>
      </c>
      <c r="B92" s="535" t="s">
        <v>377</v>
      </c>
      <c r="C92" s="12" t="s">
        <v>299</v>
      </c>
      <c r="D92" s="1" t="s">
        <v>378</v>
      </c>
      <c r="E92" s="12"/>
    </row>
    <row r="93" spans="1:8" x14ac:dyDescent="0.25">
      <c r="A93" s="534" t="s">
        <v>379</v>
      </c>
      <c r="B93" s="536">
        <v>20000</v>
      </c>
      <c r="C93" s="12" t="s">
        <v>299</v>
      </c>
      <c r="D93" s="1" t="s">
        <v>380</v>
      </c>
      <c r="E93" s="12"/>
    </row>
    <row r="94" spans="1:8" x14ac:dyDescent="0.25">
      <c r="A94" s="534" t="s">
        <v>381</v>
      </c>
      <c r="B94" s="536">
        <v>12500</v>
      </c>
      <c r="C94" s="12" t="s">
        <v>299</v>
      </c>
      <c r="D94" s="1" t="s">
        <v>380</v>
      </c>
      <c r="E94" s="12"/>
    </row>
    <row r="95" spans="1:8" x14ac:dyDescent="0.25">
      <c r="A95" s="537" t="s">
        <v>382</v>
      </c>
      <c r="B95" s="538">
        <v>2000</v>
      </c>
      <c r="C95" s="12" t="s">
        <v>299</v>
      </c>
      <c r="D95" s="1" t="s">
        <v>380</v>
      </c>
      <c r="E95" s="12"/>
    </row>
    <row r="96" spans="1:8" x14ac:dyDescent="0.25">
      <c r="A96" s="539" t="s">
        <v>383</v>
      </c>
      <c r="B96" s="540">
        <v>2</v>
      </c>
      <c r="C96" s="12" t="s">
        <v>299</v>
      </c>
      <c r="D96" s="1" t="s">
        <v>384</v>
      </c>
      <c r="E96" s="12"/>
    </row>
    <row r="97" spans="1:5" x14ac:dyDescent="0.25">
      <c r="A97" s="539" t="s">
        <v>385</v>
      </c>
      <c r="B97" s="540">
        <v>7500</v>
      </c>
      <c r="C97" s="12" t="s">
        <v>299</v>
      </c>
      <c r="D97" s="1" t="s">
        <v>386</v>
      </c>
      <c r="E97" s="12"/>
    </row>
    <row r="98" spans="1:5" ht="16.2" x14ac:dyDescent="0.25">
      <c r="A98" s="541" t="s">
        <v>387</v>
      </c>
      <c r="B98" s="542">
        <v>1500</v>
      </c>
      <c r="C98" s="12" t="s">
        <v>299</v>
      </c>
      <c r="D98" s="1" t="s">
        <v>388</v>
      </c>
      <c r="E98" s="12"/>
    </row>
    <row r="99" spans="1:5" x14ac:dyDescent="0.25">
      <c r="A99" s="534" t="s">
        <v>389</v>
      </c>
      <c r="B99" s="543" t="s">
        <v>390</v>
      </c>
      <c r="C99" s="12" t="s">
        <v>299</v>
      </c>
      <c r="D99" s="1" t="s">
        <v>391</v>
      </c>
      <c r="E99" s="12"/>
    </row>
    <row r="100" spans="1:5" x14ac:dyDescent="0.25">
      <c r="A100" s="534" t="s">
        <v>392</v>
      </c>
      <c r="B100" s="536">
        <v>8</v>
      </c>
      <c r="C100" s="12" t="s">
        <v>299</v>
      </c>
      <c r="D100" s="1" t="s">
        <v>393</v>
      </c>
      <c r="E100" s="12"/>
    </row>
    <row r="101" spans="1:5" x14ac:dyDescent="0.25">
      <c r="A101" s="534" t="s">
        <v>394</v>
      </c>
      <c r="B101" s="536">
        <v>150</v>
      </c>
      <c r="C101" s="12" t="s">
        <v>299</v>
      </c>
      <c r="D101" s="1" t="s">
        <v>395</v>
      </c>
      <c r="E101" s="12"/>
    </row>
    <row r="102" spans="1:5" ht="16.5" customHeight="1" x14ac:dyDescent="0.25">
      <c r="A102" s="534" t="s">
        <v>396</v>
      </c>
      <c r="B102" s="544" t="s">
        <v>390</v>
      </c>
      <c r="C102" s="12" t="s">
        <v>299</v>
      </c>
      <c r="D102" s="170" t="s">
        <v>397</v>
      </c>
      <c r="E102" s="12"/>
    </row>
    <row r="103" spans="1:5" ht="16.2" x14ac:dyDescent="0.25">
      <c r="A103" s="534" t="s">
        <v>398</v>
      </c>
      <c r="B103" s="544">
        <v>30</v>
      </c>
      <c r="C103" s="12" t="s">
        <v>299</v>
      </c>
      <c r="D103" s="170"/>
      <c r="E103" s="12"/>
    </row>
    <row r="104" spans="1:5" ht="16.2" x14ac:dyDescent="0.25">
      <c r="A104" s="545" t="s">
        <v>399</v>
      </c>
      <c r="B104" s="546" t="s">
        <v>400</v>
      </c>
      <c r="C104" s="12" t="s">
        <v>299</v>
      </c>
      <c r="D104" s="1" t="s">
        <v>401</v>
      </c>
      <c r="E104" s="12"/>
    </row>
    <row r="105" spans="1:5" x14ac:dyDescent="0.25">
      <c r="A105" s="541" t="s">
        <v>402</v>
      </c>
      <c r="B105" s="547" t="s">
        <v>403</v>
      </c>
      <c r="C105" s="12" t="s">
        <v>299</v>
      </c>
      <c r="D105" s="1" t="s">
        <v>404</v>
      </c>
      <c r="E105" s="12"/>
    </row>
    <row r="106" spans="1:5" ht="16.2" x14ac:dyDescent="0.25">
      <c r="A106" s="532" t="s">
        <v>405</v>
      </c>
      <c r="B106" s="548" t="s">
        <v>406</v>
      </c>
      <c r="C106" s="12" t="s">
        <v>299</v>
      </c>
      <c r="D106" s="1" t="s">
        <v>407</v>
      </c>
      <c r="E106" s="12"/>
    </row>
    <row r="107" spans="1:5" x14ac:dyDescent="0.25">
      <c r="A107" s="545" t="s">
        <v>408</v>
      </c>
      <c r="B107" s="549">
        <v>10</v>
      </c>
      <c r="C107" s="12" t="s">
        <v>299</v>
      </c>
      <c r="D107" s="1" t="s">
        <v>409</v>
      </c>
      <c r="E107" s="12"/>
    </row>
    <row r="108" spans="1:5" x14ac:dyDescent="0.25">
      <c r="A108" s="539" t="s">
        <v>410</v>
      </c>
      <c r="B108" s="550">
        <v>500</v>
      </c>
      <c r="C108" s="12" t="s">
        <v>299</v>
      </c>
      <c r="D108" s="1" t="s">
        <v>411</v>
      </c>
      <c r="E108" s="12"/>
    </row>
    <row r="109" spans="1:5" ht="16.2" x14ac:dyDescent="0.25">
      <c r="A109" s="539" t="s">
        <v>412</v>
      </c>
      <c r="B109" s="551">
        <v>5000</v>
      </c>
      <c r="C109" s="12" t="s">
        <v>299</v>
      </c>
      <c r="D109" s="1" t="s">
        <v>413</v>
      </c>
      <c r="E109" s="12"/>
    </row>
    <row r="110" spans="1:5" ht="16.2" x14ac:dyDescent="0.25">
      <c r="A110" s="539" t="s">
        <v>414</v>
      </c>
      <c r="B110" s="551">
        <v>8000</v>
      </c>
      <c r="C110" s="12" t="s">
        <v>299</v>
      </c>
      <c r="D110" s="1" t="s">
        <v>415</v>
      </c>
      <c r="E110" s="12"/>
    </row>
    <row r="111" spans="1:5" ht="16.2" x14ac:dyDescent="0.25">
      <c r="A111" s="539" t="s">
        <v>416</v>
      </c>
      <c r="B111" s="551">
        <v>340</v>
      </c>
      <c r="C111" s="12" t="s">
        <v>299</v>
      </c>
      <c r="D111" s="1" t="s">
        <v>417</v>
      </c>
      <c r="E111" s="12"/>
    </row>
    <row r="112" spans="1:5" ht="16.2" x14ac:dyDescent="0.25">
      <c r="A112" s="541" t="s">
        <v>418</v>
      </c>
      <c r="B112" s="552">
        <v>10000</v>
      </c>
      <c r="C112" s="12" t="s">
        <v>299</v>
      </c>
      <c r="D112" s="1" t="s">
        <v>419</v>
      </c>
      <c r="E112" s="12"/>
    </row>
    <row r="113" spans="1:5" ht="16.2" x14ac:dyDescent="0.25">
      <c r="A113" s="539" t="s">
        <v>420</v>
      </c>
      <c r="B113" s="550">
        <v>12</v>
      </c>
      <c r="C113" s="12" t="s">
        <v>299</v>
      </c>
      <c r="D113" s="1" t="s">
        <v>421</v>
      </c>
      <c r="E113" s="12"/>
    </row>
    <row r="114" spans="1:5" x14ac:dyDescent="0.25">
      <c r="A114" s="539" t="s">
        <v>422</v>
      </c>
      <c r="B114" s="550">
        <v>300</v>
      </c>
      <c r="C114" s="12" t="s">
        <v>299</v>
      </c>
      <c r="D114" s="553"/>
      <c r="E114" s="12"/>
    </row>
    <row r="115" spans="1:5" x14ac:dyDescent="0.25">
      <c r="A115" s="541" t="s">
        <v>423</v>
      </c>
      <c r="B115" s="554">
        <v>5000</v>
      </c>
      <c r="C115" s="12" t="s">
        <v>299</v>
      </c>
      <c r="D115" s="1" t="s">
        <v>380</v>
      </c>
      <c r="E115" s="12"/>
    </row>
    <row r="116" spans="1:5" x14ac:dyDescent="0.25">
      <c r="A116" s="555" t="s">
        <v>424</v>
      </c>
      <c r="B116" s="556">
        <v>5</v>
      </c>
      <c r="C116" s="12" t="s">
        <v>299</v>
      </c>
      <c r="D116" s="1" t="s">
        <v>425</v>
      </c>
      <c r="E116" s="12"/>
    </row>
    <row r="117" spans="1:5" x14ac:dyDescent="0.25">
      <c r="A117" s="557" t="s">
        <v>426</v>
      </c>
      <c r="B117" s="558">
        <v>600</v>
      </c>
      <c r="C117" s="12" t="s">
        <v>299</v>
      </c>
      <c r="D117" s="1" t="s">
        <v>427</v>
      </c>
    </row>
    <row r="118" spans="1:5" x14ac:dyDescent="0.25">
      <c r="A118" s="1" t="s">
        <v>428</v>
      </c>
      <c r="B118" s="58" t="s">
        <v>429</v>
      </c>
      <c r="C118" s="12" t="s">
        <v>299</v>
      </c>
      <c r="D118" s="12" t="s">
        <v>430</v>
      </c>
      <c r="E118" s="12"/>
    </row>
    <row r="119" spans="1:5" x14ac:dyDescent="0.25">
      <c r="A119" s="1" t="s">
        <v>431</v>
      </c>
      <c r="B119" s="58" t="s">
        <v>432</v>
      </c>
      <c r="C119" s="12" t="s">
        <v>299</v>
      </c>
      <c r="D119" s="12" t="s">
        <v>433</v>
      </c>
      <c r="E119" s="12"/>
    </row>
    <row r="120" spans="1:5" x14ac:dyDescent="0.25">
      <c r="A120" s="1" t="s">
        <v>434</v>
      </c>
      <c r="B120" s="58" t="s">
        <v>164</v>
      </c>
      <c r="C120" s="12" t="s">
        <v>299</v>
      </c>
      <c r="D120" s="12" t="s">
        <v>435</v>
      </c>
      <c r="E120" s="12"/>
    </row>
    <row r="121" spans="1:5" x14ac:dyDescent="0.25">
      <c r="A121" s="1" t="s">
        <v>436</v>
      </c>
      <c r="B121" s="58" t="s">
        <v>164</v>
      </c>
      <c r="C121" s="12" t="s">
        <v>299</v>
      </c>
      <c r="D121" s="12" t="s">
        <v>437</v>
      </c>
      <c r="E121" s="12"/>
    </row>
    <row r="122" spans="1:5" x14ac:dyDescent="0.25">
      <c r="A122" s="1" t="s">
        <v>438</v>
      </c>
      <c r="B122" s="58" t="s">
        <v>171</v>
      </c>
      <c r="C122" s="12" t="s">
        <v>299</v>
      </c>
      <c r="D122" s="12" t="s">
        <v>439</v>
      </c>
      <c r="E122" s="12"/>
    </row>
    <row r="123" spans="1:5" x14ac:dyDescent="0.25">
      <c r="A123" s="1" t="s">
        <v>440</v>
      </c>
      <c r="B123" s="58" t="s">
        <v>390</v>
      </c>
      <c r="C123" s="12" t="s">
        <v>299</v>
      </c>
      <c r="D123" s="12" t="s">
        <v>441</v>
      </c>
      <c r="E123" s="12"/>
    </row>
    <row r="124" spans="1:5" ht="16.2" x14ac:dyDescent="0.25">
      <c r="A124" s="486" t="s">
        <v>442</v>
      </c>
      <c r="B124" s="58" t="s">
        <v>443</v>
      </c>
      <c r="D124" s="1" t="s">
        <v>444</v>
      </c>
    </row>
    <row r="125" spans="1:5" ht="16.2" x14ac:dyDescent="0.25">
      <c r="A125" s="486" t="s">
        <v>445</v>
      </c>
      <c r="B125" s="58" t="s">
        <v>446</v>
      </c>
      <c r="D125" s="1" t="s">
        <v>447</v>
      </c>
    </row>
    <row r="126" spans="1:5" ht="16.2" x14ac:dyDescent="0.25">
      <c r="A126" s="486" t="s">
        <v>448</v>
      </c>
      <c r="B126" s="58" t="s">
        <v>330</v>
      </c>
      <c r="C126" s="12" t="s">
        <v>299</v>
      </c>
      <c r="D126" s="12" t="s">
        <v>449</v>
      </c>
      <c r="E126" s="12"/>
    </row>
    <row r="127" spans="1:5" ht="16.2" x14ac:dyDescent="0.35">
      <c r="A127" s="559" t="s">
        <v>450</v>
      </c>
      <c r="B127" s="517" t="s">
        <v>258</v>
      </c>
      <c r="C127" s="12" t="s">
        <v>299</v>
      </c>
      <c r="D127" s="560" t="s">
        <v>451</v>
      </c>
      <c r="E127" s="12"/>
    </row>
    <row r="128" spans="1:5" ht="16.2" x14ac:dyDescent="0.35">
      <c r="A128" s="559" t="s">
        <v>452</v>
      </c>
      <c r="B128" s="517" t="s">
        <v>248</v>
      </c>
      <c r="C128" s="12" t="s">
        <v>299</v>
      </c>
      <c r="D128" s="560" t="s">
        <v>453</v>
      </c>
      <c r="E128" s="12"/>
    </row>
    <row r="129" spans="1:6" ht="16.2" x14ac:dyDescent="0.25">
      <c r="A129" s="559" t="s">
        <v>454</v>
      </c>
      <c r="B129" s="517" t="s">
        <v>164</v>
      </c>
      <c r="C129" s="12" t="s">
        <v>299</v>
      </c>
      <c r="D129" s="1" t="s">
        <v>455</v>
      </c>
      <c r="E129" s="12"/>
    </row>
    <row r="130" spans="1:6" x14ac:dyDescent="0.25">
      <c r="A130" s="559" t="s">
        <v>456</v>
      </c>
      <c r="B130" s="58" t="s">
        <v>457</v>
      </c>
      <c r="C130" s="12" t="s">
        <v>299</v>
      </c>
      <c r="D130" s="1" t="s">
        <v>458</v>
      </c>
      <c r="E130" s="12"/>
    </row>
    <row r="131" spans="1:6" ht="16.2" x14ac:dyDescent="0.25">
      <c r="A131" s="561" t="s">
        <v>459</v>
      </c>
      <c r="B131" s="517" t="s">
        <v>457</v>
      </c>
      <c r="C131" s="12" t="s">
        <v>299</v>
      </c>
      <c r="D131" s="42" t="s">
        <v>460</v>
      </c>
      <c r="E131" s="12"/>
    </row>
    <row r="132" spans="1:6" ht="16.2" x14ac:dyDescent="0.25">
      <c r="A132" s="559" t="s">
        <v>461</v>
      </c>
      <c r="B132" s="517" t="s">
        <v>462</v>
      </c>
      <c r="C132" s="12" t="s">
        <v>299</v>
      </c>
      <c r="D132" s="1" t="s">
        <v>463</v>
      </c>
      <c r="E132" s="12"/>
    </row>
    <row r="133" spans="1:6" ht="16.2" x14ac:dyDescent="0.25">
      <c r="A133" s="559" t="s">
        <v>464</v>
      </c>
      <c r="B133" s="517" t="s">
        <v>390</v>
      </c>
      <c r="C133" s="12" t="s">
        <v>299</v>
      </c>
      <c r="D133" s="1" t="s">
        <v>465</v>
      </c>
      <c r="E133" s="12"/>
    </row>
    <row r="134" spans="1:6" ht="16.2" x14ac:dyDescent="0.25">
      <c r="A134" s="559" t="s">
        <v>466</v>
      </c>
      <c r="B134" s="58" t="s">
        <v>217</v>
      </c>
      <c r="C134" s="12" t="s">
        <v>299</v>
      </c>
      <c r="D134" s="1" t="s">
        <v>467</v>
      </c>
      <c r="E134" s="12"/>
    </row>
    <row r="135" spans="1:6" ht="16.2" x14ac:dyDescent="0.25">
      <c r="A135" s="559" t="s">
        <v>468</v>
      </c>
      <c r="B135" s="517" t="s">
        <v>217</v>
      </c>
      <c r="C135" s="12" t="s">
        <v>299</v>
      </c>
      <c r="D135" s="1" t="s">
        <v>469</v>
      </c>
      <c r="E135" s="12"/>
    </row>
    <row r="136" spans="1:6" ht="16.2" x14ac:dyDescent="0.25">
      <c r="A136" s="559" t="s">
        <v>470</v>
      </c>
      <c r="B136" s="517" t="s">
        <v>462</v>
      </c>
      <c r="C136" s="12" t="s">
        <v>299</v>
      </c>
      <c r="D136" s="1" t="s">
        <v>471</v>
      </c>
      <c r="E136" s="12"/>
    </row>
    <row r="137" spans="1:6" x14ac:dyDescent="0.25">
      <c r="A137" s="559" t="s">
        <v>472</v>
      </c>
      <c r="B137" s="58" t="s">
        <v>473</v>
      </c>
      <c r="C137" s="12" t="s">
        <v>299</v>
      </c>
      <c r="D137" s="1" t="s">
        <v>474</v>
      </c>
      <c r="E137" s="12"/>
    </row>
    <row r="138" spans="1:6" ht="16.2" x14ac:dyDescent="0.25">
      <c r="A138" s="559" t="s">
        <v>475</v>
      </c>
      <c r="B138" s="58" t="s">
        <v>476</v>
      </c>
      <c r="C138" s="12" t="s">
        <v>299</v>
      </c>
      <c r="D138" s="1" t="s">
        <v>477</v>
      </c>
      <c r="E138" s="12"/>
      <c r="F138" s="517"/>
    </row>
    <row r="139" spans="1:6" ht="16.2" x14ac:dyDescent="0.25">
      <c r="A139" s="559" t="s">
        <v>478</v>
      </c>
      <c r="B139" s="58" t="s">
        <v>258</v>
      </c>
      <c r="C139" s="12" t="s">
        <v>299</v>
      </c>
      <c r="D139" s="1" t="s">
        <v>479</v>
      </c>
      <c r="E139" s="12"/>
    </row>
    <row r="140" spans="1:6" ht="16.2" x14ac:dyDescent="0.25">
      <c r="A140" s="559" t="s">
        <v>480</v>
      </c>
      <c r="B140" s="517" t="s">
        <v>217</v>
      </c>
      <c r="C140" s="12" t="s">
        <v>299</v>
      </c>
      <c r="D140" s="1" t="s">
        <v>481</v>
      </c>
      <c r="E140" s="12"/>
    </row>
    <row r="141" spans="1:6" ht="16.2" x14ac:dyDescent="0.25">
      <c r="A141" s="559" t="s">
        <v>482</v>
      </c>
      <c r="B141" s="517" t="s">
        <v>483</v>
      </c>
      <c r="C141" s="12" t="s">
        <v>299</v>
      </c>
      <c r="D141" s="1" t="s">
        <v>484</v>
      </c>
      <c r="E141" s="12"/>
    </row>
    <row r="142" spans="1:6" ht="16.2" x14ac:dyDescent="0.25">
      <c r="A142" s="559" t="s">
        <v>485</v>
      </c>
      <c r="B142" s="58" t="s">
        <v>403</v>
      </c>
      <c r="C142" s="12" t="s">
        <v>299</v>
      </c>
      <c r="D142" s="1" t="s">
        <v>486</v>
      </c>
      <c r="E142" s="12"/>
    </row>
    <row r="143" spans="1:6" ht="16.2" x14ac:dyDescent="0.25">
      <c r="A143" s="559" t="s">
        <v>487</v>
      </c>
      <c r="B143" s="517" t="s">
        <v>217</v>
      </c>
      <c r="C143" s="12" t="s">
        <v>299</v>
      </c>
      <c r="D143" s="1" t="s">
        <v>488</v>
      </c>
      <c r="E143" s="12"/>
    </row>
    <row r="144" spans="1:6" ht="16.2" x14ac:dyDescent="0.25">
      <c r="A144" s="559" t="s">
        <v>489</v>
      </c>
      <c r="B144" s="58" t="s">
        <v>346</v>
      </c>
      <c r="C144" s="12" t="s">
        <v>299</v>
      </c>
      <c r="D144" s="12" t="s">
        <v>490</v>
      </c>
      <c r="E144" s="12"/>
    </row>
    <row r="145" spans="1:5" x14ac:dyDescent="0.35">
      <c r="A145" s="559" t="s">
        <v>491</v>
      </c>
      <c r="B145" s="95" t="s">
        <v>492</v>
      </c>
      <c r="C145" s="12" t="s">
        <v>299</v>
      </c>
      <c r="D145" s="1" t="s">
        <v>493</v>
      </c>
      <c r="E145" s="12"/>
    </row>
    <row r="146" spans="1:5" ht="16.2" x14ac:dyDescent="0.25">
      <c r="A146" s="559" t="s">
        <v>494</v>
      </c>
      <c r="B146" s="517" t="s">
        <v>429</v>
      </c>
      <c r="C146" s="12" t="s">
        <v>299</v>
      </c>
      <c r="D146" s="1" t="s">
        <v>495</v>
      </c>
      <c r="E146" s="12"/>
    </row>
    <row r="147" spans="1:5" ht="16.2" x14ac:dyDescent="0.25">
      <c r="A147" s="1" t="s">
        <v>496</v>
      </c>
      <c r="B147" s="58" t="s">
        <v>497</v>
      </c>
      <c r="C147" s="12" t="s">
        <v>299</v>
      </c>
      <c r="D147" s="1" t="s">
        <v>498</v>
      </c>
      <c r="E147" s="12"/>
    </row>
    <row r="148" spans="1:5" ht="16.2" x14ac:dyDescent="0.25">
      <c r="A148" s="56" t="s">
        <v>499</v>
      </c>
      <c r="B148" s="517" t="s">
        <v>500</v>
      </c>
      <c r="C148" s="12" t="s">
        <v>299</v>
      </c>
      <c r="D148" s="1" t="s">
        <v>501</v>
      </c>
      <c r="E148" s="12"/>
    </row>
    <row r="149" spans="1:5" x14ac:dyDescent="0.25">
      <c r="A149" s="1" t="s">
        <v>502</v>
      </c>
      <c r="B149" s="58" t="s">
        <v>346</v>
      </c>
      <c r="D149" s="1" t="s">
        <v>503</v>
      </c>
    </row>
    <row r="150" spans="1:5" ht="16.2" x14ac:dyDescent="0.25">
      <c r="A150" s="1" t="s">
        <v>504</v>
      </c>
      <c r="B150" s="517" t="s">
        <v>248</v>
      </c>
      <c r="D150" s="1" t="s">
        <v>505</v>
      </c>
    </row>
    <row r="151" spans="1:5" x14ac:dyDescent="0.25">
      <c r="A151" s="1" t="s">
        <v>506</v>
      </c>
      <c r="B151" s="58" t="s">
        <v>248</v>
      </c>
      <c r="D151" s="1" t="s">
        <v>507</v>
      </c>
    </row>
    <row r="152" spans="1:5" x14ac:dyDescent="0.25">
      <c r="A152" s="1" t="s">
        <v>508</v>
      </c>
      <c r="B152" s="58" t="s">
        <v>151</v>
      </c>
      <c r="D152" s="1" t="s">
        <v>509</v>
      </c>
    </row>
    <row r="153" spans="1:5" x14ac:dyDescent="0.25">
      <c r="A153" s="1" t="s">
        <v>510</v>
      </c>
      <c r="B153" s="58" t="s">
        <v>346</v>
      </c>
      <c r="D153" s="1" t="s">
        <v>511</v>
      </c>
    </row>
    <row r="154" spans="1:5" x14ac:dyDescent="0.25">
      <c r="A154" s="1" t="s">
        <v>512</v>
      </c>
      <c r="B154" s="58" t="s">
        <v>513</v>
      </c>
      <c r="D154" s="1" t="s">
        <v>514</v>
      </c>
    </row>
    <row r="155" spans="1:5" s="42" customFormat="1" ht="16.2" x14ac:dyDescent="0.25">
      <c r="A155" s="42" t="s">
        <v>515</v>
      </c>
      <c r="B155" s="517" t="s">
        <v>346</v>
      </c>
      <c r="D155" s="42" t="s">
        <v>516</v>
      </c>
    </row>
    <row r="156" spans="1:5" ht="16.2" x14ac:dyDescent="0.25">
      <c r="A156" s="1" t="s">
        <v>517</v>
      </c>
      <c r="B156" s="517" t="s">
        <v>518</v>
      </c>
      <c r="D156" s="1" t="s">
        <v>519</v>
      </c>
    </row>
    <row r="157" spans="1:5" ht="16.2" x14ac:dyDescent="0.25">
      <c r="A157" s="1" t="s">
        <v>520</v>
      </c>
      <c r="B157" s="517" t="s">
        <v>521</v>
      </c>
      <c r="D157" s="1" t="s">
        <v>522</v>
      </c>
    </row>
    <row r="158" spans="1:5" ht="16.2" x14ac:dyDescent="0.25">
      <c r="A158" s="1" t="s">
        <v>523</v>
      </c>
      <c r="B158" s="517" t="s">
        <v>248</v>
      </c>
      <c r="D158" s="1" t="s">
        <v>524</v>
      </c>
    </row>
    <row r="159" spans="1:5" ht="16.2" x14ac:dyDescent="0.25">
      <c r="A159" s="1" t="s">
        <v>525</v>
      </c>
      <c r="B159" s="517" t="s">
        <v>151</v>
      </c>
      <c r="D159" s="1" t="s">
        <v>526</v>
      </c>
    </row>
    <row r="160" spans="1:5" ht="16.2" x14ac:dyDescent="0.25">
      <c r="A160" s="1" t="s">
        <v>527</v>
      </c>
      <c r="B160" s="517" t="s">
        <v>390</v>
      </c>
      <c r="D160" s="1" t="s">
        <v>528</v>
      </c>
    </row>
    <row r="161" spans="1:5" ht="16.2" x14ac:dyDescent="0.25">
      <c r="A161" s="1" t="s">
        <v>529</v>
      </c>
      <c r="B161" s="58" t="s">
        <v>164</v>
      </c>
      <c r="C161" s="12" t="s">
        <v>299</v>
      </c>
      <c r="D161" s="1" t="s">
        <v>530</v>
      </c>
      <c r="E161" s="12" t="s">
        <v>404</v>
      </c>
    </row>
    <row r="162" spans="1:5" ht="16.2" x14ac:dyDescent="0.25">
      <c r="A162" s="1" t="s">
        <v>531</v>
      </c>
      <c r="B162" s="58" t="s">
        <v>164</v>
      </c>
      <c r="C162" s="12" t="s">
        <v>299</v>
      </c>
      <c r="D162" s="1" t="s">
        <v>532</v>
      </c>
      <c r="E162" s="12" t="s">
        <v>404</v>
      </c>
    </row>
    <row r="163" spans="1:5" ht="16.2" x14ac:dyDescent="0.25">
      <c r="A163" s="1" t="s">
        <v>533</v>
      </c>
      <c r="B163" s="58" t="s">
        <v>258</v>
      </c>
      <c r="C163" s="12" t="s">
        <v>299</v>
      </c>
      <c r="D163" s="1" t="s">
        <v>534</v>
      </c>
      <c r="E163" s="12" t="s">
        <v>404</v>
      </c>
    </row>
    <row r="164" spans="1:5" ht="16.2" x14ac:dyDescent="0.25">
      <c r="A164" s="1" t="s">
        <v>535</v>
      </c>
      <c r="B164" s="58" t="s">
        <v>248</v>
      </c>
      <c r="C164" s="12" t="s">
        <v>299</v>
      </c>
      <c r="D164" s="102" t="s">
        <v>536</v>
      </c>
      <c r="E164" s="12" t="s">
        <v>404</v>
      </c>
    </row>
    <row r="165" spans="1:5" ht="16.2" x14ac:dyDescent="0.25">
      <c r="A165" s="486" t="s">
        <v>537</v>
      </c>
      <c r="B165" s="517" t="s">
        <v>403</v>
      </c>
      <c r="C165" s="92"/>
      <c r="D165" s="486" t="s">
        <v>538</v>
      </c>
    </row>
    <row r="166" spans="1:5" ht="16.2" x14ac:dyDescent="0.25">
      <c r="A166" s="486" t="s">
        <v>539</v>
      </c>
      <c r="B166" s="517" t="s">
        <v>248</v>
      </c>
      <c r="D166" s="102" t="s">
        <v>540</v>
      </c>
    </row>
    <row r="167" spans="1:5" ht="16.2" x14ac:dyDescent="0.25">
      <c r="A167" s="1" t="s">
        <v>541</v>
      </c>
      <c r="B167" s="58" t="s">
        <v>228</v>
      </c>
      <c r="D167" s="1" t="s">
        <v>542</v>
      </c>
    </row>
    <row r="168" spans="1:5" x14ac:dyDescent="0.25">
      <c r="A168" s="1" t="s">
        <v>543</v>
      </c>
      <c r="B168" s="58" t="s">
        <v>403</v>
      </c>
      <c r="D168" s="1" t="s">
        <v>544</v>
      </c>
    </row>
    <row r="169" spans="1:5" x14ac:dyDescent="0.25">
      <c r="A169" s="1" t="s">
        <v>545</v>
      </c>
      <c r="B169" s="58" t="s">
        <v>346</v>
      </c>
      <c r="D169" s="1" t="s">
        <v>546</v>
      </c>
    </row>
    <row r="170" spans="1:5" x14ac:dyDescent="0.25">
      <c r="A170" s="1" t="s">
        <v>547</v>
      </c>
      <c r="B170" s="58" t="s">
        <v>548</v>
      </c>
      <c r="D170" s="1" t="s">
        <v>549</v>
      </c>
    </row>
    <row r="171" spans="1:5" x14ac:dyDescent="0.25">
      <c r="A171" s="1" t="s">
        <v>550</v>
      </c>
      <c r="B171" s="58" t="s">
        <v>258</v>
      </c>
      <c r="D171" s="1" t="s">
        <v>551</v>
      </c>
    </row>
    <row r="172" spans="1:5" x14ac:dyDescent="0.25">
      <c r="A172" s="1" t="s">
        <v>552</v>
      </c>
      <c r="B172" s="58" t="s">
        <v>346</v>
      </c>
      <c r="C172" s="12" t="s">
        <v>299</v>
      </c>
      <c r="D172" s="1" t="s">
        <v>553</v>
      </c>
      <c r="E172" s="12" t="s">
        <v>404</v>
      </c>
    </row>
    <row r="173" spans="1:5" x14ac:dyDescent="0.25">
      <c r="A173" s="1" t="s">
        <v>554</v>
      </c>
      <c r="B173" s="58" t="s">
        <v>346</v>
      </c>
      <c r="C173" s="12" t="s">
        <v>299</v>
      </c>
      <c r="D173" s="1" t="s">
        <v>555</v>
      </c>
      <c r="E173" s="12" t="s">
        <v>404</v>
      </c>
    </row>
    <row r="174" spans="1:5" ht="16.2" x14ac:dyDescent="0.25">
      <c r="A174" s="42" t="s">
        <v>556</v>
      </c>
      <c r="B174" s="517" t="s">
        <v>390</v>
      </c>
      <c r="C174" s="12" t="s">
        <v>299</v>
      </c>
      <c r="D174" s="42" t="s">
        <v>557</v>
      </c>
      <c r="E174" s="12" t="s">
        <v>404</v>
      </c>
    </row>
    <row r="175" spans="1:5" x14ac:dyDescent="0.25">
      <c r="A175" s="12" t="s">
        <v>558</v>
      </c>
      <c r="B175" s="58" t="s">
        <v>343</v>
      </c>
      <c r="C175" s="12" t="s">
        <v>299</v>
      </c>
      <c r="D175" s="1" t="s">
        <v>559</v>
      </c>
      <c r="E175" s="12" t="s">
        <v>404</v>
      </c>
    </row>
    <row r="176" spans="1:5" x14ac:dyDescent="0.25">
      <c r="A176" s="12" t="s">
        <v>560</v>
      </c>
      <c r="B176" s="58" t="s">
        <v>561</v>
      </c>
      <c r="C176" s="12" t="s">
        <v>299</v>
      </c>
      <c r="D176" s="1" t="s">
        <v>562</v>
      </c>
      <c r="E176" s="12" t="s">
        <v>404</v>
      </c>
    </row>
    <row r="177" spans="1:5" x14ac:dyDescent="0.25">
      <c r="A177" s="12" t="s">
        <v>563</v>
      </c>
      <c r="B177" s="58" t="s">
        <v>564</v>
      </c>
      <c r="C177" s="12" t="s">
        <v>299</v>
      </c>
      <c r="D177" s="1" t="s">
        <v>565</v>
      </c>
      <c r="E177" s="12" t="s">
        <v>404</v>
      </c>
    </row>
    <row r="178" spans="1:5" x14ac:dyDescent="0.25">
      <c r="A178" s="12" t="s">
        <v>566</v>
      </c>
      <c r="B178" s="58" t="s">
        <v>346</v>
      </c>
      <c r="C178" s="12" t="s">
        <v>299</v>
      </c>
      <c r="D178" s="1" t="s">
        <v>425</v>
      </c>
      <c r="E178" s="12" t="s">
        <v>404</v>
      </c>
    </row>
    <row r="179" spans="1:5" ht="16.2" x14ac:dyDescent="0.25">
      <c r="A179" s="12" t="s">
        <v>567</v>
      </c>
      <c r="B179" s="58" t="s">
        <v>568</v>
      </c>
      <c r="C179" s="12" t="s">
        <v>299</v>
      </c>
      <c r="D179" s="1" t="s">
        <v>569</v>
      </c>
      <c r="E179" s="12" t="s">
        <v>404</v>
      </c>
    </row>
    <row r="180" spans="1:5" x14ac:dyDescent="0.25">
      <c r="A180" s="1" t="s">
        <v>570</v>
      </c>
      <c r="B180" s="58" t="s">
        <v>571</v>
      </c>
      <c r="D180" s="1" t="s">
        <v>572</v>
      </c>
    </row>
    <row r="181" spans="1:5" x14ac:dyDescent="0.25">
      <c r="A181" s="1" t="s">
        <v>573</v>
      </c>
      <c r="B181" s="58" t="s">
        <v>574</v>
      </c>
      <c r="D181" s="1" t="s">
        <v>575</v>
      </c>
    </row>
    <row r="182" spans="1:5" x14ac:dyDescent="0.25">
      <c r="A182" s="1" t="s">
        <v>576</v>
      </c>
      <c r="B182" s="58" t="s">
        <v>403</v>
      </c>
      <c r="C182" s="12" t="s">
        <v>299</v>
      </c>
      <c r="D182" s="1" t="s">
        <v>577</v>
      </c>
      <c r="E182" s="12" t="s">
        <v>404</v>
      </c>
    </row>
    <row r="183" spans="1:5" x14ac:dyDescent="0.25">
      <c r="A183" s="1" t="s">
        <v>578</v>
      </c>
      <c r="B183" s="58" t="s">
        <v>579</v>
      </c>
      <c r="C183" s="12" t="s">
        <v>299</v>
      </c>
      <c r="D183" s="1" t="s">
        <v>580</v>
      </c>
      <c r="E183" s="12" t="s">
        <v>404</v>
      </c>
    </row>
    <row r="184" spans="1:5" x14ac:dyDescent="0.25">
      <c r="A184" s="1" t="s">
        <v>581</v>
      </c>
      <c r="B184" s="58" t="s">
        <v>476</v>
      </c>
      <c r="D184" s="1" t="s">
        <v>582</v>
      </c>
    </row>
    <row r="185" spans="1:5" x14ac:dyDescent="0.25">
      <c r="A185" s="1" t="s">
        <v>583</v>
      </c>
      <c r="B185" s="58" t="s">
        <v>584</v>
      </c>
      <c r="D185" s="1" t="s">
        <v>585</v>
      </c>
    </row>
    <row r="186" spans="1:5" x14ac:dyDescent="0.25">
      <c r="A186" s="1" t="s">
        <v>586</v>
      </c>
      <c r="B186" s="58" t="s">
        <v>587</v>
      </c>
      <c r="D186" s="1" t="s">
        <v>588</v>
      </c>
    </row>
    <row r="187" spans="1:5" x14ac:dyDescent="0.25">
      <c r="A187" s="1" t="s">
        <v>589</v>
      </c>
      <c r="B187" s="58" t="s">
        <v>590</v>
      </c>
      <c r="D187" s="1" t="s">
        <v>591</v>
      </c>
    </row>
    <row r="188" spans="1:5" x14ac:dyDescent="0.25">
      <c r="A188" s="1" t="s">
        <v>592</v>
      </c>
      <c r="B188" s="58" t="s">
        <v>228</v>
      </c>
      <c r="D188" s="1" t="s">
        <v>593</v>
      </c>
    </row>
    <row r="189" spans="1:5" x14ac:dyDescent="0.25">
      <c r="A189" s="1" t="s">
        <v>594</v>
      </c>
      <c r="B189" s="58" t="s">
        <v>217</v>
      </c>
      <c r="D189" s="1" t="s">
        <v>595</v>
      </c>
    </row>
    <row r="190" spans="1:5" x14ac:dyDescent="0.25">
      <c r="A190" s="1" t="s">
        <v>596</v>
      </c>
      <c r="B190" s="58" t="s">
        <v>217</v>
      </c>
      <c r="D190" s="1" t="s">
        <v>597</v>
      </c>
    </row>
    <row r="191" spans="1:5" x14ac:dyDescent="0.25">
      <c r="A191" s="1" t="s">
        <v>598</v>
      </c>
      <c r="B191" s="58" t="s">
        <v>248</v>
      </c>
      <c r="D191" s="1" t="s">
        <v>599</v>
      </c>
    </row>
    <row r="192" spans="1:5" x14ac:dyDescent="0.25">
      <c r="A192" s="1" t="s">
        <v>600</v>
      </c>
      <c r="B192" s="58" t="s">
        <v>497</v>
      </c>
      <c r="D192" s="1" t="s">
        <v>601</v>
      </c>
    </row>
    <row r="193" spans="1:14" x14ac:dyDescent="0.25">
      <c r="A193" s="1" t="s">
        <v>602</v>
      </c>
      <c r="B193" s="58" t="s">
        <v>258</v>
      </c>
      <c r="D193" s="1" t="s">
        <v>603</v>
      </c>
    </row>
    <row r="194" spans="1:14" x14ac:dyDescent="0.25">
      <c r="A194" s="1" t="s">
        <v>604</v>
      </c>
      <c r="B194" s="58" t="s">
        <v>330</v>
      </c>
      <c r="D194" s="1" t="s">
        <v>605</v>
      </c>
    </row>
    <row r="195" spans="1:14" x14ac:dyDescent="0.25">
      <c r="A195" s="1" t="s">
        <v>606</v>
      </c>
      <c r="B195" s="1">
        <f>INDEX('炮解锁|CannonUnlock'!A:A,MATCH(MAX('炮解锁|CannonUnlock'!A:A),'炮解锁|CannonUnlock'!A:A,),1)</f>
        <v>100000</v>
      </c>
      <c r="D195" s="1" t="s">
        <v>607</v>
      </c>
    </row>
    <row r="196" spans="1:14" x14ac:dyDescent="0.25">
      <c r="A196" s="1" t="s">
        <v>608</v>
      </c>
      <c r="B196" s="58" t="s">
        <v>609</v>
      </c>
      <c r="C196" s="12" t="s">
        <v>299</v>
      </c>
      <c r="D196" s="1" t="s">
        <v>610</v>
      </c>
      <c r="E196" s="12" t="s">
        <v>404</v>
      </c>
      <c r="K196" s="1" t="s">
        <v>611</v>
      </c>
      <c r="L196" s="1" t="s">
        <v>612</v>
      </c>
      <c r="M196" s="1" t="s">
        <v>613</v>
      </c>
      <c r="N196" s="1" t="s">
        <v>614</v>
      </c>
    </row>
    <row r="197" spans="1:14" x14ac:dyDescent="0.25">
      <c r="A197" s="1" t="s">
        <v>615</v>
      </c>
      <c r="B197" s="58" t="s">
        <v>616</v>
      </c>
      <c r="C197" s="12" t="s">
        <v>299</v>
      </c>
      <c r="D197" s="1" t="s">
        <v>617</v>
      </c>
      <c r="E197" s="12" t="s">
        <v>404</v>
      </c>
      <c r="K197" s="227">
        <v>0.1</v>
      </c>
      <c r="L197" s="227">
        <v>1</v>
      </c>
      <c r="M197" s="565">
        <f>K197*L197*2+K197*(1-L197)</f>
        <v>0.2</v>
      </c>
      <c r="N197" s="565">
        <f>K197*L197*3+K197*(1-L197)</f>
        <v>0.30000000000000004</v>
      </c>
    </row>
    <row r="198" spans="1:14" x14ac:dyDescent="0.25">
      <c r="A198" s="1" t="s">
        <v>618</v>
      </c>
      <c r="B198" s="58" t="s">
        <v>619</v>
      </c>
      <c r="D198" s="1" t="s">
        <v>620</v>
      </c>
      <c r="K198" s="227">
        <v>0.2</v>
      </c>
      <c r="L198" s="227">
        <v>0.9</v>
      </c>
      <c r="M198" s="565">
        <f t="shared" ref="M198:M206" si="4">K198*L198*2+K198*(1-L198)</f>
        <v>0.38000000000000006</v>
      </c>
      <c r="N198" s="565">
        <f t="shared" ref="N198:N206" si="5">K198*L198*3+K198*(1-L198)</f>
        <v>0.56000000000000005</v>
      </c>
    </row>
    <row r="199" spans="1:14" x14ac:dyDescent="0.25">
      <c r="A199" s="1" t="s">
        <v>621</v>
      </c>
      <c r="B199" s="58" t="s">
        <v>457</v>
      </c>
      <c r="D199" s="1" t="s">
        <v>622</v>
      </c>
      <c r="K199" s="227">
        <v>0.3</v>
      </c>
      <c r="L199" s="227">
        <v>0.8</v>
      </c>
      <c r="M199" s="565">
        <f t="shared" si="4"/>
        <v>0.53999999999999992</v>
      </c>
      <c r="N199" s="565">
        <f t="shared" si="5"/>
        <v>0.77999999999999992</v>
      </c>
    </row>
    <row r="200" spans="1:14" x14ac:dyDescent="0.25">
      <c r="A200" s="1" t="s">
        <v>623</v>
      </c>
      <c r="B200" s="58" t="s">
        <v>377</v>
      </c>
      <c r="D200" s="1" t="s">
        <v>624</v>
      </c>
      <c r="K200" s="227">
        <v>0.4</v>
      </c>
      <c r="L200" s="227">
        <v>0.7</v>
      </c>
      <c r="M200" s="565">
        <f t="shared" si="4"/>
        <v>0.67999999999999994</v>
      </c>
      <c r="N200" s="565">
        <f t="shared" si="5"/>
        <v>0.95999999999999985</v>
      </c>
    </row>
    <row r="201" spans="1:14" x14ac:dyDescent="0.25">
      <c r="A201" s="1" t="s">
        <v>625</v>
      </c>
      <c r="B201" s="58" t="s">
        <v>346</v>
      </c>
      <c r="D201" s="1" t="s">
        <v>626</v>
      </c>
      <c r="K201" s="227">
        <v>0.5</v>
      </c>
      <c r="L201" s="227">
        <v>0.6</v>
      </c>
      <c r="M201" s="565">
        <f t="shared" si="4"/>
        <v>0.8</v>
      </c>
      <c r="N201" s="565">
        <f t="shared" si="5"/>
        <v>1.0999999999999999</v>
      </c>
    </row>
    <row r="202" spans="1:14" x14ac:dyDescent="0.25">
      <c r="A202" s="1" t="s">
        <v>627</v>
      </c>
      <c r="B202" s="58" t="s">
        <v>462</v>
      </c>
      <c r="D202" s="1" t="s">
        <v>628</v>
      </c>
      <c r="K202" s="227">
        <v>0.6</v>
      </c>
      <c r="L202" s="227">
        <v>0.5</v>
      </c>
      <c r="M202" s="565">
        <f t="shared" si="4"/>
        <v>0.89999999999999991</v>
      </c>
      <c r="N202" s="565">
        <f t="shared" si="5"/>
        <v>1.2</v>
      </c>
    </row>
    <row r="203" spans="1:14" x14ac:dyDescent="0.25">
      <c r="A203" s="1" t="s">
        <v>629</v>
      </c>
      <c r="B203" s="58" t="s">
        <v>568</v>
      </c>
      <c r="D203" s="1" t="s">
        <v>630</v>
      </c>
      <c r="E203" s="1">
        <f>10*60</f>
        <v>600</v>
      </c>
      <c r="K203" s="227">
        <v>0.7</v>
      </c>
      <c r="L203" s="227">
        <v>0.4</v>
      </c>
      <c r="M203" s="565">
        <f t="shared" si="4"/>
        <v>0.98</v>
      </c>
      <c r="N203" s="565">
        <f t="shared" si="5"/>
        <v>1.2599999999999998</v>
      </c>
    </row>
    <row r="204" spans="1:14" x14ac:dyDescent="0.25">
      <c r="A204" s="1" t="s">
        <v>631</v>
      </c>
      <c r="B204" s="58" t="s">
        <v>248</v>
      </c>
      <c r="D204" s="1" t="s">
        <v>632</v>
      </c>
      <c r="K204" s="227">
        <v>0.8</v>
      </c>
      <c r="L204" s="227">
        <v>0.3</v>
      </c>
      <c r="M204" s="565">
        <f t="shared" si="4"/>
        <v>1.04</v>
      </c>
      <c r="N204" s="565">
        <f t="shared" si="5"/>
        <v>1.2799999999999998</v>
      </c>
    </row>
    <row r="205" spans="1:14" x14ac:dyDescent="0.25">
      <c r="A205" s="1" t="s">
        <v>633</v>
      </c>
      <c r="B205" s="58" t="s">
        <v>343</v>
      </c>
      <c r="D205" s="1" t="s">
        <v>634</v>
      </c>
      <c r="K205" s="227">
        <v>0.9</v>
      </c>
      <c r="L205" s="227">
        <v>0.2</v>
      </c>
      <c r="M205" s="565">
        <f t="shared" si="4"/>
        <v>1.08</v>
      </c>
      <c r="N205" s="565">
        <f t="shared" si="5"/>
        <v>1.2600000000000002</v>
      </c>
    </row>
    <row r="206" spans="1:14" x14ac:dyDescent="0.25">
      <c r="A206" s="1" t="s">
        <v>635</v>
      </c>
      <c r="B206" s="58" t="s">
        <v>248</v>
      </c>
      <c r="D206" s="1" t="s">
        <v>636</v>
      </c>
      <c r="K206" s="227">
        <v>1</v>
      </c>
      <c r="L206" s="227">
        <v>0.1</v>
      </c>
      <c r="M206" s="565">
        <f t="shared" si="4"/>
        <v>1.1000000000000001</v>
      </c>
      <c r="N206" s="565">
        <f t="shared" si="5"/>
        <v>1.2000000000000002</v>
      </c>
    </row>
    <row r="207" spans="1:14" x14ac:dyDescent="0.35">
      <c r="A207" s="1" t="s">
        <v>637</v>
      </c>
      <c r="B207" s="39">
        <f>MAX('潜艇等级|AirBallLv'!A6:A100)</f>
        <v>10</v>
      </c>
      <c r="D207" s="1" t="s">
        <v>638</v>
      </c>
      <c r="K207" s="227">
        <v>1.1000000000000001</v>
      </c>
      <c r="L207" s="227">
        <v>0</v>
      </c>
      <c r="M207" s="565">
        <f t="shared" ref="M207:M209" si="6">K207*L207*2+K207*(1-L207)</f>
        <v>1.1000000000000001</v>
      </c>
      <c r="N207" s="565">
        <f t="shared" ref="N207:N209" si="7">K207*L207*3+K207*(1-L207)</f>
        <v>1.1000000000000001</v>
      </c>
    </row>
    <row r="208" spans="1:14" x14ac:dyDescent="0.25">
      <c r="A208" s="1" t="s">
        <v>639</v>
      </c>
      <c r="B208" s="58" t="s">
        <v>429</v>
      </c>
      <c r="D208" s="1" t="s">
        <v>640</v>
      </c>
      <c r="K208" s="227">
        <v>1.2</v>
      </c>
      <c r="L208" s="227">
        <v>0</v>
      </c>
      <c r="M208" s="565">
        <f t="shared" si="6"/>
        <v>1.2</v>
      </c>
      <c r="N208" s="565">
        <f t="shared" si="7"/>
        <v>1.2</v>
      </c>
    </row>
    <row r="209" spans="1:14" x14ac:dyDescent="0.25">
      <c r="A209" s="1" t="s">
        <v>641</v>
      </c>
      <c r="B209" s="58" t="s">
        <v>390</v>
      </c>
      <c r="D209" s="1" t="s">
        <v>642</v>
      </c>
      <c r="K209" s="227">
        <v>1.3</v>
      </c>
      <c r="L209" s="227">
        <v>0</v>
      </c>
      <c r="M209" s="565">
        <f t="shared" si="6"/>
        <v>1.3</v>
      </c>
      <c r="N209" s="565">
        <f t="shared" si="7"/>
        <v>1.3</v>
      </c>
    </row>
    <row r="210" spans="1:14" x14ac:dyDescent="0.25">
      <c r="A210" s="1" t="s">
        <v>643</v>
      </c>
      <c r="B210" s="72">
        <f>10*60</f>
        <v>600</v>
      </c>
      <c r="D210" s="1" t="s">
        <v>644</v>
      </c>
    </row>
    <row r="211" spans="1:14" ht="16.2" x14ac:dyDescent="0.25">
      <c r="A211" s="1" t="s">
        <v>645</v>
      </c>
      <c r="B211" s="517" t="s">
        <v>646</v>
      </c>
      <c r="D211" s="1" t="s">
        <v>647</v>
      </c>
    </row>
    <row r="212" spans="1:14" x14ac:dyDescent="0.25">
      <c r="A212" s="1" t="s">
        <v>648</v>
      </c>
      <c r="B212" s="58" t="s">
        <v>518</v>
      </c>
      <c r="D212" s="1" t="s">
        <v>649</v>
      </c>
    </row>
    <row r="213" spans="1:14" x14ac:dyDescent="0.25">
      <c r="A213" s="1" t="s">
        <v>650</v>
      </c>
      <c r="B213" s="58" t="s">
        <v>403</v>
      </c>
      <c r="D213" s="1" t="s">
        <v>651</v>
      </c>
    </row>
    <row r="214" spans="1:14" ht="16.2" x14ac:dyDescent="0.25">
      <c r="A214" s="1" t="s">
        <v>652</v>
      </c>
      <c r="B214" s="42">
        <v>15</v>
      </c>
      <c r="D214" s="1" t="s">
        <v>653</v>
      </c>
      <c r="E214" s="42">
        <v>15</v>
      </c>
    </row>
    <row r="215" spans="1:14" x14ac:dyDescent="0.25">
      <c r="A215" s="1" t="s">
        <v>654</v>
      </c>
      <c r="B215" s="58" t="s">
        <v>403</v>
      </c>
      <c r="D215" s="1" t="s">
        <v>655</v>
      </c>
    </row>
    <row r="216" spans="1:14" x14ac:dyDescent="0.25">
      <c r="A216" s="1" t="s">
        <v>656</v>
      </c>
      <c r="B216" s="58" t="s">
        <v>377</v>
      </c>
      <c r="D216" s="1" t="s">
        <v>657</v>
      </c>
    </row>
    <row r="217" spans="1:14" x14ac:dyDescent="0.25">
      <c r="A217" s="1" t="s">
        <v>658</v>
      </c>
      <c r="B217" s="562" t="s">
        <v>462</v>
      </c>
      <c r="C217" s="12" t="s">
        <v>299</v>
      </c>
      <c r="D217" s="1" t="s">
        <v>659</v>
      </c>
      <c r="E217" s="12"/>
    </row>
    <row r="218" spans="1:14" ht="16.2" x14ac:dyDescent="0.25">
      <c r="A218" s="1" t="s">
        <v>660</v>
      </c>
      <c r="B218" s="562" t="s">
        <v>661</v>
      </c>
      <c r="C218" s="12" t="s">
        <v>299</v>
      </c>
      <c r="D218" s="102" t="s">
        <v>662</v>
      </c>
      <c r="E218" s="12"/>
    </row>
    <row r="219" spans="1:14" x14ac:dyDescent="0.25">
      <c r="A219" s="1" t="s">
        <v>663</v>
      </c>
      <c r="B219" s="562" t="s">
        <v>664</v>
      </c>
      <c r="C219" s="12" t="s">
        <v>299</v>
      </c>
      <c r="D219" s="1" t="s">
        <v>665</v>
      </c>
      <c r="E219" s="12"/>
    </row>
    <row r="220" spans="1:14" ht="16.2" x14ac:dyDescent="0.25">
      <c r="A220" s="1" t="s">
        <v>666</v>
      </c>
      <c r="B220" s="563" t="s">
        <v>667</v>
      </c>
      <c r="C220" s="12" t="s">
        <v>299</v>
      </c>
      <c r="D220" s="1" t="s">
        <v>668</v>
      </c>
      <c r="E220" s="12"/>
    </row>
    <row r="221" spans="1:14" x14ac:dyDescent="0.25">
      <c r="A221" s="1" t="s">
        <v>669</v>
      </c>
      <c r="B221" s="562" t="s">
        <v>228</v>
      </c>
      <c r="C221" s="12" t="s">
        <v>299</v>
      </c>
      <c r="D221" s="1" t="s">
        <v>670</v>
      </c>
      <c r="E221" s="12"/>
    </row>
    <row r="222" spans="1:14" ht="16.2" x14ac:dyDescent="0.25">
      <c r="A222" s="1" t="s">
        <v>671</v>
      </c>
      <c r="B222" s="562" t="s">
        <v>672</v>
      </c>
      <c r="C222" s="12" t="s">
        <v>299</v>
      </c>
      <c r="D222" s="1" t="s">
        <v>673</v>
      </c>
      <c r="E222" s="12"/>
    </row>
    <row r="223" spans="1:14" x14ac:dyDescent="0.25">
      <c r="A223" s="1" t="s">
        <v>674</v>
      </c>
      <c r="B223" s="562" t="s">
        <v>390</v>
      </c>
      <c r="C223" s="12" t="s">
        <v>299</v>
      </c>
      <c r="D223" s="1" t="s">
        <v>675</v>
      </c>
      <c r="E223" s="12"/>
    </row>
    <row r="224" spans="1:14" ht="16.2" x14ac:dyDescent="0.25">
      <c r="A224" s="1" t="s">
        <v>676</v>
      </c>
      <c r="B224" s="562" t="s">
        <v>677</v>
      </c>
      <c r="C224" s="12" t="s">
        <v>299</v>
      </c>
      <c r="D224" s="1" t="s">
        <v>678</v>
      </c>
      <c r="E224" s="12"/>
    </row>
    <row r="225" spans="1:5" x14ac:dyDescent="0.25">
      <c r="A225" s="1" t="s">
        <v>679</v>
      </c>
      <c r="B225" s="562" t="s">
        <v>390</v>
      </c>
      <c r="C225" s="12" t="s">
        <v>299</v>
      </c>
      <c r="D225" s="1" t="s">
        <v>680</v>
      </c>
      <c r="E225" s="12"/>
    </row>
    <row r="226" spans="1:5" ht="16.2" x14ac:dyDescent="0.25">
      <c r="A226" s="1" t="s">
        <v>681</v>
      </c>
      <c r="B226" s="562" t="s">
        <v>682</v>
      </c>
      <c r="C226" s="12" t="s">
        <v>299</v>
      </c>
      <c r="D226" s="1" t="s">
        <v>683</v>
      </c>
      <c r="E226" s="12"/>
    </row>
    <row r="227" spans="1:5" x14ac:dyDescent="0.25">
      <c r="A227" s="1" t="s">
        <v>684</v>
      </c>
      <c r="B227" s="562" t="s">
        <v>685</v>
      </c>
      <c r="C227" s="12" t="s">
        <v>299</v>
      </c>
      <c r="D227" s="1" t="s">
        <v>686</v>
      </c>
      <c r="E227" s="12"/>
    </row>
    <row r="228" spans="1:5" x14ac:dyDescent="0.25">
      <c r="A228" s="1" t="s">
        <v>687</v>
      </c>
      <c r="B228" s="562" t="s">
        <v>688</v>
      </c>
      <c r="C228" s="12" t="s">
        <v>299</v>
      </c>
      <c r="D228" s="1" t="s">
        <v>689</v>
      </c>
      <c r="E228" s="12"/>
    </row>
    <row r="229" spans="1:5" x14ac:dyDescent="0.25">
      <c r="A229" s="1" t="s">
        <v>690</v>
      </c>
      <c r="B229" s="58" t="s">
        <v>691</v>
      </c>
      <c r="D229" s="1" t="s">
        <v>692</v>
      </c>
    </row>
    <row r="230" spans="1:5" x14ac:dyDescent="0.25">
      <c r="A230" s="1" t="s">
        <v>693</v>
      </c>
      <c r="B230" s="58" t="s">
        <v>171</v>
      </c>
      <c r="D230" s="1" t="s">
        <v>694</v>
      </c>
    </row>
    <row r="231" spans="1:5" x14ac:dyDescent="0.25">
      <c r="A231" s="1" t="s">
        <v>695</v>
      </c>
      <c r="B231" s="58" t="s">
        <v>696</v>
      </c>
      <c r="D231" s="1" t="s">
        <v>697</v>
      </c>
    </row>
    <row r="232" spans="1:5" x14ac:dyDescent="0.25">
      <c r="A232" s="1" t="s">
        <v>698</v>
      </c>
      <c r="B232" s="58" t="s">
        <v>699</v>
      </c>
      <c r="D232" s="1" t="s">
        <v>700</v>
      </c>
    </row>
    <row r="233" spans="1:5" x14ac:dyDescent="0.25">
      <c r="A233" s="1" t="s">
        <v>701</v>
      </c>
      <c r="B233" s="58" t="s">
        <v>151</v>
      </c>
      <c r="D233" s="1" t="s">
        <v>702</v>
      </c>
    </row>
    <row r="234" spans="1:5" x14ac:dyDescent="0.25">
      <c r="A234" s="1" t="s">
        <v>703</v>
      </c>
      <c r="B234" s="58" t="s">
        <v>390</v>
      </c>
      <c r="D234" s="1" t="s">
        <v>704</v>
      </c>
    </row>
    <row r="235" spans="1:5" x14ac:dyDescent="0.25">
      <c r="A235" s="1" t="s">
        <v>705</v>
      </c>
      <c r="B235" s="58" t="s">
        <v>706</v>
      </c>
      <c r="D235" s="1" t="s">
        <v>707</v>
      </c>
    </row>
    <row r="236" spans="1:5" x14ac:dyDescent="0.25">
      <c r="A236" s="1" t="s">
        <v>708</v>
      </c>
      <c r="B236" s="564" t="s">
        <v>709</v>
      </c>
      <c r="D236" s="1" t="s">
        <v>710</v>
      </c>
    </row>
    <row r="237" spans="1:5" x14ac:dyDescent="0.25">
      <c r="A237" s="1" t="s">
        <v>711</v>
      </c>
      <c r="B237" s="58" t="s">
        <v>429</v>
      </c>
      <c r="D237" s="1" t="s">
        <v>712</v>
      </c>
    </row>
    <row r="238" spans="1:5" x14ac:dyDescent="0.25">
      <c r="A238" s="1" t="s">
        <v>713</v>
      </c>
      <c r="B238" s="58" t="s">
        <v>432</v>
      </c>
      <c r="D238" s="1" t="s">
        <v>714</v>
      </c>
    </row>
    <row r="239" spans="1:5" x14ac:dyDescent="0.25">
      <c r="A239" s="1" t="s">
        <v>715</v>
      </c>
      <c r="B239" s="58" t="s">
        <v>377</v>
      </c>
      <c r="D239" s="1" t="s">
        <v>716</v>
      </c>
    </row>
    <row r="240" spans="1:5" x14ac:dyDescent="0.25">
      <c r="A240" s="1" t="s">
        <v>717</v>
      </c>
      <c r="B240" s="58" t="s">
        <v>718</v>
      </c>
      <c r="D240" s="1" t="s">
        <v>719</v>
      </c>
    </row>
    <row r="241" spans="1:17" x14ac:dyDescent="0.25">
      <c r="A241" s="1" t="s">
        <v>720</v>
      </c>
      <c r="B241" s="58" t="s">
        <v>721</v>
      </c>
      <c r="D241" s="1" t="s">
        <v>722</v>
      </c>
    </row>
    <row r="242" spans="1:17" x14ac:dyDescent="0.25">
      <c r="A242" s="1" t="s">
        <v>723</v>
      </c>
      <c r="B242" s="58" t="s">
        <v>327</v>
      </c>
      <c r="D242" s="621" t="s">
        <v>2076</v>
      </c>
    </row>
    <row r="243" spans="1:17" x14ac:dyDescent="0.25">
      <c r="A243" s="1" t="s">
        <v>724</v>
      </c>
      <c r="B243" s="58" t="s">
        <v>228</v>
      </c>
      <c r="D243" s="621" t="s">
        <v>2077</v>
      </c>
    </row>
    <row r="244" spans="1:17" x14ac:dyDescent="0.25">
      <c r="A244" s="1" t="s">
        <v>725</v>
      </c>
      <c r="B244" s="58" t="s">
        <v>726</v>
      </c>
      <c r="D244" s="621" t="s">
        <v>2078</v>
      </c>
    </row>
    <row r="245" spans="1:17" ht="16.2" x14ac:dyDescent="0.25">
      <c r="A245" s="622" t="s">
        <v>793</v>
      </c>
      <c r="B245" s="620" t="s">
        <v>2075</v>
      </c>
      <c r="D245" s="621" t="s">
        <v>2079</v>
      </c>
      <c r="L245" s="66"/>
      <c r="M245" s="66"/>
      <c r="N245" s="66"/>
      <c r="O245" s="66"/>
      <c r="P245" s="66"/>
      <c r="Q245" s="66"/>
    </row>
    <row r="246" spans="1:17" ht="16.2" x14ac:dyDescent="0.25">
      <c r="A246" s="622" t="s">
        <v>794</v>
      </c>
      <c r="B246" s="623">
        <v>2000</v>
      </c>
      <c r="D246" s="621" t="s">
        <v>2081</v>
      </c>
      <c r="G246" s="621"/>
      <c r="L246" s="66"/>
      <c r="M246" s="66"/>
      <c r="N246" s="66"/>
      <c r="O246" s="66"/>
      <c r="P246" s="66"/>
      <c r="Q246" s="66"/>
    </row>
    <row r="247" spans="1:17" ht="16.2" x14ac:dyDescent="0.25">
      <c r="A247" s="622" t="s">
        <v>795</v>
      </c>
      <c r="B247" s="623">
        <f>B246*9</f>
        <v>18000</v>
      </c>
      <c r="D247" s="621" t="s">
        <v>2081</v>
      </c>
      <c r="G247" s="621" t="s">
        <v>2080</v>
      </c>
      <c r="L247" s="66"/>
      <c r="M247" s="66"/>
      <c r="N247" s="66"/>
      <c r="O247" s="66"/>
      <c r="P247" s="66"/>
      <c r="Q247" s="66"/>
    </row>
    <row r="248" spans="1:17" x14ac:dyDescent="0.25">
      <c r="A248" s="1" t="s">
        <v>727</v>
      </c>
      <c r="B248" s="58" t="s">
        <v>728</v>
      </c>
      <c r="D248" s="1" t="s">
        <v>729</v>
      </c>
      <c r="L248" s="58"/>
    </row>
    <row r="249" spans="1:17" x14ac:dyDescent="0.25">
      <c r="A249" s="1" t="s">
        <v>730</v>
      </c>
      <c r="B249" s="58" t="s">
        <v>731</v>
      </c>
      <c r="C249" s="12" t="s">
        <v>299</v>
      </c>
      <c r="D249" s="1" t="s">
        <v>732</v>
      </c>
    </row>
    <row r="250" spans="1:17" x14ac:dyDescent="0.25">
      <c r="A250" s="1" t="s">
        <v>733</v>
      </c>
      <c r="B250" s="72">
        <f>8*60*60*6*7</f>
        <v>1209600</v>
      </c>
      <c r="D250" s="1" t="s">
        <v>734</v>
      </c>
    </row>
    <row r="251" spans="1:17" x14ac:dyDescent="0.25">
      <c r="A251" s="1" t="s">
        <v>735</v>
      </c>
      <c r="B251" s="58" t="s">
        <v>327</v>
      </c>
      <c r="D251" s="1" t="s">
        <v>736</v>
      </c>
    </row>
    <row r="252" spans="1:17" x14ac:dyDescent="0.25">
      <c r="A252" s="1" t="s">
        <v>737</v>
      </c>
      <c r="B252" s="72">
        <f>5%*1000</f>
        <v>50</v>
      </c>
      <c r="D252" s="1" t="s">
        <v>738</v>
      </c>
    </row>
    <row r="253" spans="1:17" x14ac:dyDescent="0.25">
      <c r="A253" s="1" t="s">
        <v>739</v>
      </c>
      <c r="B253" s="58" t="s">
        <v>740</v>
      </c>
      <c r="D253" s="1" t="s">
        <v>741</v>
      </c>
    </row>
    <row r="254" spans="1:17" x14ac:dyDescent="0.25">
      <c r="A254" s="1" t="s">
        <v>742</v>
      </c>
      <c r="B254" s="58" t="s">
        <v>743</v>
      </c>
      <c r="D254" s="1" t="s">
        <v>744</v>
      </c>
    </row>
    <row r="255" spans="1:17" x14ac:dyDescent="0.25">
      <c r="A255" s="1" t="s">
        <v>745</v>
      </c>
      <c r="B255" s="58" t="s">
        <v>746</v>
      </c>
      <c r="D255" s="1" t="s">
        <v>747</v>
      </c>
    </row>
    <row r="256" spans="1:17" x14ac:dyDescent="0.25">
      <c r="A256" s="1" t="s">
        <v>748</v>
      </c>
      <c r="B256" s="58" t="s">
        <v>217</v>
      </c>
      <c r="D256" s="1" t="s">
        <v>749</v>
      </c>
    </row>
    <row r="257" spans="1:24" x14ac:dyDescent="0.25">
      <c r="A257" s="1" t="s">
        <v>750</v>
      </c>
      <c r="B257" s="72">
        <f>50%*10000</f>
        <v>5000</v>
      </c>
      <c r="D257" s="1" t="s">
        <v>751</v>
      </c>
    </row>
    <row r="258" spans="1:24" x14ac:dyDescent="0.25">
      <c r="A258" s="1" t="s">
        <v>752</v>
      </c>
      <c r="B258" s="72">
        <f>2%*10000</f>
        <v>200</v>
      </c>
      <c r="D258" s="1" t="s">
        <v>753</v>
      </c>
      <c r="K258" s="47"/>
      <c r="L258" s="48"/>
      <c r="M258" s="48"/>
      <c r="N258" s="48"/>
      <c r="O258" s="48"/>
      <c r="P258" s="48"/>
      <c r="Q258" s="48"/>
      <c r="R258" s="48"/>
      <c r="S258" s="48" t="s">
        <v>754</v>
      </c>
      <c r="T258" s="566">
        <v>5000000</v>
      </c>
      <c r="U258" s="566"/>
      <c r="V258" s="48"/>
      <c r="W258" s="48"/>
      <c r="X258" s="50"/>
    </row>
    <row r="259" spans="1:24" x14ac:dyDescent="0.25">
      <c r="A259" s="1" t="s">
        <v>755</v>
      </c>
      <c r="B259" s="72">
        <f>648*10*100000</f>
        <v>648000000</v>
      </c>
      <c r="D259" s="1" t="s">
        <v>756</v>
      </c>
      <c r="K259" s="10"/>
      <c r="L259" s="11"/>
      <c r="M259" s="11"/>
      <c r="N259" s="11"/>
      <c r="O259" s="11"/>
      <c r="P259" s="11"/>
      <c r="Q259" s="11"/>
      <c r="R259" s="11"/>
      <c r="S259" s="567" t="s">
        <v>757</v>
      </c>
      <c r="T259" s="11">
        <f>'道具|Item'!E33</f>
        <v>960000</v>
      </c>
      <c r="U259" s="11"/>
      <c r="V259" s="11"/>
      <c r="W259" s="11"/>
      <c r="X259" s="19"/>
    </row>
    <row r="260" spans="1:24" x14ac:dyDescent="0.25">
      <c r="A260" s="1" t="s">
        <v>758</v>
      </c>
      <c r="B260" s="72">
        <f>T258</f>
        <v>5000000</v>
      </c>
      <c r="D260" s="1" t="s">
        <v>754</v>
      </c>
      <c r="E260" s="568"/>
      <c r="F260" s="569"/>
      <c r="G260" s="569"/>
      <c r="H260" s="69"/>
      <c r="K260" s="10"/>
      <c r="L260" s="11" t="s">
        <v>759</v>
      </c>
      <c r="M260" s="11"/>
      <c r="N260" s="11"/>
      <c r="O260" s="11"/>
      <c r="P260" s="11"/>
      <c r="Q260" s="11"/>
      <c r="R260" s="11"/>
      <c r="S260" s="11" t="s">
        <v>760</v>
      </c>
      <c r="T260" s="11">
        <f>'道具|Item'!R33</f>
        <v>50</v>
      </c>
      <c r="U260" s="11"/>
      <c r="V260" s="11"/>
      <c r="W260" s="567" t="s">
        <v>761</v>
      </c>
      <c r="X260" s="19"/>
    </row>
    <row r="261" spans="1:24" x14ac:dyDescent="0.25">
      <c r="A261" s="1" t="s">
        <v>762</v>
      </c>
      <c r="B261" s="58" t="s">
        <v>763</v>
      </c>
      <c r="D261" s="1" t="s">
        <v>764</v>
      </c>
      <c r="K261" s="10"/>
      <c r="L261" s="570" t="s">
        <v>765</v>
      </c>
      <c r="M261" s="570"/>
      <c r="N261" s="570"/>
      <c r="O261" s="570" t="s">
        <v>766</v>
      </c>
      <c r="P261" s="570"/>
      <c r="Q261" s="570"/>
      <c r="R261" s="11"/>
      <c r="S261" s="11"/>
      <c r="T261" s="574" t="s">
        <v>767</v>
      </c>
      <c r="U261" s="574" t="s">
        <v>768</v>
      </c>
      <c r="V261" s="11" t="s">
        <v>97</v>
      </c>
      <c r="W261" s="11" t="s">
        <v>769</v>
      </c>
      <c r="X261" s="575" t="s">
        <v>770</v>
      </c>
    </row>
    <row r="262" spans="1:24" ht="16.2" x14ac:dyDescent="0.35">
      <c r="A262" s="1" t="s">
        <v>771</v>
      </c>
      <c r="B262" s="229" t="str">
        <f>"[["&amp;L263&amp;","&amp;M263&amp;"]]"</f>
        <v>[[40000,85000]]</v>
      </c>
      <c r="D262" s="1" t="s">
        <v>772</v>
      </c>
      <c r="K262" s="571" t="s">
        <v>773</v>
      </c>
      <c r="L262" s="572" t="s">
        <v>774</v>
      </c>
      <c r="M262" s="572" t="s">
        <v>775</v>
      </c>
      <c r="N262" s="572" t="s">
        <v>776</v>
      </c>
      <c r="O262" s="468" t="s">
        <v>774</v>
      </c>
      <c r="P262" s="468" t="s">
        <v>775</v>
      </c>
      <c r="Q262" s="468" t="s">
        <v>776</v>
      </c>
      <c r="R262" s="11"/>
      <c r="S262" s="574" t="s">
        <v>765</v>
      </c>
      <c r="T262" s="11">
        <f>$T$258/N263</f>
        <v>80</v>
      </c>
      <c r="U262" s="11">
        <f>T262*T260</f>
        <v>4000</v>
      </c>
      <c r="V262" s="11">
        <f>T262*$T$259</f>
        <v>76800000</v>
      </c>
      <c r="W262" s="637">
        <v>10000000</v>
      </c>
      <c r="X262" s="576">
        <f>W262/V262</f>
        <v>0.13020833333333334</v>
      </c>
    </row>
    <row r="263" spans="1:24" ht="16.2" x14ac:dyDescent="0.35">
      <c r="A263" s="1" t="s">
        <v>777</v>
      </c>
      <c r="B263" s="229" t="str">
        <f>"[["&amp;O263&amp;","&amp;P263&amp;"]]"</f>
        <v>[[400000,850000]]</v>
      </c>
      <c r="D263" s="1" t="s">
        <v>778</v>
      </c>
      <c r="K263" s="13">
        <v>1</v>
      </c>
      <c r="L263" s="573">
        <v>40000</v>
      </c>
      <c r="M263" s="573">
        <v>85000</v>
      </c>
      <c r="N263" s="573">
        <f>AVERAGE(L263:M263)</f>
        <v>62500</v>
      </c>
      <c r="O263" s="573">
        <f>L263*10</f>
        <v>400000</v>
      </c>
      <c r="P263" s="573">
        <f>M263*10</f>
        <v>850000</v>
      </c>
      <c r="Q263" s="573">
        <f>AVERAGE(O263:P263)</f>
        <v>625000</v>
      </c>
      <c r="R263" s="14"/>
      <c r="S263" s="577" t="s">
        <v>766</v>
      </c>
      <c r="T263" s="14">
        <f>$T$258/Q263</f>
        <v>8</v>
      </c>
      <c r="U263" s="14">
        <f>T263*T260*10</f>
        <v>4000</v>
      </c>
      <c r="V263" s="14">
        <f>T263*$T$259*10</f>
        <v>76800000</v>
      </c>
      <c r="W263" s="638"/>
      <c r="X263" s="578">
        <f>W262/V263</f>
        <v>0.13020833333333334</v>
      </c>
    </row>
    <row r="264" spans="1:24" x14ac:dyDescent="0.25">
      <c r="A264" s="1" t="s">
        <v>779</v>
      </c>
      <c r="B264" s="58" t="s">
        <v>780</v>
      </c>
      <c r="D264" s="1" t="s">
        <v>781</v>
      </c>
      <c r="L264" s="66"/>
      <c r="M264" s="66"/>
      <c r="N264" s="66"/>
      <c r="O264" s="66"/>
      <c r="P264" s="66"/>
      <c r="Q264" s="66"/>
    </row>
    <row r="265" spans="1:24" x14ac:dyDescent="0.25">
      <c r="A265" s="1" t="s">
        <v>782</v>
      </c>
      <c r="B265" s="58" t="s">
        <v>217</v>
      </c>
      <c r="D265" s="1" t="s">
        <v>783</v>
      </c>
      <c r="L265" s="66"/>
      <c r="M265" s="66"/>
      <c r="N265" s="66"/>
      <c r="O265" s="66"/>
      <c r="P265" s="66"/>
      <c r="Q265" s="66"/>
    </row>
    <row r="266" spans="1:24" x14ac:dyDescent="0.25">
      <c r="A266" s="1" t="s">
        <v>784</v>
      </c>
      <c r="B266" s="58" t="s">
        <v>785</v>
      </c>
      <c r="D266" s="1" t="s">
        <v>786</v>
      </c>
      <c r="L266" s="66"/>
      <c r="M266" s="66"/>
      <c r="N266" s="66"/>
      <c r="O266" s="66"/>
      <c r="P266" s="66"/>
      <c r="Q266" s="66"/>
    </row>
    <row r="267" spans="1:24" x14ac:dyDescent="0.25">
      <c r="A267" s="1" t="s">
        <v>787</v>
      </c>
      <c r="B267" s="58" t="s">
        <v>248</v>
      </c>
      <c r="C267" s="66" t="s">
        <v>788</v>
      </c>
      <c r="D267" s="1" t="s">
        <v>789</v>
      </c>
      <c r="L267" s="66"/>
      <c r="M267" s="66"/>
      <c r="N267" s="66"/>
      <c r="O267" s="66"/>
      <c r="P267" s="66"/>
      <c r="Q267" s="66"/>
    </row>
    <row r="268" spans="1:24" x14ac:dyDescent="0.25">
      <c r="A268" s="1" t="s">
        <v>790</v>
      </c>
      <c r="B268" s="58" t="s">
        <v>791</v>
      </c>
      <c r="C268" s="66" t="s">
        <v>792</v>
      </c>
      <c r="L268" s="66"/>
      <c r="M268" s="66"/>
      <c r="N268" s="66"/>
      <c r="O268" s="66"/>
      <c r="P268" s="66"/>
      <c r="Q268" s="66"/>
    </row>
    <row r="269" spans="1:24" x14ac:dyDescent="0.25">
      <c r="L269" s="66"/>
      <c r="M269" s="66"/>
      <c r="N269" s="66"/>
      <c r="O269" s="66"/>
      <c r="P269" s="66"/>
      <c r="Q269" s="66"/>
    </row>
    <row r="270" spans="1:24" x14ac:dyDescent="0.25">
      <c r="L270" s="66"/>
      <c r="M270" s="66"/>
      <c r="N270" s="66"/>
      <c r="O270" s="66"/>
      <c r="P270" s="66"/>
      <c r="Q270" s="66"/>
    </row>
    <row r="271" spans="1:24" x14ac:dyDescent="0.25">
      <c r="L271" s="66"/>
      <c r="M271" s="66"/>
      <c r="N271" s="66"/>
      <c r="O271" s="66"/>
      <c r="P271" s="66"/>
      <c r="Q271" s="66"/>
    </row>
    <row r="272" spans="1:24" x14ac:dyDescent="0.25">
      <c r="L272" s="66"/>
      <c r="M272" s="66"/>
      <c r="N272" s="66"/>
      <c r="O272" s="66"/>
      <c r="P272" s="66"/>
      <c r="Q272" s="66"/>
    </row>
  </sheetData>
  <mergeCells count="2">
    <mergeCell ref="L36:L37"/>
    <mergeCell ref="W262:W263"/>
  </mergeCells>
  <phoneticPr fontId="57" type="noConversion"/>
  <conditionalFormatting sqref="B23">
    <cfRule type="containsText" dxfId="1714" priority="33" operator="containsText" text=".">
      <formula>NOT(ISERROR(SEARCH(".",B23)))</formula>
    </cfRule>
    <cfRule type="containsText" dxfId="1713" priority="34" operator="containsText" text=" ">
      <formula>NOT(ISERROR(SEARCH(" ",B23)))</formula>
    </cfRule>
  </conditionalFormatting>
  <conditionalFormatting sqref="B46">
    <cfRule type="containsText" dxfId="1712" priority="98" operator="containsText" text=".">
      <formula>NOT(ISERROR(SEARCH(".",B46)))</formula>
    </cfRule>
    <cfRule type="containsText" dxfId="1711" priority="99" operator="containsText" text=" ">
      <formula>NOT(ISERROR(SEARCH(" ",B46)))</formula>
    </cfRule>
  </conditionalFormatting>
  <conditionalFormatting sqref="B48">
    <cfRule type="containsText" dxfId="1710" priority="44" operator="containsText" text=".">
      <formula>NOT(ISERROR(SEARCH(".",B48)))</formula>
    </cfRule>
    <cfRule type="containsText" dxfId="1709" priority="45" operator="containsText" text=" ">
      <formula>NOT(ISERROR(SEARCH(" ",B48)))</formula>
    </cfRule>
  </conditionalFormatting>
  <conditionalFormatting sqref="B49">
    <cfRule type="containsText" dxfId="1708" priority="41" operator="containsText" text=".">
      <formula>NOT(ISERROR(SEARCH(".",B49)))</formula>
    </cfRule>
    <cfRule type="containsText" dxfId="1707" priority="42" operator="containsText" text=" ">
      <formula>NOT(ISERROR(SEARCH(" ",B49)))</formula>
    </cfRule>
  </conditionalFormatting>
  <conditionalFormatting sqref="J62 B267:B1048576 B245:B247">
    <cfRule type="containsText" dxfId="1706" priority="11" operator="containsText" text=".">
      <formula>NOT(ISERROR(SEARCH(".",B62)))</formula>
    </cfRule>
  </conditionalFormatting>
  <conditionalFormatting sqref="C64 A267:J272 A246:J247 L264:XFD272 L245:XFD247 A245:F245 I245:J245">
    <cfRule type="containsText" dxfId="1705" priority="15" operator="containsText" text=" ">
      <formula>NOT(ISERROR(SEARCH(" ",A64)))</formula>
    </cfRule>
  </conditionalFormatting>
  <conditionalFormatting sqref="C65">
    <cfRule type="containsText" dxfId="1704" priority="14" operator="containsText" text=" ">
      <formula>NOT(ISERROR(SEARCH(" ",C65)))</formula>
    </cfRule>
  </conditionalFormatting>
  <conditionalFormatting sqref="B86">
    <cfRule type="containsText" dxfId="1703" priority="135" operator="containsText" text=" ">
      <formula>NOT(ISERROR(SEARCH(" ",B86)))</formula>
    </cfRule>
  </conditionalFormatting>
  <conditionalFormatting sqref="B88">
    <cfRule type="containsText" dxfId="1702" priority="133" operator="containsText" text=" ">
      <formula>NOT(ISERROR(SEARCH(" ",B88)))</formula>
    </cfRule>
  </conditionalFormatting>
  <conditionalFormatting sqref="D95">
    <cfRule type="containsText" dxfId="1701" priority="128" operator="containsText" text=" ">
      <formula>NOT(ISERROR(SEARCH(" ",D95)))</formula>
    </cfRule>
  </conditionalFormatting>
  <conditionalFormatting sqref="A116">
    <cfRule type="containsText" dxfId="1700" priority="107" operator="containsText" text=" ">
      <formula>NOT(ISERROR(SEARCH(" ",A116)))</formula>
    </cfRule>
  </conditionalFormatting>
  <conditionalFormatting sqref="A117">
    <cfRule type="containsText" dxfId="1699" priority="105" operator="containsText" text=" ">
      <formula>NOT(ISERROR(SEARCH(" ",A117)))</formula>
    </cfRule>
  </conditionalFormatting>
  <conditionalFormatting sqref="A118:B118">
    <cfRule type="containsText" dxfId="1698" priority="124" operator="containsText" text=" ">
      <formula>NOT(ISERROR(SEARCH(" ",A118)))</formula>
    </cfRule>
  </conditionalFormatting>
  <conditionalFormatting sqref="A122">
    <cfRule type="containsText" dxfId="1697" priority="120" operator="containsText" text=" ">
      <formula>NOT(ISERROR(SEARCH(" ",A122)))</formula>
    </cfRule>
  </conditionalFormatting>
  <conditionalFormatting sqref="E126">
    <cfRule type="containsText" dxfId="1696" priority="25" operator="containsText" text=" ">
      <formula>NOT(ISERROR(SEARCH(" ",E126)))</formula>
    </cfRule>
  </conditionalFormatting>
  <conditionalFormatting sqref="A129">
    <cfRule type="containsText" dxfId="1695" priority="122" operator="containsText" text=" ">
      <formula>NOT(ISERROR(SEARCH(" ",A129)))</formula>
    </cfRule>
  </conditionalFormatting>
  <conditionalFormatting sqref="B131">
    <cfRule type="containsText" dxfId="1694" priority="83" operator="containsText" text=".">
      <formula>NOT(ISERROR(SEARCH(".",B131)))</formula>
    </cfRule>
    <cfRule type="containsText" dxfId="1693" priority="84" operator="containsText" text=" ">
      <formula>NOT(ISERROR(SEARCH(" ",B131)))</formula>
    </cfRule>
  </conditionalFormatting>
  <conditionalFormatting sqref="F131:H131">
    <cfRule type="containsText" dxfId="1692" priority="96" operator="containsText" text=" ">
      <formula>NOT(ISERROR(SEARCH(" ",F131)))</formula>
    </cfRule>
  </conditionalFormatting>
  <conditionalFormatting sqref="B132">
    <cfRule type="containsText" dxfId="1691" priority="89" operator="containsText" text=".">
      <formula>NOT(ISERROR(SEARCH(".",B132)))</formula>
    </cfRule>
    <cfRule type="containsText" dxfId="1690" priority="90" operator="containsText" text=" ">
      <formula>NOT(ISERROR(SEARCH(" ",B132)))</formula>
    </cfRule>
  </conditionalFormatting>
  <conditionalFormatting sqref="B133">
    <cfRule type="containsText" dxfId="1689" priority="81" operator="containsText" text=".">
      <formula>NOT(ISERROR(SEARCH(".",B133)))</formula>
    </cfRule>
    <cfRule type="containsText" dxfId="1688" priority="82" operator="containsText" text=" ">
      <formula>NOT(ISERROR(SEARCH(" ",B133)))</formula>
    </cfRule>
  </conditionalFormatting>
  <conditionalFormatting sqref="B145">
    <cfRule type="containsText" dxfId="1687" priority="92" operator="containsText" text=" ">
      <formula>NOT(ISERROR(SEARCH(" ",B145)))</formula>
    </cfRule>
  </conditionalFormatting>
  <conditionalFormatting sqref="B146">
    <cfRule type="containsText" dxfId="1686" priority="93" operator="containsText" text=" ">
      <formula>NOT(ISERROR(SEARCH(" ",B146)))</formula>
    </cfRule>
  </conditionalFormatting>
  <conditionalFormatting sqref="A148:B148">
    <cfRule type="containsText" dxfId="1685" priority="114" operator="containsText" text=" ">
      <formula>NOT(ISERROR(SEARCH(" ",A148)))</formula>
    </cfRule>
  </conditionalFormatting>
  <conditionalFormatting sqref="D148">
    <cfRule type="containsText" dxfId="1684" priority="115" operator="containsText" text=" ">
      <formula>NOT(ISERROR(SEARCH(" ",D148)))</formula>
    </cfRule>
  </conditionalFormatting>
  <conditionalFormatting sqref="E182">
    <cfRule type="containsText" dxfId="1683" priority="28" operator="containsText" text=" ">
      <formula>NOT(ISERROR(SEARCH(" ",E182)))</formula>
    </cfRule>
  </conditionalFormatting>
  <conditionalFormatting sqref="E183">
    <cfRule type="containsText" dxfId="1682" priority="29" operator="containsText" text=" ">
      <formula>NOT(ISERROR(SEARCH(" ",E183)))</formula>
    </cfRule>
  </conditionalFormatting>
  <conditionalFormatting sqref="N196">
    <cfRule type="containsText" dxfId="1681" priority="74" operator="containsText" text=" ">
      <formula>NOT(ISERROR(SEARCH(" ",N196)))</formula>
    </cfRule>
  </conditionalFormatting>
  <conditionalFormatting sqref="D218">
    <cfRule type="containsText" dxfId="1680" priority="73" operator="containsText" text=" ">
      <formula>NOT(ISERROR(SEARCH(" ",D218)))</formula>
    </cfRule>
  </conditionalFormatting>
  <conditionalFormatting sqref="A221">
    <cfRule type="containsText" dxfId="1679" priority="70" operator="containsText" text=" ">
      <formula>NOT(ISERROR(SEARCH(" ",A221)))</formula>
    </cfRule>
  </conditionalFormatting>
  <conditionalFormatting sqref="A223">
    <cfRule type="containsText" dxfId="1678" priority="67" operator="containsText" text=" ">
      <formula>NOT(ISERROR(SEARCH(" ",A223)))</formula>
    </cfRule>
  </conditionalFormatting>
  <conditionalFormatting sqref="A224:B224">
    <cfRule type="containsText" dxfId="1677" priority="69" operator="containsText" text=" ">
      <formula>NOT(ISERROR(SEARCH(" ",A224)))</formula>
    </cfRule>
  </conditionalFormatting>
  <conditionalFormatting sqref="A225">
    <cfRule type="containsText" dxfId="1676" priority="63" operator="containsText" text=" ">
      <formula>NOT(ISERROR(SEARCH(" ",A225)))</formula>
    </cfRule>
  </conditionalFormatting>
  <conditionalFormatting sqref="D225">
    <cfRule type="containsText" dxfId="1675" priority="66" operator="containsText" text=" ">
      <formula>NOT(ISERROR(SEARCH(" ",D225)))</formula>
    </cfRule>
  </conditionalFormatting>
  <conditionalFormatting sqref="A226">
    <cfRule type="containsText" dxfId="1674" priority="65" operator="containsText" text=" ">
      <formula>NOT(ISERROR(SEARCH(" ",A226)))</formula>
    </cfRule>
  </conditionalFormatting>
  <conditionalFormatting sqref="B226">
    <cfRule type="containsText" dxfId="1673" priority="58" operator="containsText" text=".">
      <formula>NOT(ISERROR(SEARCH(".",B226)))</formula>
    </cfRule>
    <cfRule type="containsText" dxfId="1672" priority="59" operator="containsText" text=" ">
      <formula>NOT(ISERROR(SEARCH(" ",B226)))</formula>
    </cfRule>
  </conditionalFormatting>
  <conditionalFormatting sqref="A227">
    <cfRule type="containsText" dxfId="1671" priority="51" operator="containsText" text=" ">
      <formula>NOT(ISERROR(SEARCH(" ",A227)))</formula>
    </cfRule>
  </conditionalFormatting>
  <conditionalFormatting sqref="D227">
    <cfRule type="containsText" dxfId="1670" priority="56" operator="containsText" text=" ">
      <formula>NOT(ISERROR(SEARCH(" ",D227)))</formula>
    </cfRule>
  </conditionalFormatting>
  <conditionalFormatting sqref="A228">
    <cfRule type="containsText" dxfId="1669" priority="50" operator="containsText" text=" ">
      <formula>NOT(ISERROR(SEARCH(" ",A228)))</formula>
    </cfRule>
  </conditionalFormatting>
  <conditionalFormatting sqref="B228">
    <cfRule type="containsText" dxfId="1668" priority="48" operator="containsText" text=".">
      <formula>NOT(ISERROR(SEARCH(".",B228)))</formula>
    </cfRule>
    <cfRule type="containsText" dxfId="1667" priority="49" operator="containsText" text=" ">
      <formula>NOT(ISERROR(SEARCH(" ",B228)))</formula>
    </cfRule>
  </conditionalFormatting>
  <conditionalFormatting sqref="A229:XFD229">
    <cfRule type="containsText" dxfId="1666" priority="62" operator="containsText" text=" ">
      <formula>NOT(ISERROR(SEARCH(" ",A229)))</formula>
    </cfRule>
  </conditionalFormatting>
  <conditionalFormatting sqref="A230">
    <cfRule type="containsText" dxfId="1665" priority="60" operator="containsText" text=" ">
      <formula>NOT(ISERROR(SEARCH(" ",A230)))</formula>
    </cfRule>
  </conditionalFormatting>
  <conditionalFormatting sqref="B248">
    <cfRule type="containsText" dxfId="1664" priority="12" operator="containsText" text=".">
      <formula>NOT(ISERROR(SEARCH(".",B248)))</formula>
    </cfRule>
  </conditionalFormatting>
  <conditionalFormatting sqref="L248">
    <cfRule type="containsText" dxfId="1663" priority="13" operator="containsText" text=".">
      <formula>NOT(ISERROR(SEARCH(".",L248)))</formula>
    </cfRule>
  </conditionalFormatting>
  <conditionalFormatting sqref="A251:F251">
    <cfRule type="containsText" dxfId="1662" priority="35" operator="containsText" text=" ">
      <formula>NOT(ISERROR(SEARCH(" ",A251)))</formula>
    </cfRule>
  </conditionalFormatting>
  <conditionalFormatting sqref="O261">
    <cfRule type="containsText" dxfId="1661" priority="10" operator="containsText" text=" ">
      <formula>NOT(ISERROR(SEARCH(" ",O261)))</formula>
    </cfRule>
  </conditionalFormatting>
  <conditionalFormatting sqref="L263:N263">
    <cfRule type="containsText" dxfId="1660" priority="5" operator="containsText" text=" ">
      <formula>NOT(ISERROR(SEARCH(" ",L263)))</formula>
    </cfRule>
  </conditionalFormatting>
  <conditionalFormatting sqref="O263:P263">
    <cfRule type="containsText" dxfId="1659" priority="6" operator="containsText" text=" ">
      <formula>NOT(ISERROR(SEARCH(" ",O263)))</formula>
    </cfRule>
  </conditionalFormatting>
  <conditionalFormatting sqref="Q263">
    <cfRule type="containsText" dxfId="1658" priority="4" operator="containsText" text=" ">
      <formula>NOT(ISERROR(SEARCH(" ",Q263)))</formula>
    </cfRule>
  </conditionalFormatting>
  <conditionalFormatting sqref="V263">
    <cfRule type="containsText" dxfId="1657" priority="8" operator="containsText" text=" ">
      <formula>NOT(ISERROR(SEARCH(" ",V263)))</formula>
    </cfRule>
  </conditionalFormatting>
  <conditionalFormatting sqref="X263">
    <cfRule type="containsText" dxfId="1656" priority="7" operator="containsText" text=" ">
      <formula>NOT(ISERROR(SEARCH(" ",X263)))</formula>
    </cfRule>
  </conditionalFormatting>
  <conditionalFormatting sqref="B266">
    <cfRule type="containsText" dxfId="1655" priority="2" operator="containsText" text=" ">
      <formula>NOT(ISERROR(SEARCH(" ",B266)))</formula>
    </cfRule>
    <cfRule type="containsText" dxfId="1654" priority="3" operator="containsText" text=".">
      <formula>NOT(ISERROR(SEARCH(".",B266)))</formula>
    </cfRule>
  </conditionalFormatting>
  <conditionalFormatting sqref="A61:A62">
    <cfRule type="containsText" dxfId="1653" priority="137" operator="containsText" text=" ">
      <formula>NOT(ISERROR(SEARCH(" ",A61)))</formula>
    </cfRule>
  </conditionalFormatting>
  <conditionalFormatting sqref="A127:A128">
    <cfRule type="containsText" dxfId="1652" priority="123" operator="containsText" text=" ">
      <formula>NOT(ISERROR(SEARCH(" ",A127)))</formula>
    </cfRule>
  </conditionalFormatting>
  <conditionalFormatting sqref="B13:B14">
    <cfRule type="containsText" dxfId="1651" priority="130" operator="containsText" text=" ">
      <formula>NOT(ISERROR(SEARCH(" ",B13)))</formula>
    </cfRule>
  </conditionalFormatting>
  <conditionalFormatting sqref="B54:B56">
    <cfRule type="containsText" dxfId="1650" priority="139" operator="containsText" text=" ">
      <formula>NOT(ISERROR(SEARCH(" ",B54)))</formula>
    </cfRule>
  </conditionalFormatting>
  <conditionalFormatting sqref="B138:B141">
    <cfRule type="containsText" dxfId="1649" priority="85" operator="containsText" text=".">
      <formula>NOT(ISERROR(SEARCH(".",B138)))</formula>
    </cfRule>
    <cfRule type="containsText" dxfId="1648" priority="86" operator="containsText" text=" ">
      <formula>NOT(ISERROR(SEARCH(" ",B138)))</formula>
    </cfRule>
  </conditionalFormatting>
  <conditionalFormatting sqref="B143:B144">
    <cfRule type="containsText" dxfId="1647" priority="87" operator="containsText" text=".">
      <formula>NOT(ISERROR(SEARCH(".",B143)))</formula>
    </cfRule>
    <cfRule type="containsText" dxfId="1646" priority="88" operator="containsText" text=" ">
      <formula>NOT(ISERROR(SEARCH(" ",B143)))</formula>
    </cfRule>
  </conditionalFormatting>
  <conditionalFormatting sqref="B196:B197">
    <cfRule type="containsText" dxfId="1645" priority="79" operator="containsText" text=".">
      <formula>NOT(ISERROR(SEARCH(".",B196)))</formula>
    </cfRule>
    <cfRule type="containsText" dxfId="1644" priority="80" operator="containsText" text=" ">
      <formula>NOT(ISERROR(SEARCH(" ",B196)))</formula>
    </cfRule>
  </conditionalFormatting>
  <conditionalFormatting sqref="C126:C148">
    <cfRule type="containsText" dxfId="1643" priority="23" operator="containsText" text=" ">
      <formula>NOT(ISERROR(SEARCH(" ",C126)))</formula>
    </cfRule>
  </conditionalFormatting>
  <conditionalFormatting sqref="C161:C164">
    <cfRule type="containsText" dxfId="1642" priority="22" operator="containsText" text=" ">
      <formula>NOT(ISERROR(SEARCH(" ",C161)))</formula>
    </cfRule>
  </conditionalFormatting>
  <conditionalFormatting sqref="C172:C179">
    <cfRule type="containsText" dxfId="1641" priority="21" operator="containsText" text=" ">
      <formula>NOT(ISERROR(SEARCH(" ",C172)))</formula>
    </cfRule>
  </conditionalFormatting>
  <conditionalFormatting sqref="C182:C183">
    <cfRule type="containsText" dxfId="1640" priority="20" operator="containsText" text=" ">
      <formula>NOT(ISERROR(SEARCH(" ",C182)))</formula>
    </cfRule>
  </conditionalFormatting>
  <conditionalFormatting sqref="C196:C197">
    <cfRule type="containsText" dxfId="1639" priority="19" operator="containsText" text=" ">
      <formula>NOT(ISERROR(SEARCH(" ",C196)))</formula>
    </cfRule>
  </conditionalFormatting>
  <conditionalFormatting sqref="C217:C228">
    <cfRule type="containsText" dxfId="1638" priority="18" operator="containsText" text=" ">
      <formula>NOT(ISERROR(SEARCH(" ",C217)))</formula>
    </cfRule>
  </conditionalFormatting>
  <conditionalFormatting sqref="D116:D117">
    <cfRule type="containsText" dxfId="1637" priority="108" operator="containsText" text=" ">
      <formula>NOT(ISERROR(SEARCH(" ",D116)))</formula>
    </cfRule>
  </conditionalFormatting>
  <conditionalFormatting sqref="E91:E116">
    <cfRule type="containsText" dxfId="1636" priority="24" operator="containsText" text=" ">
      <formula>NOT(ISERROR(SEARCH(" ",E91)))</formula>
    </cfRule>
  </conditionalFormatting>
  <conditionalFormatting sqref="E118:E123">
    <cfRule type="containsText" dxfId="1635" priority="26" operator="containsText" text=" ">
      <formula>NOT(ISERROR(SEARCH(" ",E118)))</formula>
    </cfRule>
  </conditionalFormatting>
  <conditionalFormatting sqref="E127:E148">
    <cfRule type="containsText" dxfId="1634" priority="32" operator="containsText" text=" ">
      <formula>NOT(ISERROR(SEARCH(" ",E127)))</formula>
    </cfRule>
  </conditionalFormatting>
  <conditionalFormatting sqref="E161:E164">
    <cfRule type="containsText" dxfId="1633" priority="31" operator="containsText" text=" ">
      <formula>NOT(ISERROR(SEARCH(" ",E161)))</formula>
    </cfRule>
  </conditionalFormatting>
  <conditionalFormatting sqref="E172:E179">
    <cfRule type="containsText" dxfId="1632" priority="30" operator="containsText" text=" ">
      <formula>NOT(ISERROR(SEARCH(" ",E172)))</formula>
    </cfRule>
  </conditionalFormatting>
  <conditionalFormatting sqref="E196:E197">
    <cfRule type="containsText" dxfId="1631" priority="27" operator="containsText" text=" ">
      <formula>NOT(ISERROR(SEARCH(" ",E196)))</formula>
    </cfRule>
  </conditionalFormatting>
  <conditionalFormatting sqref="D49 A1:XFD9 A11:XFD12 A10:D10 F10:XFD10">
    <cfRule type="containsText" dxfId="1630" priority="40" operator="containsText" text=" ">
      <formula>NOT(ISERROR(SEARCH(" ",A1)))</formula>
    </cfRule>
  </conditionalFormatting>
  <conditionalFormatting sqref="B178:B179 B1:B22 B24:B35">
    <cfRule type="containsText" dxfId="1629" priority="101" operator="containsText" text=".">
      <formula>NOT(ISERROR(SEARCH(".",B1)))</formula>
    </cfRule>
  </conditionalFormatting>
  <conditionalFormatting sqref="A45 C45:XFD45 A50:XFD51 I83:XFD84 A83:G84 C85:XFD87 A85:A87 L14:XFD14 A13:A15 C13:XFD13 A43:XFD44 A35:C35 E35:XFD35 F114:XFD114 O26:XFD34 R15:XFD22 Q15:Q20 C14:J15 K15:P15 A54:A59 C54:XFD56 J57:XFD59 B57:H59 D115 A130 A119:B121 A124:H125 I122:XFD130 D145 A89:XFD90 E117:I117 A132:A145 A106 A66:XFD82 E46:XFD46 A107:B112 I132:XFD144 D132:D143 D130 A16:J22 K21:K24 M21:N24 K16:N18 Q23:XFD25 O16:P25 L19:L24 D92:D94 D97:D102 A53:XFD53 A52:D52 F52:XFD52 A24:J34 A23 C23:J23 F145:XFD145 F119:XFD121 A123:B123 F123:H123 A126:B126 F126:H126 A91:D91 F91:XFD103 F115:I116 D123 D119:D121 C106:C123 D126 D63 A63:B65 D64:XFD65 B60:XFD62">
    <cfRule type="containsText" dxfId="1628" priority="141" operator="containsText" text=" ">
      <formula>NOT(ISERROR(SEARCH(" ",A13)))</formula>
    </cfRule>
  </conditionalFormatting>
  <conditionalFormatting sqref="B15 A147:B147 A146 A180:XFD181 A195:A197 K199 K201 K203 K205 K207 K209 N197:XFD197 O196:XFD196 M197:M209 N198:N209 A149:XFD160 F146:XFD148 A161:B163 F161:XFD163 A184:XFD194 A182:B183 F182:XFD183 D146:D147 D161:D163 D182:D183">
    <cfRule type="containsText" dxfId="1627" priority="126" operator="containsText" text=" ">
      <formula>NOT(ISERROR(SEARCH(" ",A15)))</formula>
    </cfRule>
  </conditionalFormatting>
  <conditionalFormatting sqref="D35 F127:H130 D144 M115:XFD118 H114:L121 D118 K19:K20 M19:N20 F132:H144 F118:I118">
    <cfRule type="containsText" dxfId="1626" priority="129" operator="containsText" text=" ">
      <formula>NOT(ISERROR(SEARCH(" ",D19)))</formula>
    </cfRule>
  </conditionalFormatting>
  <conditionalFormatting sqref="L25 A92:C105 D104:D113 F104:XFD113">
    <cfRule type="containsText" dxfId="1625" priority="37" operator="containsText" text=" ">
      <formula>NOT(ISERROR(SEARCH(" ",A25)))</formula>
    </cfRule>
  </conditionalFormatting>
  <conditionalFormatting sqref="K25 M25:N25 G251:XFD251 A231:XFD244 A262:A263 A273:XFD1048576 R263:U263 Y261:XFD263 E265:J265 A266 C266:J266 A248:XFD250">
    <cfRule type="containsText" dxfId="1624" priority="39" operator="containsText" text=" ">
      <formula>NOT(ISERROR(SEARCH(" ",A25)))</formula>
    </cfRule>
  </conditionalFormatting>
  <conditionalFormatting sqref="B47 A36:D36 A38:D42">
    <cfRule type="containsText" dxfId="1623" priority="131" operator="containsText" text=" ">
      <formula>NOT(ISERROR(SEARCH(" ",A36)))</formula>
    </cfRule>
  </conditionalFormatting>
  <conditionalFormatting sqref="B148 B36 B38:B42">
    <cfRule type="containsText" dxfId="1622" priority="113" operator="containsText" text=".">
      <formula>NOT(ISERROR(SEARCH(".",B36)))</formula>
    </cfRule>
  </conditionalFormatting>
  <conditionalFormatting sqref="E36:XFD36 E38:XFD42 E37:K37 M37:XFD37">
    <cfRule type="containsText" dxfId="1621" priority="78" operator="containsText" text=" ">
      <formula>NOT(ISERROR(SEARCH(" ",E36)))</formula>
    </cfRule>
  </conditionalFormatting>
  <conditionalFormatting sqref="A37 K63:XFD63 E63:I63">
    <cfRule type="containsText" dxfId="1620" priority="47" operator="containsText" text=" ">
      <formula>NOT(ISERROR(SEARCH(" ",A37)))</formula>
    </cfRule>
  </conditionalFormatting>
  <conditionalFormatting sqref="B147 B47 B107:B126 B180:B194 B43:B45 B149:B163">
    <cfRule type="containsText" dxfId="1619" priority="118" operator="containsText" text=".">
      <formula>NOT(ISERROR(SEARCH(".",B43)))</formula>
    </cfRule>
  </conditionalFormatting>
  <conditionalFormatting sqref="B45 F195:XFD195 B195:D195">
    <cfRule type="containsText" dxfId="1618" priority="140" operator="containsText" text=" ">
      <formula>NOT(ISERROR(SEARCH(" ",B45)))</formula>
    </cfRule>
  </conditionalFormatting>
  <conditionalFormatting sqref="A46 C46:D46">
    <cfRule type="containsText" dxfId="1617" priority="100" operator="containsText" text=" ">
      <formula>NOT(ISERROR(SEARCH(" ",A46)))</formula>
    </cfRule>
  </conditionalFormatting>
  <conditionalFormatting sqref="A47 C47:XFD47">
    <cfRule type="containsText" dxfId="1616" priority="132" operator="containsText" text=" ">
      <formula>NOT(ISERROR(SEARCH(" ",A47)))</formula>
    </cfRule>
  </conditionalFormatting>
  <conditionalFormatting sqref="A48 C48:XFD48">
    <cfRule type="containsText" dxfId="1615" priority="46" operator="containsText" text=" ">
      <formula>NOT(ISERROR(SEARCH(" ",A48)))</formula>
    </cfRule>
  </conditionalFormatting>
  <conditionalFormatting sqref="A49 C49 E49:XFD49">
    <cfRule type="containsText" dxfId="1614" priority="43" operator="containsText" text=" ">
      <formula>NOT(ISERROR(SEARCH(" ",A49)))</formula>
    </cfRule>
  </conditionalFormatting>
  <conditionalFormatting sqref="B251 B50:B105">
    <cfRule type="containsText" dxfId="1613" priority="36" operator="containsText" text=".">
      <formula>NOT(ISERROR(SEARCH(".",B50)))</formula>
    </cfRule>
  </conditionalFormatting>
  <conditionalFormatting sqref="A60 A165:XFD171 A164:B164 F164:XFD164 F172:XFD177 D164 A172:B177 D172:D177">
    <cfRule type="containsText" dxfId="1612" priority="138" operator="containsText" text=" ">
      <formula>NOT(ISERROR(SEARCH(" ",A60)))</formula>
    </cfRule>
  </conditionalFormatting>
  <conditionalFormatting sqref="C63 L260:L261 K262:R262 R261 O260:R260 T262:W262 V260:V261 A252:XFD255 A256:J260 K258:X259 X261:X262 Y256:XFD260 W260:X260 C262:D263 E261:J264 A264:D265">
    <cfRule type="containsText" dxfId="1611" priority="17" operator="containsText" text=" ">
      <formula>NOT(ISERROR(SEARCH(" ",A63)))</formula>
    </cfRule>
  </conditionalFormatting>
  <conditionalFormatting sqref="B85 B87">
    <cfRule type="containsText" dxfId="1610" priority="136" operator="containsText" text=" ">
      <formula>NOT(ISERROR(SEARCH(" ",B85)))</formula>
    </cfRule>
  </conditionalFormatting>
  <conditionalFormatting sqref="C88:XFD88 A88">
    <cfRule type="containsText" dxfId="1609" priority="134" operator="containsText" text=" ">
      <formula>NOT(ISERROR(SEARCH(" ",A88)))</formula>
    </cfRule>
  </conditionalFormatting>
  <conditionalFormatting sqref="A113:B115 B116:B117">
    <cfRule type="containsText" dxfId="1608" priority="127" operator="containsText" text=" ">
      <formula>NOT(ISERROR(SEARCH(" ",A113)))</formula>
    </cfRule>
  </conditionalFormatting>
  <conditionalFormatting sqref="B134:B137 B145:B146 B142 B127:B130">
    <cfRule type="containsText" dxfId="1607" priority="91" operator="containsText" text=".">
      <formula>NOT(ISERROR(SEARCH(".",B127)))</formula>
    </cfRule>
  </conditionalFormatting>
  <conditionalFormatting sqref="B130 B134:B137 B142">
    <cfRule type="containsText" dxfId="1606" priority="94" operator="containsText" text=" ">
      <formula>NOT(ISERROR(SEARCH(" ",B130)))</formula>
    </cfRule>
  </conditionalFormatting>
  <conditionalFormatting sqref="A131 I131:XFD131 D131">
    <cfRule type="containsText" dxfId="1605" priority="97" operator="containsText" text=" ">
      <formula>NOT(ISERROR(SEARCH(" ",A131)))</formula>
    </cfRule>
  </conditionalFormatting>
  <conditionalFormatting sqref="B224 B164:B177">
    <cfRule type="containsText" dxfId="1604" priority="68" operator="containsText" text=".">
      <formula>NOT(ISERROR(SEARCH(".",B164)))</formula>
    </cfRule>
  </conditionalFormatting>
  <conditionalFormatting sqref="A178:B179 F178:XFD179 D178:D179">
    <cfRule type="containsText" dxfId="1603" priority="102" operator="containsText" text=" ">
      <formula>NOT(ISERROR(SEARCH(" ",A178)))</formula>
    </cfRule>
  </conditionalFormatting>
  <conditionalFormatting sqref="L197:L209 L196:M196 K196:K197 O198:XFD209 A207 E210:XFD210 C207:D207 E207:H209 A198:H206 F218:XFD226 B230:XFD230 A222:B222 E218:E228 D196:D197 F196:H197 A217:B219 D217:XFD217 D222:D223 D219 A211:XFD216">
    <cfRule type="containsText" dxfId="1602" priority="77" operator="containsText" text=" ">
      <formula>NOT(ISERROR(SEARCH(" ",A196)))</formula>
    </cfRule>
  </conditionalFormatting>
  <conditionalFormatting sqref="B211:B219 B198:B206 B222">
    <cfRule type="containsText" dxfId="1601" priority="76" operator="containsText" text=".">
      <formula>NOT(ISERROR(SEARCH(".",B198)))</formula>
    </cfRule>
  </conditionalFormatting>
  <conditionalFormatting sqref="K198 K200 K202 K204 K206 K208">
    <cfRule type="containsText" dxfId="1600" priority="75" operator="containsText" text=" ">
      <formula>NOT(ISERROR(SEARCH(" ",K198)))</formula>
    </cfRule>
  </conditionalFormatting>
  <conditionalFormatting sqref="F227:XFD228">
    <cfRule type="containsText" dxfId="1599" priority="57" operator="containsText" text=" ">
      <formula>NOT(ISERROR(SEARCH(" ",F227)))</formula>
    </cfRule>
  </conditionalFormatting>
  <conditionalFormatting sqref="B229:B244 B252:B260 B264:B265 B248:B250">
    <cfRule type="containsText" dxfId="1598" priority="61" operator="containsText" text=".">
      <formula>NOT(ISERROR(SEARCH(".",B229)))</formula>
    </cfRule>
  </conditionalFormatting>
  <conditionalFormatting sqref="G245:H245">
    <cfRule type="containsText" dxfId="1597" priority="1" operator="containsText" text=" ">
      <formula>NOT(ISERROR(SEARCH(" ",G245)))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52"/>
  <sheetViews>
    <sheetView workbookViewId="0">
      <selection activeCell="X30" sqref="X30"/>
    </sheetView>
  </sheetViews>
  <sheetFormatPr defaultColWidth="9" defaultRowHeight="15.6" x14ac:dyDescent="0.25"/>
  <cols>
    <col min="1" max="2" width="7" customWidth="1"/>
    <col min="3" max="3" width="11.21875" customWidth="1"/>
    <col min="4" max="4" width="11.6640625" customWidth="1"/>
    <col min="5" max="5" width="10.6640625" customWidth="1"/>
    <col min="6" max="6" width="13.44140625" customWidth="1"/>
    <col min="7" max="7" width="10.109375" customWidth="1"/>
    <col min="9" max="10" width="9" style="1"/>
    <col min="11" max="11" width="7.77734375" style="1" customWidth="1"/>
    <col min="12" max="12" width="8" style="1" customWidth="1"/>
    <col min="13" max="13" width="7" style="1" customWidth="1"/>
    <col min="14" max="14" width="9.6640625" style="1" customWidth="1"/>
    <col min="15" max="15" width="9" style="1"/>
    <col min="16" max="16" width="10.109375" style="1" customWidth="1"/>
    <col min="17" max="17" width="9" style="1"/>
    <col min="18" max="18" width="9.21875" style="1" customWidth="1"/>
    <col min="19" max="19" width="13.109375" style="1" customWidth="1"/>
    <col min="20" max="20" width="9.6640625" style="1" customWidth="1"/>
    <col min="21" max="21" width="9" style="1"/>
    <col min="22" max="22" width="9.44140625" customWidth="1"/>
  </cols>
  <sheetData>
    <row r="1" spans="1:21" ht="45" x14ac:dyDescent="0.3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0</v>
      </c>
      <c r="I1" s="6" t="s">
        <v>2057</v>
      </c>
      <c r="K1" s="7" t="s">
        <v>2058</v>
      </c>
      <c r="L1" s="8" t="s">
        <v>2029</v>
      </c>
      <c r="M1" s="9" t="s">
        <v>2059</v>
      </c>
      <c r="N1" s="9" t="s">
        <v>2060</v>
      </c>
      <c r="O1" s="9" t="s">
        <v>2061</v>
      </c>
      <c r="P1" s="9" t="s">
        <v>2062</v>
      </c>
      <c r="Q1" s="17" t="s">
        <v>2063</v>
      </c>
      <c r="R1" s="18" t="s">
        <v>2064</v>
      </c>
      <c r="S1" s="6" t="s">
        <v>2065</v>
      </c>
      <c r="T1" s="6" t="s">
        <v>2066</v>
      </c>
    </row>
    <row r="2" spans="1:21" x14ac:dyDescent="0.35">
      <c r="A2" s="2" t="s">
        <v>11</v>
      </c>
      <c r="B2" s="2" t="s">
        <v>11</v>
      </c>
      <c r="C2" s="2" t="s">
        <v>11</v>
      </c>
      <c r="D2" s="2" t="s">
        <v>11</v>
      </c>
      <c r="E2" s="2" t="s">
        <v>11</v>
      </c>
      <c r="F2" s="2" t="s">
        <v>11</v>
      </c>
      <c r="G2" s="2" t="s">
        <v>11</v>
      </c>
      <c r="I2" s="1">
        <f>100*1000</f>
        <v>100000</v>
      </c>
      <c r="K2" s="10">
        <v>0</v>
      </c>
      <c r="L2" s="11">
        <v>20</v>
      </c>
      <c r="M2" s="11">
        <f>L2</f>
        <v>20</v>
      </c>
      <c r="N2" s="11">
        <v>20</v>
      </c>
      <c r="O2" s="11">
        <v>0</v>
      </c>
      <c r="P2" s="11">
        <v>0</v>
      </c>
      <c r="Q2" s="19">
        <v>0</v>
      </c>
      <c r="R2" s="20">
        <v>0</v>
      </c>
      <c r="S2" s="20">
        <f t="shared" ref="S2:S8" si="0">R3</f>
        <v>3472.2222222222217</v>
      </c>
      <c r="T2" s="1">
        <v>0</v>
      </c>
      <c r="U2" s="20">
        <f>S2</f>
        <v>3472.2222222222217</v>
      </c>
    </row>
    <row r="3" spans="1:21" ht="30" x14ac:dyDescent="0.35">
      <c r="A3" s="2" t="s">
        <v>1111</v>
      </c>
      <c r="B3" s="3" t="s">
        <v>1170</v>
      </c>
      <c r="C3" s="2" t="s">
        <v>2003</v>
      </c>
      <c r="D3" s="3" t="s">
        <v>2067</v>
      </c>
      <c r="E3" s="2" t="s">
        <v>2034</v>
      </c>
      <c r="F3" s="2" t="s">
        <v>2035</v>
      </c>
      <c r="G3" s="3" t="s">
        <v>2036</v>
      </c>
      <c r="K3" s="10">
        <v>1</v>
      </c>
      <c r="L3" s="11">
        <v>30</v>
      </c>
      <c r="M3" s="11">
        <f t="shared" ref="M3:M12" si="1">L3</f>
        <v>30</v>
      </c>
      <c r="N3" s="11">
        <f>L3</f>
        <v>30</v>
      </c>
      <c r="O3" s="11">
        <v>660</v>
      </c>
      <c r="P3" s="11">
        <v>1</v>
      </c>
      <c r="Q3" s="19">
        <f t="shared" ref="Q3:Q11" si="2">L3</f>
        <v>30</v>
      </c>
      <c r="R3" s="20">
        <f t="shared" ref="R3:R12" si="3">1/(0.96/L2)/6*1000</f>
        <v>3472.2222222222217</v>
      </c>
      <c r="S3" s="20">
        <f t="shared" si="0"/>
        <v>5208.333333333333</v>
      </c>
      <c r="T3" s="20">
        <f t="shared" ref="T3:T9" si="4">S3/O3*P3</f>
        <v>7.891414141414141</v>
      </c>
      <c r="U3" s="20">
        <f>U2+S3</f>
        <v>8680.5555555555547</v>
      </c>
    </row>
    <row r="4" spans="1:21" ht="26.4" x14ac:dyDescent="0.25">
      <c r="A4" s="4" t="s">
        <v>2058</v>
      </c>
      <c r="B4" s="4" t="s">
        <v>2029</v>
      </c>
      <c r="C4" s="4" t="s">
        <v>2059</v>
      </c>
      <c r="D4" s="4" t="s">
        <v>2060</v>
      </c>
      <c r="E4" s="4" t="s">
        <v>2061</v>
      </c>
      <c r="F4" s="4" t="s">
        <v>2062</v>
      </c>
      <c r="G4" s="4" t="s">
        <v>2063</v>
      </c>
      <c r="H4" s="5">
        <f>10+100+20+100+10</f>
        <v>240</v>
      </c>
      <c r="I4"/>
      <c r="J4" s="12" t="s">
        <v>2068</v>
      </c>
      <c r="K4" s="10">
        <v>2</v>
      </c>
      <c r="L4" s="11">
        <v>50</v>
      </c>
      <c r="M4" s="11">
        <f t="shared" si="1"/>
        <v>50</v>
      </c>
      <c r="N4" s="11">
        <f t="shared" ref="N4:N12" si="5">L4</f>
        <v>50</v>
      </c>
      <c r="O4" s="11">
        <f>O3</f>
        <v>660</v>
      </c>
      <c r="P4" s="11">
        <v>2</v>
      </c>
      <c r="Q4" s="19">
        <f t="shared" si="2"/>
        <v>50</v>
      </c>
      <c r="R4" s="20">
        <f t="shared" si="3"/>
        <v>5208.333333333333</v>
      </c>
      <c r="S4" s="20">
        <f t="shared" si="0"/>
        <v>8680.5555555555547</v>
      </c>
      <c r="T4" s="20">
        <f t="shared" si="4"/>
        <v>26.304713804713803</v>
      </c>
      <c r="U4" s="20">
        <f t="shared" ref="U4:U11" si="6">U3+S4</f>
        <v>17361.111111111109</v>
      </c>
    </row>
    <row r="5" spans="1:21" x14ac:dyDescent="0.25">
      <c r="A5" s="1">
        <v>0</v>
      </c>
      <c r="B5" s="1">
        <v>20</v>
      </c>
      <c r="C5" s="1">
        <v>20</v>
      </c>
      <c r="D5" s="1">
        <v>20</v>
      </c>
      <c r="E5" s="1">
        <v>0</v>
      </c>
      <c r="F5" s="1">
        <v>0</v>
      </c>
      <c r="G5" s="1">
        <v>0</v>
      </c>
      <c r="K5" s="10">
        <v>3</v>
      </c>
      <c r="L5" s="11">
        <v>80</v>
      </c>
      <c r="M5" s="11">
        <f t="shared" si="1"/>
        <v>80</v>
      </c>
      <c r="N5" s="11">
        <f t="shared" si="5"/>
        <v>80</v>
      </c>
      <c r="O5" s="11">
        <f t="shared" ref="O5:O12" si="7">O4</f>
        <v>660</v>
      </c>
      <c r="P5" s="11">
        <v>3</v>
      </c>
      <c r="Q5" s="19">
        <f t="shared" si="2"/>
        <v>80</v>
      </c>
      <c r="R5" s="20">
        <f t="shared" si="3"/>
        <v>8680.5555555555547</v>
      </c>
      <c r="S5" s="20">
        <f t="shared" si="0"/>
        <v>13888.888888888887</v>
      </c>
      <c r="T5" s="20">
        <f t="shared" si="4"/>
        <v>63.131313131313121</v>
      </c>
      <c r="U5" s="20">
        <f t="shared" si="6"/>
        <v>31249.999999999996</v>
      </c>
    </row>
    <row r="6" spans="1:21" x14ac:dyDescent="0.25">
      <c r="A6" s="1">
        <v>1</v>
      </c>
      <c r="B6" s="1">
        <v>30</v>
      </c>
      <c r="C6" s="1">
        <v>30</v>
      </c>
      <c r="D6" s="1">
        <v>30</v>
      </c>
      <c r="E6" s="1">
        <v>660</v>
      </c>
      <c r="F6" s="1">
        <v>1</v>
      </c>
      <c r="G6" s="1">
        <v>30</v>
      </c>
      <c r="K6" s="10">
        <v>4</v>
      </c>
      <c r="L6" s="11">
        <v>100</v>
      </c>
      <c r="M6" s="11">
        <f t="shared" si="1"/>
        <v>100</v>
      </c>
      <c r="N6" s="11">
        <f t="shared" si="5"/>
        <v>100</v>
      </c>
      <c r="O6" s="11">
        <f t="shared" si="7"/>
        <v>660</v>
      </c>
      <c r="P6" s="11">
        <v>4</v>
      </c>
      <c r="Q6" s="19">
        <f t="shared" si="2"/>
        <v>100</v>
      </c>
      <c r="R6" s="20">
        <f t="shared" si="3"/>
        <v>13888.888888888887</v>
      </c>
      <c r="S6" s="20">
        <f t="shared" si="0"/>
        <v>17361.111111111109</v>
      </c>
      <c r="T6" s="20">
        <f t="shared" si="4"/>
        <v>105.21885521885521</v>
      </c>
      <c r="U6" s="20">
        <f t="shared" si="6"/>
        <v>48611.111111111109</v>
      </c>
    </row>
    <row r="7" spans="1:21" x14ac:dyDescent="0.25">
      <c r="A7" s="1">
        <v>2</v>
      </c>
      <c r="B7" s="1">
        <v>50</v>
      </c>
      <c r="C7" s="1">
        <v>50</v>
      </c>
      <c r="D7" s="1">
        <v>50</v>
      </c>
      <c r="E7" s="1">
        <v>660</v>
      </c>
      <c r="F7" s="1">
        <v>2</v>
      </c>
      <c r="G7" s="1">
        <v>50</v>
      </c>
      <c r="K7" s="10">
        <v>5</v>
      </c>
      <c r="L7" s="11">
        <v>120</v>
      </c>
      <c r="M7" s="11">
        <f t="shared" si="1"/>
        <v>120</v>
      </c>
      <c r="N7" s="11">
        <f t="shared" si="5"/>
        <v>120</v>
      </c>
      <c r="O7" s="11">
        <f t="shared" si="7"/>
        <v>660</v>
      </c>
      <c r="P7" s="11">
        <v>5</v>
      </c>
      <c r="Q7" s="19">
        <f t="shared" si="2"/>
        <v>120</v>
      </c>
      <c r="R7" s="20">
        <f t="shared" si="3"/>
        <v>17361.111111111109</v>
      </c>
      <c r="S7" s="20">
        <f t="shared" si="0"/>
        <v>20833.333333333332</v>
      </c>
      <c r="T7" s="20">
        <f t="shared" si="4"/>
        <v>157.82828282828282</v>
      </c>
      <c r="U7" s="20">
        <f t="shared" si="6"/>
        <v>69444.444444444438</v>
      </c>
    </row>
    <row r="8" spans="1:21" x14ac:dyDescent="0.25">
      <c r="A8" s="1">
        <v>3</v>
      </c>
      <c r="B8" s="1">
        <v>80</v>
      </c>
      <c r="C8" s="1">
        <v>80</v>
      </c>
      <c r="D8" s="1">
        <v>80</v>
      </c>
      <c r="E8" s="1">
        <v>660</v>
      </c>
      <c r="F8" s="1">
        <v>3</v>
      </c>
      <c r="G8" s="1">
        <v>80</v>
      </c>
      <c r="K8" s="10">
        <v>6</v>
      </c>
      <c r="L8" s="11">
        <v>150</v>
      </c>
      <c r="M8" s="11">
        <f t="shared" si="1"/>
        <v>150</v>
      </c>
      <c r="N8" s="11">
        <f t="shared" si="5"/>
        <v>150</v>
      </c>
      <c r="O8" s="11">
        <f t="shared" si="7"/>
        <v>660</v>
      </c>
      <c r="P8" s="11">
        <v>6</v>
      </c>
      <c r="Q8" s="19">
        <f t="shared" si="2"/>
        <v>150</v>
      </c>
      <c r="R8" s="20">
        <f t="shared" si="3"/>
        <v>20833.333333333332</v>
      </c>
      <c r="S8" s="20">
        <f t="shared" si="0"/>
        <v>26041.666666666668</v>
      </c>
      <c r="T8" s="20">
        <f t="shared" si="4"/>
        <v>236.74242424242425</v>
      </c>
      <c r="U8" s="20">
        <f t="shared" si="6"/>
        <v>95486.111111111109</v>
      </c>
    </row>
    <row r="9" spans="1:21" x14ac:dyDescent="0.25">
      <c r="A9" s="1">
        <v>4</v>
      </c>
      <c r="B9" s="1">
        <v>100</v>
      </c>
      <c r="C9" s="1">
        <v>100</v>
      </c>
      <c r="D9" s="1">
        <v>100</v>
      </c>
      <c r="E9" s="1">
        <v>660</v>
      </c>
      <c r="F9" s="1">
        <v>4</v>
      </c>
      <c r="G9" s="1">
        <v>100</v>
      </c>
      <c r="K9" s="10">
        <v>7</v>
      </c>
      <c r="L9" s="11">
        <v>150</v>
      </c>
      <c r="M9" s="11">
        <f t="shared" si="1"/>
        <v>150</v>
      </c>
      <c r="N9" s="11">
        <f t="shared" si="5"/>
        <v>150</v>
      </c>
      <c r="O9" s="11">
        <f t="shared" si="7"/>
        <v>660</v>
      </c>
      <c r="P9" s="11">
        <v>7</v>
      </c>
      <c r="Q9" s="19">
        <f t="shared" si="2"/>
        <v>150</v>
      </c>
      <c r="R9" s="20">
        <f t="shared" si="3"/>
        <v>26041.666666666668</v>
      </c>
      <c r="S9" s="20">
        <f>I2-SUM(S1:S8)</f>
        <v>4513.8888888888905</v>
      </c>
      <c r="T9" s="20">
        <f t="shared" si="4"/>
        <v>47.874579124579142</v>
      </c>
      <c r="U9" s="20">
        <f t="shared" si="6"/>
        <v>100000</v>
      </c>
    </row>
    <row r="10" spans="1:21" x14ac:dyDescent="0.25">
      <c r="A10" s="1">
        <v>5</v>
      </c>
      <c r="B10" s="1">
        <v>120</v>
      </c>
      <c r="C10" s="1">
        <v>120</v>
      </c>
      <c r="D10" s="1">
        <v>120</v>
      </c>
      <c r="E10" s="1">
        <v>660</v>
      </c>
      <c r="F10" s="1">
        <v>5</v>
      </c>
      <c r="G10" s="1">
        <v>120</v>
      </c>
      <c r="K10" s="10">
        <v>8</v>
      </c>
      <c r="L10" s="11">
        <v>200</v>
      </c>
      <c r="M10" s="11">
        <f t="shared" si="1"/>
        <v>200</v>
      </c>
      <c r="N10" s="11">
        <f t="shared" si="5"/>
        <v>200</v>
      </c>
      <c r="O10" s="11">
        <f t="shared" si="7"/>
        <v>660</v>
      </c>
      <c r="P10" s="11">
        <v>8</v>
      </c>
      <c r="Q10" s="19">
        <f t="shared" si="2"/>
        <v>200</v>
      </c>
      <c r="R10" s="20">
        <f t="shared" si="3"/>
        <v>26041.666666666668</v>
      </c>
      <c r="S10" s="20"/>
      <c r="T10" s="20"/>
      <c r="U10" s="20">
        <f t="shared" si="6"/>
        <v>100000</v>
      </c>
    </row>
    <row r="11" spans="1:21" x14ac:dyDescent="0.25">
      <c r="A11" s="1">
        <v>6</v>
      </c>
      <c r="B11" s="1">
        <v>150</v>
      </c>
      <c r="C11" s="1">
        <v>150</v>
      </c>
      <c r="D11" s="1">
        <v>150</v>
      </c>
      <c r="E11" s="1">
        <v>660</v>
      </c>
      <c r="F11" s="1">
        <v>6</v>
      </c>
      <c r="G11" s="1">
        <v>150</v>
      </c>
      <c r="K11" s="10">
        <v>9</v>
      </c>
      <c r="L11" s="11">
        <v>250</v>
      </c>
      <c r="M11" s="11">
        <f t="shared" si="1"/>
        <v>250</v>
      </c>
      <c r="N11" s="11">
        <f t="shared" si="5"/>
        <v>250</v>
      </c>
      <c r="O11" s="11">
        <f t="shared" si="7"/>
        <v>660</v>
      </c>
      <c r="P11" s="11">
        <v>9</v>
      </c>
      <c r="Q11" s="19">
        <f t="shared" si="2"/>
        <v>250</v>
      </c>
      <c r="R11" s="20">
        <f t="shared" si="3"/>
        <v>34722.222222222219</v>
      </c>
      <c r="S11" s="20"/>
      <c r="T11" s="20"/>
      <c r="U11" s="20">
        <f t="shared" si="6"/>
        <v>100000</v>
      </c>
    </row>
    <row r="12" spans="1:21" x14ac:dyDescent="0.25">
      <c r="A12" s="1">
        <v>7</v>
      </c>
      <c r="B12" s="1">
        <v>150</v>
      </c>
      <c r="C12" s="1">
        <v>150</v>
      </c>
      <c r="D12" s="1">
        <v>150</v>
      </c>
      <c r="E12" s="1">
        <v>660</v>
      </c>
      <c r="F12" s="1">
        <v>7</v>
      </c>
      <c r="G12" s="1">
        <v>150</v>
      </c>
      <c r="K12" s="13">
        <v>10</v>
      </c>
      <c r="L12" s="14">
        <v>300</v>
      </c>
      <c r="M12" s="14">
        <f t="shared" si="1"/>
        <v>300</v>
      </c>
      <c r="N12" s="14">
        <f t="shared" si="5"/>
        <v>300</v>
      </c>
      <c r="O12" s="14">
        <f t="shared" si="7"/>
        <v>660</v>
      </c>
      <c r="P12" s="14">
        <v>10</v>
      </c>
      <c r="Q12" s="21">
        <f t="shared" ref="Q12" si="8">L12</f>
        <v>300</v>
      </c>
      <c r="R12" s="20">
        <f t="shared" si="3"/>
        <v>43402.777777777781</v>
      </c>
      <c r="U12" s="20"/>
    </row>
    <row r="13" spans="1:21" x14ac:dyDescent="0.25">
      <c r="A13" s="1">
        <v>8</v>
      </c>
      <c r="B13" s="1">
        <v>200</v>
      </c>
      <c r="C13" s="1">
        <v>200</v>
      </c>
      <c r="D13" s="1">
        <v>200</v>
      </c>
      <c r="E13" s="1">
        <v>660</v>
      </c>
      <c r="F13" s="1">
        <v>8</v>
      </c>
      <c r="G13" s="1">
        <v>200</v>
      </c>
      <c r="S13" s="22" t="s">
        <v>2069</v>
      </c>
      <c r="T13" s="23">
        <f>SUM(T2:T9)</f>
        <v>644.99158249158245</v>
      </c>
      <c r="U13" s="20"/>
    </row>
    <row r="14" spans="1:21" x14ac:dyDescent="0.25">
      <c r="A14" s="1">
        <v>9</v>
      </c>
      <c r="B14" s="1">
        <v>250</v>
      </c>
      <c r="C14" s="1">
        <v>250</v>
      </c>
      <c r="D14" s="1">
        <v>250</v>
      </c>
      <c r="E14" s="1">
        <v>660</v>
      </c>
      <c r="F14" s="1">
        <v>9</v>
      </c>
      <c r="G14" s="1">
        <v>250</v>
      </c>
      <c r="S14" s="24" t="s">
        <v>2070</v>
      </c>
      <c r="T14" s="19">
        <f>SUM(N2:N8)</f>
        <v>550</v>
      </c>
      <c r="U14" s="20"/>
    </row>
    <row r="15" spans="1:21" x14ac:dyDescent="0.25">
      <c r="A15" s="1">
        <v>10</v>
      </c>
      <c r="B15" s="1">
        <v>300</v>
      </c>
      <c r="C15" s="1">
        <v>300</v>
      </c>
      <c r="D15" s="1">
        <v>300</v>
      </c>
      <c r="E15" s="1">
        <v>660</v>
      </c>
      <c r="F15" s="1">
        <v>10</v>
      </c>
      <c r="G15" s="1">
        <v>300</v>
      </c>
      <c r="S15" s="24" t="s">
        <v>2050</v>
      </c>
      <c r="T15" s="19">
        <f>Q9</f>
        <v>150</v>
      </c>
      <c r="U15" s="20"/>
    </row>
    <row r="16" spans="1:21" x14ac:dyDescent="0.25">
      <c r="S16" s="25" t="s">
        <v>2071</v>
      </c>
      <c r="T16" s="26">
        <f>SUM(T13:T15)</f>
        <v>1344.9915824915824</v>
      </c>
      <c r="U16" s="20"/>
    </row>
    <row r="20" spans="10:21" ht="45" x14ac:dyDescent="0.25">
      <c r="K20" s="15" t="s">
        <v>2058</v>
      </c>
      <c r="L20" s="16" t="s">
        <v>2029</v>
      </c>
      <c r="M20" s="16" t="s">
        <v>2059</v>
      </c>
      <c r="N20" s="16" t="s">
        <v>2060</v>
      </c>
      <c r="O20" s="16" t="s">
        <v>2061</v>
      </c>
      <c r="P20" s="16" t="s">
        <v>2062</v>
      </c>
      <c r="Q20" s="27" t="s">
        <v>2063</v>
      </c>
      <c r="R20" s="18" t="s">
        <v>2064</v>
      </c>
      <c r="S20" s="6" t="s">
        <v>2065</v>
      </c>
      <c r="T20" s="6" t="s">
        <v>2066</v>
      </c>
    </row>
    <row r="21" spans="10:21" x14ac:dyDescent="0.25">
      <c r="K21" s="1">
        <v>0</v>
      </c>
      <c r="L21" s="1">
        <f>L2</f>
        <v>20</v>
      </c>
      <c r="M21" s="1">
        <f>L21</f>
        <v>20</v>
      </c>
      <c r="N21" s="1">
        <f>N2</f>
        <v>20</v>
      </c>
      <c r="O21" s="1">
        <f>O2</f>
        <v>0</v>
      </c>
      <c r="P21" s="1">
        <f>P2</f>
        <v>0</v>
      </c>
      <c r="Q21" s="1">
        <f>Q2</f>
        <v>0</v>
      </c>
      <c r="R21" s="20">
        <f>R2</f>
        <v>0</v>
      </c>
      <c r="S21" s="20">
        <f t="shared" ref="S21:S32" si="9">R22</f>
        <v>868.05555555555543</v>
      </c>
      <c r="T21" s="1">
        <v>0</v>
      </c>
      <c r="U21" s="20">
        <f>S21</f>
        <v>868.05555555555543</v>
      </c>
    </row>
    <row r="22" spans="10:21" x14ac:dyDescent="0.25">
      <c r="K22" s="1">
        <v>1</v>
      </c>
      <c r="L22" s="1">
        <f t="shared" ref="L22:Q31" si="10">L3</f>
        <v>30</v>
      </c>
      <c r="M22" s="1">
        <f t="shared" ref="M22:M36" si="11">L22</f>
        <v>30</v>
      </c>
      <c r="N22" s="1">
        <f t="shared" si="10"/>
        <v>30</v>
      </c>
      <c r="O22" s="1">
        <f t="shared" ref="O22:O30" si="12">O3</f>
        <v>660</v>
      </c>
      <c r="P22" s="1">
        <f t="shared" si="10"/>
        <v>1</v>
      </c>
      <c r="Q22" s="1">
        <f t="shared" si="10"/>
        <v>30</v>
      </c>
      <c r="R22" s="20">
        <f t="shared" ref="R22:R40" si="13">1/(0.96/L21)/6*1000/4</f>
        <v>868.05555555555543</v>
      </c>
      <c r="S22" s="20">
        <f t="shared" si="9"/>
        <v>1302.0833333333333</v>
      </c>
      <c r="T22" s="20">
        <f t="shared" ref="T22:T33" si="14">S22/O22*P22</f>
        <v>1.9728535353535352</v>
      </c>
      <c r="U22" s="20">
        <f>U21+S22</f>
        <v>2170.1388888888887</v>
      </c>
    </row>
    <row r="23" spans="10:21" x14ac:dyDescent="0.25">
      <c r="K23" s="1">
        <v>2</v>
      </c>
      <c r="L23" s="1">
        <f t="shared" si="10"/>
        <v>50</v>
      </c>
      <c r="M23" s="1">
        <f t="shared" si="11"/>
        <v>50</v>
      </c>
      <c r="N23" s="1">
        <f t="shared" si="10"/>
        <v>50</v>
      </c>
      <c r="O23" s="1">
        <f t="shared" si="12"/>
        <v>660</v>
      </c>
      <c r="P23" s="1">
        <f t="shared" si="10"/>
        <v>2</v>
      </c>
      <c r="Q23" s="1">
        <f t="shared" si="10"/>
        <v>50</v>
      </c>
      <c r="R23" s="20">
        <f t="shared" si="13"/>
        <v>1302.0833333333333</v>
      </c>
      <c r="S23" s="20">
        <f t="shared" si="9"/>
        <v>2170.1388888888887</v>
      </c>
      <c r="T23" s="20">
        <f t="shared" si="14"/>
        <v>6.5761784511784507</v>
      </c>
      <c r="U23" s="20">
        <f t="shared" ref="U23:U33" si="15">U22+S23</f>
        <v>4340.2777777777774</v>
      </c>
    </row>
    <row r="24" spans="10:21" x14ac:dyDescent="0.25">
      <c r="J24" s="12" t="s">
        <v>2072</v>
      </c>
      <c r="K24" s="1">
        <v>3</v>
      </c>
      <c r="L24" s="1">
        <f t="shared" si="10"/>
        <v>80</v>
      </c>
      <c r="M24" s="1">
        <f t="shared" si="11"/>
        <v>80</v>
      </c>
      <c r="N24" s="1">
        <f t="shared" si="10"/>
        <v>80</v>
      </c>
      <c r="O24" s="1">
        <f t="shared" si="12"/>
        <v>660</v>
      </c>
      <c r="P24" s="1">
        <f t="shared" si="10"/>
        <v>3</v>
      </c>
      <c r="Q24" s="1">
        <f t="shared" si="10"/>
        <v>80</v>
      </c>
      <c r="R24" s="20">
        <f t="shared" si="13"/>
        <v>2170.1388888888887</v>
      </c>
      <c r="S24" s="20">
        <f t="shared" si="9"/>
        <v>3472.2222222222217</v>
      </c>
      <c r="T24" s="20">
        <f t="shared" si="14"/>
        <v>15.78282828282828</v>
      </c>
      <c r="U24" s="20">
        <f t="shared" si="15"/>
        <v>7812.4999999999991</v>
      </c>
    </row>
    <row r="25" spans="10:21" x14ac:dyDescent="0.25">
      <c r="K25" s="1">
        <v>4</v>
      </c>
      <c r="L25" s="1">
        <f t="shared" si="10"/>
        <v>100</v>
      </c>
      <c r="M25" s="1">
        <f t="shared" si="11"/>
        <v>100</v>
      </c>
      <c r="N25" s="1">
        <f t="shared" si="10"/>
        <v>100</v>
      </c>
      <c r="O25" s="1">
        <f t="shared" si="12"/>
        <v>660</v>
      </c>
      <c r="P25" s="1">
        <f t="shared" si="10"/>
        <v>4</v>
      </c>
      <c r="Q25" s="1">
        <f t="shared" si="10"/>
        <v>100</v>
      </c>
      <c r="R25" s="20">
        <f t="shared" si="13"/>
        <v>3472.2222222222217</v>
      </c>
      <c r="S25" s="20">
        <f t="shared" si="9"/>
        <v>4340.2777777777774</v>
      </c>
      <c r="T25" s="20">
        <f t="shared" si="14"/>
        <v>26.304713804713803</v>
      </c>
      <c r="U25" s="20">
        <f t="shared" si="15"/>
        <v>12152.777777777777</v>
      </c>
    </row>
    <row r="26" spans="10:21" x14ac:dyDescent="0.25">
      <c r="K26" s="1">
        <v>5</v>
      </c>
      <c r="L26" s="1">
        <f t="shared" si="10"/>
        <v>120</v>
      </c>
      <c r="M26" s="1">
        <f t="shared" si="11"/>
        <v>120</v>
      </c>
      <c r="N26" s="1">
        <f t="shared" si="10"/>
        <v>120</v>
      </c>
      <c r="O26" s="1">
        <f t="shared" si="12"/>
        <v>660</v>
      </c>
      <c r="P26" s="1">
        <f t="shared" si="10"/>
        <v>5</v>
      </c>
      <c r="Q26" s="1">
        <f t="shared" si="10"/>
        <v>120</v>
      </c>
      <c r="R26" s="20">
        <f t="shared" si="13"/>
        <v>4340.2777777777774</v>
      </c>
      <c r="S26" s="20">
        <f t="shared" si="9"/>
        <v>5208.333333333333</v>
      </c>
      <c r="T26" s="20">
        <f t="shared" si="14"/>
        <v>39.457070707070706</v>
      </c>
      <c r="U26" s="20">
        <f t="shared" si="15"/>
        <v>17361.111111111109</v>
      </c>
    </row>
    <row r="27" spans="10:21" x14ac:dyDescent="0.25">
      <c r="K27" s="1">
        <v>6</v>
      </c>
      <c r="L27" s="1">
        <f t="shared" si="10"/>
        <v>150</v>
      </c>
      <c r="M27" s="1">
        <f t="shared" si="11"/>
        <v>150</v>
      </c>
      <c r="N27" s="1">
        <f t="shared" si="10"/>
        <v>150</v>
      </c>
      <c r="O27" s="1">
        <f t="shared" si="12"/>
        <v>660</v>
      </c>
      <c r="P27" s="1">
        <f t="shared" si="10"/>
        <v>6</v>
      </c>
      <c r="Q27" s="1">
        <f t="shared" si="10"/>
        <v>150</v>
      </c>
      <c r="R27" s="20">
        <f t="shared" si="13"/>
        <v>5208.333333333333</v>
      </c>
      <c r="S27" s="20">
        <f t="shared" si="9"/>
        <v>6510.416666666667</v>
      </c>
      <c r="T27" s="20">
        <f t="shared" si="14"/>
        <v>59.185606060606062</v>
      </c>
      <c r="U27" s="20">
        <f t="shared" si="15"/>
        <v>23871.527777777777</v>
      </c>
    </row>
    <row r="28" spans="10:21" x14ac:dyDescent="0.25">
      <c r="K28" s="1">
        <v>7</v>
      </c>
      <c r="L28" s="1">
        <f t="shared" si="10"/>
        <v>150</v>
      </c>
      <c r="M28" s="1">
        <f t="shared" si="11"/>
        <v>150</v>
      </c>
      <c r="N28" s="1">
        <f t="shared" si="10"/>
        <v>150</v>
      </c>
      <c r="O28" s="1">
        <f t="shared" si="12"/>
        <v>660</v>
      </c>
      <c r="P28" s="1">
        <f t="shared" si="10"/>
        <v>7</v>
      </c>
      <c r="Q28" s="1">
        <f t="shared" si="10"/>
        <v>150</v>
      </c>
      <c r="R28" s="20">
        <f t="shared" si="13"/>
        <v>6510.416666666667</v>
      </c>
      <c r="S28" s="20">
        <f t="shared" si="9"/>
        <v>6510.416666666667</v>
      </c>
      <c r="T28" s="20">
        <f t="shared" si="14"/>
        <v>69.04987373737373</v>
      </c>
      <c r="U28" s="20">
        <f t="shared" si="15"/>
        <v>30381.944444444445</v>
      </c>
    </row>
    <row r="29" spans="10:21" x14ac:dyDescent="0.25">
      <c r="K29" s="1">
        <v>8</v>
      </c>
      <c r="L29" s="1">
        <f t="shared" si="10"/>
        <v>200</v>
      </c>
      <c r="M29" s="1">
        <f t="shared" si="11"/>
        <v>200</v>
      </c>
      <c r="N29" s="1">
        <f t="shared" si="10"/>
        <v>200</v>
      </c>
      <c r="O29" s="1">
        <f t="shared" si="12"/>
        <v>660</v>
      </c>
      <c r="P29" s="1">
        <f t="shared" si="10"/>
        <v>8</v>
      </c>
      <c r="Q29" s="1">
        <f t="shared" si="10"/>
        <v>200</v>
      </c>
      <c r="R29" s="20">
        <f t="shared" si="13"/>
        <v>6510.416666666667</v>
      </c>
      <c r="S29" s="20">
        <f t="shared" si="9"/>
        <v>8680.5555555555547</v>
      </c>
      <c r="T29" s="20">
        <f t="shared" si="14"/>
        <v>105.21885521885521</v>
      </c>
      <c r="U29" s="20">
        <f t="shared" si="15"/>
        <v>39062.5</v>
      </c>
    </row>
    <row r="30" spans="10:21" x14ac:dyDescent="0.25">
      <c r="K30" s="1">
        <v>9</v>
      </c>
      <c r="L30" s="1">
        <f t="shared" si="10"/>
        <v>250</v>
      </c>
      <c r="M30" s="1">
        <f t="shared" si="11"/>
        <v>250</v>
      </c>
      <c r="N30" s="1">
        <f t="shared" si="10"/>
        <v>250</v>
      </c>
      <c r="O30" s="1">
        <f t="shared" si="12"/>
        <v>660</v>
      </c>
      <c r="P30" s="1">
        <f t="shared" si="10"/>
        <v>9</v>
      </c>
      <c r="Q30" s="1">
        <f t="shared" si="10"/>
        <v>250</v>
      </c>
      <c r="R30" s="20">
        <f t="shared" si="13"/>
        <v>8680.5555555555547</v>
      </c>
      <c r="S30" s="20">
        <f t="shared" si="9"/>
        <v>10850.694444444445</v>
      </c>
      <c r="T30" s="20">
        <f t="shared" si="14"/>
        <v>147.96401515151516</v>
      </c>
      <c r="U30" s="20">
        <f t="shared" si="15"/>
        <v>49913.194444444445</v>
      </c>
    </row>
    <row r="31" spans="10:21" x14ac:dyDescent="0.25">
      <c r="K31" s="1">
        <v>10</v>
      </c>
      <c r="L31" s="1">
        <f t="shared" si="10"/>
        <v>300</v>
      </c>
      <c r="M31" s="1">
        <f t="shared" si="11"/>
        <v>300</v>
      </c>
      <c r="N31" s="1">
        <f t="shared" si="10"/>
        <v>300</v>
      </c>
      <c r="O31" s="1">
        <f t="shared" ref="O31:O40" si="16">O30</f>
        <v>660</v>
      </c>
      <c r="P31" s="1">
        <f t="shared" si="10"/>
        <v>10</v>
      </c>
      <c r="Q31" s="1">
        <f t="shared" si="10"/>
        <v>300</v>
      </c>
      <c r="R31" s="20">
        <f t="shared" si="13"/>
        <v>10850.694444444445</v>
      </c>
      <c r="S31" s="20">
        <f t="shared" si="9"/>
        <v>13020.833333333334</v>
      </c>
      <c r="T31" s="20">
        <f t="shared" si="14"/>
        <v>197.28535353535352</v>
      </c>
      <c r="U31" s="20">
        <f t="shared" si="15"/>
        <v>62934.027777777781</v>
      </c>
    </row>
    <row r="32" spans="10:21" x14ac:dyDescent="0.25">
      <c r="K32" s="1">
        <f t="shared" ref="K32:Q36" si="17">K31</f>
        <v>10</v>
      </c>
      <c r="L32" s="1">
        <f t="shared" si="17"/>
        <v>300</v>
      </c>
      <c r="M32" s="1">
        <f t="shared" si="11"/>
        <v>300</v>
      </c>
      <c r="N32" s="1">
        <f t="shared" ref="N32:N40" si="18">N31</f>
        <v>300</v>
      </c>
      <c r="O32" s="1">
        <f t="shared" si="16"/>
        <v>660</v>
      </c>
      <c r="P32" s="1">
        <f t="shared" si="17"/>
        <v>10</v>
      </c>
      <c r="Q32" s="1">
        <f>Q31</f>
        <v>300</v>
      </c>
      <c r="R32" s="20">
        <f t="shared" si="13"/>
        <v>13020.833333333334</v>
      </c>
      <c r="S32" s="20">
        <f t="shared" si="9"/>
        <v>13020.833333333334</v>
      </c>
      <c r="T32" s="20">
        <f t="shared" si="14"/>
        <v>197.28535353535352</v>
      </c>
      <c r="U32" s="20">
        <f t="shared" si="15"/>
        <v>75954.861111111109</v>
      </c>
    </row>
    <row r="33" spans="11:22" x14ac:dyDescent="0.25">
      <c r="K33" s="1">
        <f t="shared" si="17"/>
        <v>10</v>
      </c>
      <c r="L33" s="1">
        <f t="shared" si="17"/>
        <v>300</v>
      </c>
      <c r="M33" s="1">
        <f t="shared" si="11"/>
        <v>300</v>
      </c>
      <c r="N33" s="1">
        <f t="shared" si="18"/>
        <v>300</v>
      </c>
      <c r="O33" s="1">
        <f t="shared" si="16"/>
        <v>660</v>
      </c>
      <c r="P33" s="1">
        <f t="shared" si="17"/>
        <v>10</v>
      </c>
      <c r="Q33" s="1">
        <f t="shared" si="17"/>
        <v>300</v>
      </c>
      <c r="R33" s="20">
        <f t="shared" si="13"/>
        <v>13020.833333333334</v>
      </c>
      <c r="S33" s="20">
        <f t="shared" ref="S33" si="19">R34</f>
        <v>13020.833333333334</v>
      </c>
      <c r="T33" s="20">
        <f t="shared" si="14"/>
        <v>197.28535353535352</v>
      </c>
      <c r="U33" s="20">
        <f t="shared" si="15"/>
        <v>88975.694444444438</v>
      </c>
    </row>
    <row r="34" spans="11:22" x14ac:dyDescent="0.25">
      <c r="K34" s="1">
        <f t="shared" si="17"/>
        <v>10</v>
      </c>
      <c r="L34" s="1">
        <f t="shared" si="17"/>
        <v>300</v>
      </c>
      <c r="M34" s="1">
        <f t="shared" si="11"/>
        <v>300</v>
      </c>
      <c r="N34" s="1">
        <f t="shared" si="18"/>
        <v>300</v>
      </c>
      <c r="O34" s="1">
        <f t="shared" si="16"/>
        <v>660</v>
      </c>
      <c r="P34" s="1">
        <f t="shared" si="17"/>
        <v>10</v>
      </c>
      <c r="Q34" s="1">
        <f t="shared" si="17"/>
        <v>300</v>
      </c>
      <c r="R34" s="20">
        <f t="shared" si="13"/>
        <v>13020.833333333334</v>
      </c>
      <c r="S34" s="20">
        <f>I2-SUM(S21:S33)</f>
        <v>11024.305555555562</v>
      </c>
      <c r="T34" s="20">
        <f t="shared" ref="T34" si="20">S34/O34*P34</f>
        <v>167.03493265993276</v>
      </c>
      <c r="U34" s="20">
        <f t="shared" ref="U34" si="21">U33+S34</f>
        <v>100000</v>
      </c>
    </row>
    <row r="35" spans="11:22" x14ac:dyDescent="0.25">
      <c r="K35" s="1">
        <f t="shared" si="17"/>
        <v>10</v>
      </c>
      <c r="L35" s="1">
        <f t="shared" si="17"/>
        <v>300</v>
      </c>
      <c r="M35" s="1">
        <f t="shared" si="11"/>
        <v>300</v>
      </c>
      <c r="N35" s="1">
        <f t="shared" si="18"/>
        <v>300</v>
      </c>
      <c r="O35" s="1">
        <f t="shared" si="16"/>
        <v>660</v>
      </c>
      <c r="P35" s="1">
        <f t="shared" si="17"/>
        <v>10</v>
      </c>
      <c r="Q35" s="1">
        <f t="shared" si="17"/>
        <v>300</v>
      </c>
      <c r="R35" s="20">
        <f t="shared" si="13"/>
        <v>13020.833333333334</v>
      </c>
      <c r="S35" s="20"/>
      <c r="T35" s="20"/>
      <c r="U35" s="20"/>
    </row>
    <row r="36" spans="11:22" x14ac:dyDescent="0.25">
      <c r="K36" s="1">
        <f t="shared" si="17"/>
        <v>10</v>
      </c>
      <c r="L36" s="1">
        <f t="shared" si="17"/>
        <v>300</v>
      </c>
      <c r="M36" s="1">
        <f t="shared" si="11"/>
        <v>300</v>
      </c>
      <c r="N36" s="1">
        <f t="shared" si="18"/>
        <v>300</v>
      </c>
      <c r="O36" s="1">
        <f t="shared" si="16"/>
        <v>660</v>
      </c>
      <c r="P36" s="1">
        <f t="shared" si="17"/>
        <v>10</v>
      </c>
      <c r="Q36" s="1">
        <f t="shared" si="17"/>
        <v>300</v>
      </c>
      <c r="R36" s="20">
        <f t="shared" si="13"/>
        <v>13020.833333333334</v>
      </c>
      <c r="S36" s="20"/>
      <c r="T36" s="20"/>
      <c r="U36" s="20"/>
    </row>
    <row r="37" spans="11:22" x14ac:dyDescent="0.25">
      <c r="K37" s="1">
        <f t="shared" ref="K37:L39" si="22">K36</f>
        <v>10</v>
      </c>
      <c r="L37" s="1">
        <f t="shared" si="22"/>
        <v>300</v>
      </c>
      <c r="M37" s="1">
        <f t="shared" ref="M37:M38" si="23">L37</f>
        <v>300</v>
      </c>
      <c r="N37" s="1">
        <f t="shared" si="18"/>
        <v>300</v>
      </c>
      <c r="O37" s="1">
        <f t="shared" si="16"/>
        <v>660</v>
      </c>
      <c r="P37" s="1">
        <f t="shared" ref="P37:Q39" si="24">P36</f>
        <v>10</v>
      </c>
      <c r="Q37" s="1">
        <f t="shared" si="24"/>
        <v>300</v>
      </c>
      <c r="R37" s="20">
        <f t="shared" si="13"/>
        <v>13020.833333333334</v>
      </c>
      <c r="S37" s="20"/>
      <c r="T37" s="20"/>
      <c r="U37" s="20"/>
    </row>
    <row r="38" spans="11:22" x14ac:dyDescent="0.25">
      <c r="K38" s="1">
        <f t="shared" ref="K38:L40" si="25">K37</f>
        <v>10</v>
      </c>
      <c r="L38" s="1">
        <f t="shared" si="25"/>
        <v>300</v>
      </c>
      <c r="M38" s="1">
        <f t="shared" si="23"/>
        <v>300</v>
      </c>
      <c r="N38" s="1">
        <f t="shared" si="18"/>
        <v>300</v>
      </c>
      <c r="O38" s="1">
        <f t="shared" si="16"/>
        <v>660</v>
      </c>
      <c r="P38" s="1">
        <f t="shared" ref="P38:Q40" si="26">P37</f>
        <v>10</v>
      </c>
      <c r="Q38" s="1">
        <f t="shared" si="26"/>
        <v>300</v>
      </c>
      <c r="R38" s="20">
        <f t="shared" si="13"/>
        <v>13020.833333333334</v>
      </c>
      <c r="S38" s="20"/>
      <c r="T38" s="20"/>
      <c r="U38" s="20"/>
    </row>
    <row r="39" spans="11:22" x14ac:dyDescent="0.25">
      <c r="K39" s="1">
        <f t="shared" si="22"/>
        <v>10</v>
      </c>
      <c r="L39" s="1">
        <f t="shared" si="22"/>
        <v>300</v>
      </c>
      <c r="M39" s="1">
        <f t="shared" ref="M39:M40" si="27">L39</f>
        <v>300</v>
      </c>
      <c r="N39" s="1">
        <f t="shared" si="18"/>
        <v>300</v>
      </c>
      <c r="O39" s="1">
        <f t="shared" si="16"/>
        <v>660</v>
      </c>
      <c r="P39" s="1">
        <f t="shared" si="24"/>
        <v>10</v>
      </c>
      <c r="Q39" s="1">
        <f t="shared" si="24"/>
        <v>300</v>
      </c>
      <c r="R39" s="20">
        <f t="shared" si="13"/>
        <v>13020.833333333334</v>
      </c>
      <c r="S39" s="20"/>
      <c r="T39" s="20"/>
      <c r="U39" s="20"/>
    </row>
    <row r="40" spans="11:22" x14ac:dyDescent="0.25">
      <c r="K40" s="1">
        <f t="shared" si="25"/>
        <v>10</v>
      </c>
      <c r="L40" s="1">
        <f t="shared" si="25"/>
        <v>300</v>
      </c>
      <c r="M40" s="1">
        <f t="shared" si="27"/>
        <v>300</v>
      </c>
      <c r="N40" s="1">
        <f t="shared" si="18"/>
        <v>300</v>
      </c>
      <c r="O40" s="1">
        <f t="shared" si="16"/>
        <v>660</v>
      </c>
      <c r="P40" s="1">
        <f t="shared" si="26"/>
        <v>10</v>
      </c>
      <c r="Q40" s="1">
        <f t="shared" si="26"/>
        <v>300</v>
      </c>
      <c r="R40" s="20">
        <f t="shared" si="13"/>
        <v>13020.833333333334</v>
      </c>
    </row>
    <row r="42" spans="11:22" x14ac:dyDescent="0.25">
      <c r="S42" s="22" t="s">
        <v>2069</v>
      </c>
      <c r="T42" s="23">
        <f>SUM(T21:T39)</f>
        <v>1230.4029882154884</v>
      </c>
      <c r="U42" s="1">
        <f t="shared" ref="U42" si="28">T42/4</f>
        <v>307.60074705387211</v>
      </c>
    </row>
    <row r="43" spans="11:22" x14ac:dyDescent="0.3">
      <c r="S43" s="24" t="s">
        <v>2073</v>
      </c>
      <c r="T43" s="19">
        <f>SUM(N21:N32)</f>
        <v>1750</v>
      </c>
      <c r="U43" s="1">
        <f>T43/4+N33</f>
        <v>737.5</v>
      </c>
      <c r="V43" s="28" t="s">
        <v>2074</v>
      </c>
    </row>
    <row r="44" spans="11:22" x14ac:dyDescent="0.25">
      <c r="S44" s="24" t="s">
        <v>2050</v>
      </c>
      <c r="T44" s="19">
        <f>Q37</f>
        <v>300</v>
      </c>
      <c r="U44" s="1">
        <f>T44</f>
        <v>300</v>
      </c>
    </row>
    <row r="45" spans="11:22" x14ac:dyDescent="0.35">
      <c r="S45" s="25" t="s">
        <v>2071</v>
      </c>
      <c r="T45" s="26">
        <f>SUM(T42:T44)</f>
        <v>3280.4029882154882</v>
      </c>
      <c r="U45" s="1">
        <f>SUM(U42:U44)</f>
        <v>1345.1007470538721</v>
      </c>
      <c r="V45" s="29">
        <f>U45/T16</f>
        <v>1.0000811637512907</v>
      </c>
    </row>
    <row r="52" spans="18:18" x14ac:dyDescent="0.25">
      <c r="R52" s="20"/>
    </row>
  </sheetData>
  <phoneticPr fontId="57" type="noConversion"/>
  <conditionalFormatting sqref="U2">
    <cfRule type="containsText" dxfId="9" priority="5" operator="containsText" text=" ">
      <formula>NOT(ISERROR(SEARCH(" ",U2)))</formula>
    </cfRule>
  </conditionalFormatting>
  <conditionalFormatting sqref="B5:G5">
    <cfRule type="containsText" dxfId="8" priority="1" operator="containsText" text=" ">
      <formula>NOT(ISERROR(SEARCH(" ",B5)))</formula>
    </cfRule>
  </conditionalFormatting>
  <conditionalFormatting sqref="M21:M40">
    <cfRule type="containsText" dxfId="7" priority="2" operator="containsText" text=" ">
      <formula>NOT(ISERROR(SEARCH(" ",M21)))</formula>
    </cfRule>
  </conditionalFormatting>
  <conditionalFormatting sqref="N21:N31">
    <cfRule type="containsText" dxfId="6" priority="3" operator="containsText" text=" ">
      <formula>NOT(ISERROR(SEARCH(" ",N21)))</formula>
    </cfRule>
  </conditionalFormatting>
  <conditionalFormatting sqref="U3:U16">
    <cfRule type="containsText" dxfId="5" priority="4" operator="containsText" text=" ">
      <formula>NOT(ISERROR(SEARCH(" ",U3)))</formula>
    </cfRule>
  </conditionalFormatting>
  <conditionalFormatting sqref="I5:J6 I37:I52">
    <cfRule type="containsText" dxfId="4" priority="8" operator="containsText" text=" ">
      <formula>NOT(ISERROR(SEARCH(" ",I5)))</formula>
    </cfRule>
  </conditionalFormatting>
  <conditionalFormatting sqref="B6:D15">
    <cfRule type="containsText" dxfId="3" priority="9" operator="containsText" text=" ">
      <formula>NOT(ISERROR(SEARCH(" ",B6)))</formula>
    </cfRule>
  </conditionalFormatting>
  <conditionalFormatting sqref="I7:J8 I9:I36 S13:T16 J20:J40 J52:N52 I53:N1048576 S42:U45 K24:K26 K29:K31 L32:L40 N32:N40 U20:U39">
    <cfRule type="containsText" dxfId="2" priority="7" operator="containsText" text=" ">
      <formula>NOT(ISERROR(SEARCH(" ",I7)))</formula>
    </cfRule>
  </conditionalFormatting>
  <conditionalFormatting sqref="A9:A15 O52:P1048576 Q52:R52 Q53:U1048576 O31 O32:P40">
    <cfRule type="containsText" dxfId="1" priority="10" operator="containsText" text=" ">
      <formula>NOT(ISERROR(SEARCH(" ",A9)))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5"/>
  <sheetViews>
    <sheetView zoomScale="90" zoomScaleNormal="90" workbookViewId="0">
      <pane xSplit="2" ySplit="4" topLeftCell="C5" activePane="bottomRight" state="frozen"/>
      <selection pane="topRight"/>
      <selection pane="bottomLeft"/>
      <selection pane="bottomRight" activeCell="D18" sqref="D18"/>
    </sheetView>
  </sheetViews>
  <sheetFormatPr defaultColWidth="9" defaultRowHeight="15.6" x14ac:dyDescent="0.25"/>
  <cols>
    <col min="1" max="1" width="8" style="1" customWidth="1"/>
    <col min="2" max="2" width="12.21875" style="1" customWidth="1"/>
    <col min="3" max="3" width="24.6640625" style="1" customWidth="1"/>
    <col min="4" max="4" width="12.21875" style="1" customWidth="1"/>
    <col min="5" max="5" width="16.77734375" style="1" customWidth="1"/>
    <col min="6" max="6" width="20" style="1" customWidth="1"/>
    <col min="7" max="7" width="15.77734375" style="1" customWidth="1"/>
    <col min="8" max="8" width="40.109375" style="1" customWidth="1"/>
    <col min="9" max="9" width="53.109375" style="1" customWidth="1"/>
    <col min="10" max="12" width="16.88671875" style="1" customWidth="1"/>
    <col min="13" max="13" width="12.21875" style="1" customWidth="1"/>
    <col min="14" max="14" width="16.33203125" style="1" customWidth="1"/>
    <col min="15" max="15" width="12.21875" style="1" customWidth="1"/>
    <col min="16" max="16" width="9.77734375" style="1" customWidth="1"/>
    <col min="17" max="17" width="11.21875" style="1" customWidth="1"/>
    <col min="18" max="18" width="16.77734375" style="1" customWidth="1"/>
    <col min="19" max="19" width="11.21875" style="1" customWidth="1"/>
    <col min="20" max="20" width="32.88671875" style="1" customWidth="1"/>
    <col min="21" max="21" width="14.44140625" style="1" customWidth="1"/>
    <col min="22" max="22" width="12.33203125" style="1" customWidth="1"/>
    <col min="23" max="23" width="9.44140625" style="1" customWidth="1"/>
    <col min="24" max="24" width="13.109375" style="1" customWidth="1"/>
    <col min="25" max="25" width="10.44140625" style="1" customWidth="1"/>
    <col min="26" max="26" width="12.6640625" style="1" customWidth="1"/>
    <col min="27" max="27" width="10.44140625" style="1" customWidth="1"/>
    <col min="28" max="28" width="12.6640625" style="1" customWidth="1"/>
    <col min="29" max="29" width="10.44140625" style="1" customWidth="1"/>
    <col min="30" max="30" width="12.6640625" style="1" customWidth="1"/>
    <col min="31" max="31" width="10.44140625" style="1" customWidth="1"/>
    <col min="32" max="35" width="12.6640625" style="1" customWidth="1"/>
    <col min="36" max="36" width="16.21875" style="1" customWidth="1"/>
    <col min="37" max="37" width="15.6640625" style="1" customWidth="1"/>
    <col min="38" max="38" width="24" style="1" customWidth="1"/>
    <col min="39" max="39" width="12.6640625" style="1" customWidth="1"/>
    <col min="40" max="42" width="9" style="1"/>
    <col min="49" max="16384" width="9" style="1"/>
  </cols>
  <sheetData>
    <row r="1" spans="1:53" x14ac:dyDescent="0.35">
      <c r="A1" s="2" t="s">
        <v>0</v>
      </c>
      <c r="B1" s="2" t="s">
        <v>0</v>
      </c>
      <c r="C1" s="2" t="s">
        <v>796</v>
      </c>
      <c r="D1" s="51" t="s">
        <v>796</v>
      </c>
      <c r="E1" s="2" t="s">
        <v>796</v>
      </c>
      <c r="F1" s="2" t="s">
        <v>796</v>
      </c>
      <c r="G1" s="2" t="s">
        <v>1</v>
      </c>
      <c r="H1" s="2" t="s">
        <v>0</v>
      </c>
      <c r="I1" s="2" t="s">
        <v>1</v>
      </c>
      <c r="J1" s="2" t="s">
        <v>1</v>
      </c>
      <c r="K1" s="2" t="s">
        <v>0</v>
      </c>
      <c r="L1" s="2" t="s">
        <v>0</v>
      </c>
      <c r="M1" s="484" t="s">
        <v>0</v>
      </c>
      <c r="N1" s="485" t="s">
        <v>0</v>
      </c>
      <c r="O1" s="484" t="s">
        <v>0</v>
      </c>
      <c r="P1" s="485" t="s">
        <v>0</v>
      </c>
      <c r="Q1" s="484" t="s">
        <v>0</v>
      </c>
      <c r="R1" s="485" t="s">
        <v>0</v>
      </c>
      <c r="S1" s="484" t="s">
        <v>0</v>
      </c>
      <c r="T1" s="485" t="s">
        <v>1</v>
      </c>
      <c r="U1" s="485" t="s">
        <v>0</v>
      </c>
      <c r="V1" s="487" t="s">
        <v>0</v>
      </c>
      <c r="W1" s="487" t="s">
        <v>0</v>
      </c>
      <c r="X1" s="488" t="s">
        <v>0</v>
      </c>
      <c r="Y1" s="487" t="s">
        <v>0</v>
      </c>
      <c r="Z1" s="488" t="s">
        <v>0</v>
      </c>
      <c r="AA1" s="487" t="s">
        <v>0</v>
      </c>
      <c r="AB1" s="488" t="s">
        <v>0</v>
      </c>
      <c r="AC1" s="487" t="s">
        <v>0</v>
      </c>
      <c r="AD1" s="488" t="s">
        <v>0</v>
      </c>
      <c r="AE1" s="487" t="s">
        <v>0</v>
      </c>
      <c r="AF1" s="488" t="s">
        <v>0</v>
      </c>
      <c r="AG1" s="60" t="s">
        <v>0</v>
      </c>
      <c r="AH1" s="368" t="s">
        <v>1</v>
      </c>
      <c r="AI1" s="368" t="s">
        <v>1</v>
      </c>
      <c r="AJ1" s="368" t="s">
        <v>1</v>
      </c>
      <c r="AK1" s="368" t="s">
        <v>1</v>
      </c>
      <c r="AL1" s="368" t="s">
        <v>1</v>
      </c>
      <c r="AM1" s="395"/>
      <c r="AN1"/>
    </row>
    <row r="2" spans="1:53" x14ac:dyDescent="0.35">
      <c r="A2" s="2" t="s">
        <v>11</v>
      </c>
      <c r="B2" s="2" t="s">
        <v>11</v>
      </c>
      <c r="C2" s="2" t="s">
        <v>797</v>
      </c>
      <c r="D2" s="51" t="s">
        <v>797</v>
      </c>
      <c r="E2" s="2" t="s">
        <v>11</v>
      </c>
      <c r="F2" s="2" t="s">
        <v>14</v>
      </c>
      <c r="G2" s="2" t="s">
        <v>11</v>
      </c>
      <c r="H2" s="2" t="s">
        <v>14</v>
      </c>
      <c r="I2" s="2" t="s">
        <v>14</v>
      </c>
      <c r="J2" s="2" t="s">
        <v>14</v>
      </c>
      <c r="K2" s="2" t="s">
        <v>11</v>
      </c>
      <c r="L2" s="2" t="s">
        <v>11</v>
      </c>
      <c r="M2" s="484" t="s">
        <v>11</v>
      </c>
      <c r="N2" s="485" t="s">
        <v>11</v>
      </c>
      <c r="O2" s="484" t="s">
        <v>11</v>
      </c>
      <c r="P2" s="485" t="s">
        <v>11</v>
      </c>
      <c r="Q2" s="484" t="s">
        <v>11</v>
      </c>
      <c r="R2" s="485" t="s">
        <v>11</v>
      </c>
      <c r="S2" s="484" t="s">
        <v>11</v>
      </c>
      <c r="T2" s="485" t="s">
        <v>14</v>
      </c>
      <c r="U2" s="485" t="s">
        <v>11</v>
      </c>
      <c r="V2" s="487" t="s">
        <v>11</v>
      </c>
      <c r="W2" s="487" t="s">
        <v>14</v>
      </c>
      <c r="X2" s="488" t="s">
        <v>14</v>
      </c>
      <c r="Y2" s="487" t="s">
        <v>14</v>
      </c>
      <c r="Z2" s="488" t="s">
        <v>14</v>
      </c>
      <c r="AA2" s="487" t="s">
        <v>14</v>
      </c>
      <c r="AB2" s="488" t="s">
        <v>14</v>
      </c>
      <c r="AC2" s="487" t="s">
        <v>14</v>
      </c>
      <c r="AD2" s="488" t="s">
        <v>14</v>
      </c>
      <c r="AE2" s="487" t="s">
        <v>14</v>
      </c>
      <c r="AF2" s="488" t="s">
        <v>14</v>
      </c>
      <c r="AG2" s="60" t="s">
        <v>11</v>
      </c>
      <c r="AH2" s="368" t="s">
        <v>11</v>
      </c>
      <c r="AI2" s="368" t="s">
        <v>13</v>
      </c>
      <c r="AJ2" s="368" t="s">
        <v>13</v>
      </c>
      <c r="AK2" s="368" t="s">
        <v>11</v>
      </c>
      <c r="AL2" s="368" t="s">
        <v>14</v>
      </c>
      <c r="AM2" s="395"/>
      <c r="AN2"/>
      <c r="AR2" s="499" t="s">
        <v>798</v>
      </c>
    </row>
    <row r="3" spans="1:53" x14ac:dyDescent="0.35">
      <c r="A3" s="2" t="s">
        <v>799</v>
      </c>
      <c r="B3" s="2" t="s">
        <v>800</v>
      </c>
      <c r="C3" s="2" t="s">
        <v>801</v>
      </c>
      <c r="D3" s="51" t="s">
        <v>802</v>
      </c>
      <c r="E3" s="2" t="s">
        <v>803</v>
      </c>
      <c r="F3" s="2" t="s">
        <v>804</v>
      </c>
      <c r="G3" s="2" t="s">
        <v>805</v>
      </c>
      <c r="H3" s="2" t="s">
        <v>806</v>
      </c>
      <c r="I3" s="2" t="s">
        <v>807</v>
      </c>
      <c r="J3" s="2" t="s">
        <v>808</v>
      </c>
      <c r="K3" s="2" t="s">
        <v>809</v>
      </c>
      <c r="L3" s="2" t="s">
        <v>810</v>
      </c>
      <c r="M3" s="484" t="s">
        <v>811</v>
      </c>
      <c r="N3" s="485" t="s">
        <v>812</v>
      </c>
      <c r="O3" s="484" t="s">
        <v>813</v>
      </c>
      <c r="P3" s="485" t="s">
        <v>814</v>
      </c>
      <c r="Q3" s="484" t="s">
        <v>815</v>
      </c>
      <c r="R3" s="485" t="s">
        <v>816</v>
      </c>
      <c r="S3" s="484" t="s">
        <v>817</v>
      </c>
      <c r="T3" s="485" t="s">
        <v>818</v>
      </c>
      <c r="U3" s="485" t="s">
        <v>819</v>
      </c>
      <c r="V3" s="487" t="s">
        <v>820</v>
      </c>
      <c r="W3" s="487" t="s">
        <v>821</v>
      </c>
      <c r="X3" s="488" t="s">
        <v>822</v>
      </c>
      <c r="Y3" s="487" t="s">
        <v>823</v>
      </c>
      <c r="Z3" s="488" t="s">
        <v>824</v>
      </c>
      <c r="AA3" s="487" t="s">
        <v>825</v>
      </c>
      <c r="AB3" s="488" t="s">
        <v>826</v>
      </c>
      <c r="AC3" s="487" t="s">
        <v>827</v>
      </c>
      <c r="AD3" s="488" t="s">
        <v>828</v>
      </c>
      <c r="AE3" s="487" t="s">
        <v>829</v>
      </c>
      <c r="AF3" s="488" t="s">
        <v>830</v>
      </c>
      <c r="AG3" s="60" t="s">
        <v>831</v>
      </c>
      <c r="AH3" s="368" t="s">
        <v>832</v>
      </c>
      <c r="AI3" s="368" t="s">
        <v>833</v>
      </c>
      <c r="AJ3" s="368" t="s">
        <v>834</v>
      </c>
      <c r="AK3" s="368" t="s">
        <v>835</v>
      </c>
      <c r="AL3" s="368" t="s">
        <v>836</v>
      </c>
      <c r="AM3" s="395"/>
      <c r="AN3"/>
      <c r="AR3" s="639" t="s">
        <v>837</v>
      </c>
      <c r="AS3" s="639"/>
      <c r="AT3" s="639"/>
      <c r="AU3" s="500"/>
      <c r="AV3" s="500"/>
      <c r="AW3" s="640" t="s">
        <v>838</v>
      </c>
      <c r="AX3" s="640"/>
      <c r="AY3" s="640"/>
      <c r="AZ3" s="510"/>
      <c r="BA3" s="510"/>
    </row>
    <row r="4" spans="1:53" ht="46.8" x14ac:dyDescent="0.35">
      <c r="A4" s="60" t="s">
        <v>839</v>
      </c>
      <c r="B4" s="60" t="s">
        <v>840</v>
      </c>
      <c r="C4" s="60" t="s">
        <v>841</v>
      </c>
      <c r="D4" s="483" t="s">
        <v>842</v>
      </c>
      <c r="E4" s="60" t="s">
        <v>843</v>
      </c>
      <c r="F4" s="60" t="s">
        <v>844</v>
      </c>
      <c r="G4" s="60" t="s">
        <v>845</v>
      </c>
      <c r="H4" s="60" t="s">
        <v>846</v>
      </c>
      <c r="I4" s="60" t="s">
        <v>847</v>
      </c>
      <c r="J4" s="60" t="s">
        <v>848</v>
      </c>
      <c r="K4" s="60" t="s">
        <v>849</v>
      </c>
      <c r="L4" s="60" t="s">
        <v>850</v>
      </c>
      <c r="M4" s="426" t="s">
        <v>851</v>
      </c>
      <c r="N4" s="424" t="s">
        <v>852</v>
      </c>
      <c r="O4" s="426" t="s">
        <v>853</v>
      </c>
      <c r="P4" s="424" t="s">
        <v>854</v>
      </c>
      <c r="Q4" s="426" t="s">
        <v>855</v>
      </c>
      <c r="R4" s="424" t="s">
        <v>856</v>
      </c>
      <c r="S4" s="426" t="s">
        <v>857</v>
      </c>
      <c r="T4" s="424" t="s">
        <v>858</v>
      </c>
      <c r="U4" s="424" t="s">
        <v>859</v>
      </c>
      <c r="V4" s="489" t="s">
        <v>860</v>
      </c>
      <c r="W4" s="490" t="s">
        <v>861</v>
      </c>
      <c r="X4" s="491" t="s">
        <v>862</v>
      </c>
      <c r="Y4" s="490" t="s">
        <v>863</v>
      </c>
      <c r="Z4" s="491" t="s">
        <v>864</v>
      </c>
      <c r="AA4" s="490" t="s">
        <v>865</v>
      </c>
      <c r="AB4" s="491" t="s">
        <v>866</v>
      </c>
      <c r="AC4" s="490" t="s">
        <v>867</v>
      </c>
      <c r="AD4" s="491" t="s">
        <v>868</v>
      </c>
      <c r="AE4" s="490" t="s">
        <v>869</v>
      </c>
      <c r="AF4" s="491" t="s">
        <v>870</v>
      </c>
      <c r="AG4" s="60" t="s">
        <v>871</v>
      </c>
      <c r="AH4" s="493" t="s">
        <v>872</v>
      </c>
      <c r="AI4" s="493" t="s">
        <v>873</v>
      </c>
      <c r="AJ4" s="493" t="s">
        <v>874</v>
      </c>
      <c r="AK4" s="494" t="s">
        <v>875</v>
      </c>
      <c r="AL4" s="494" t="s">
        <v>876</v>
      </c>
      <c r="AM4" s="495"/>
      <c r="AN4" s="496" t="s">
        <v>856</v>
      </c>
      <c r="AR4" s="501" t="s">
        <v>774</v>
      </c>
      <c r="AS4" s="502" t="s">
        <v>775</v>
      </c>
      <c r="AT4" s="502" t="s">
        <v>877</v>
      </c>
      <c r="AU4" s="502" t="s">
        <v>878</v>
      </c>
      <c r="AV4" s="503" t="s">
        <v>879</v>
      </c>
      <c r="AW4" s="501" t="s">
        <v>774</v>
      </c>
      <c r="AX4" s="502" t="s">
        <v>775</v>
      </c>
      <c r="AY4" s="502" t="s">
        <v>877</v>
      </c>
      <c r="AZ4" s="502" t="s">
        <v>878</v>
      </c>
      <c r="BA4" s="503" t="s">
        <v>879</v>
      </c>
    </row>
    <row r="5" spans="1:53" ht="16.2" x14ac:dyDescent="0.35">
      <c r="A5" s="1">
        <v>0</v>
      </c>
      <c r="B5" s="1">
        <v>0</v>
      </c>
      <c r="C5" s="58"/>
      <c r="D5" s="58"/>
      <c r="E5" s="58" t="s">
        <v>377</v>
      </c>
      <c r="G5" s="1">
        <v>1</v>
      </c>
      <c r="I5" s="96" t="s">
        <v>880</v>
      </c>
      <c r="J5" s="96" t="s">
        <v>881</v>
      </c>
      <c r="K5" s="96">
        <v>3</v>
      </c>
      <c r="L5" s="96">
        <v>1</v>
      </c>
      <c r="M5" s="1">
        <v>0</v>
      </c>
      <c r="N5" s="486">
        <v>3</v>
      </c>
      <c r="O5" s="486">
        <f>'全局参数|GlobalPar'!L15</f>
        <v>0</v>
      </c>
      <c r="P5" s="1">
        <v>0</v>
      </c>
      <c r="Q5" s="1">
        <v>1</v>
      </c>
      <c r="R5" s="1">
        <v>0</v>
      </c>
      <c r="S5" s="1">
        <v>40</v>
      </c>
      <c r="T5" s="6" t="s">
        <v>882</v>
      </c>
      <c r="U5" s="6">
        <f>'鱼属性|FishAttribute'!GL5</f>
        <v>1</v>
      </c>
      <c r="V5" s="1">
        <v>0</v>
      </c>
      <c r="X5" s="39"/>
      <c r="AG5" s="92">
        <v>500000</v>
      </c>
      <c r="AH5" s="1">
        <v>0</v>
      </c>
      <c r="AI5" s="143">
        <f>AJ5*1.5</f>
        <v>1.44</v>
      </c>
      <c r="AJ5" s="497">
        <v>0.96</v>
      </c>
      <c r="AK5" s="498">
        <v>999999999</v>
      </c>
      <c r="AL5" s="1" t="s">
        <v>883</v>
      </c>
      <c r="AM5" s="1">
        <v>6.4999999999999997E-3</v>
      </c>
      <c r="AN5" s="1">
        <v>0</v>
      </c>
      <c r="AO5" s="1" t="s">
        <v>884</v>
      </c>
      <c r="AR5" s="504">
        <v>10000</v>
      </c>
      <c r="AS5" s="505">
        <v>20000</v>
      </c>
      <c r="AT5" s="505">
        <f>(AR5+AS5)/2</f>
        <v>15000</v>
      </c>
      <c r="AU5" s="505">
        <v>12</v>
      </c>
      <c r="AV5" s="506">
        <f>24/AU5*AT5</f>
        <v>30000</v>
      </c>
      <c r="AW5" s="24">
        <v>1</v>
      </c>
      <c r="AX5" s="511">
        <v>1</v>
      </c>
      <c r="AY5" s="235">
        <f>(AW5+AX5)/2</f>
        <v>1</v>
      </c>
      <c r="AZ5" s="505">
        <v>12</v>
      </c>
      <c r="BA5" s="506">
        <f>24/AZ5*AY5</f>
        <v>2</v>
      </c>
    </row>
    <row r="6" spans="1:53" ht="16.2" x14ac:dyDescent="0.35">
      <c r="A6" s="1">
        <v>1</v>
      </c>
      <c r="B6" s="1">
        <v>6</v>
      </c>
      <c r="C6" s="58" t="s">
        <v>2084</v>
      </c>
      <c r="D6" s="58" t="s">
        <v>885</v>
      </c>
      <c r="E6" s="58" t="s">
        <v>518</v>
      </c>
      <c r="F6" s="58"/>
      <c r="G6" s="58" t="s">
        <v>258</v>
      </c>
      <c r="H6" s="58" t="s">
        <v>886</v>
      </c>
      <c r="I6" s="96" t="s">
        <v>887</v>
      </c>
      <c r="J6" s="96" t="s">
        <v>888</v>
      </c>
      <c r="K6" s="96">
        <v>5</v>
      </c>
      <c r="L6" s="96">
        <v>2</v>
      </c>
      <c r="M6" s="1">
        <v>0</v>
      </c>
      <c r="N6" s="486">
        <v>4</v>
      </c>
      <c r="O6" s="486">
        <f>'全局参数|GlobalPar'!L16</f>
        <v>0</v>
      </c>
      <c r="P6" s="1">
        <v>0</v>
      </c>
      <c r="Q6" s="1">
        <v>1</v>
      </c>
      <c r="R6" s="1">
        <v>0</v>
      </c>
      <c r="S6" s="1">
        <v>50</v>
      </c>
      <c r="T6" s="6" t="s">
        <v>882</v>
      </c>
      <c r="U6" s="6">
        <f>'鱼属性|FishAttribute'!GL6</f>
        <v>2</v>
      </c>
      <c r="V6" s="1">
        <v>0</v>
      </c>
      <c r="X6" s="39"/>
      <c r="AG6" s="92">
        <v>1000000</v>
      </c>
      <c r="AH6" s="1">
        <v>0</v>
      </c>
      <c r="AI6" s="143">
        <f>AJ6*1.5</f>
        <v>1.44</v>
      </c>
      <c r="AJ6" s="497">
        <f>AJ5</f>
        <v>0.96</v>
      </c>
      <c r="AK6" s="498">
        <v>999999999</v>
      </c>
      <c r="AL6" s="1" t="s">
        <v>883</v>
      </c>
      <c r="AM6" s="1">
        <v>6.0000000000000001E-3</v>
      </c>
      <c r="AN6" s="1">
        <v>0</v>
      </c>
      <c r="AO6" s="1" t="s">
        <v>889</v>
      </c>
      <c r="AR6" s="504">
        <v>20000</v>
      </c>
      <c r="AS6" s="505">
        <v>40000</v>
      </c>
      <c r="AT6" s="505">
        <f t="shared" ref="AT6:AT15" si="0">(AR6+AS6)/2</f>
        <v>30000</v>
      </c>
      <c r="AU6" s="505">
        <v>12</v>
      </c>
      <c r="AV6" s="506">
        <f t="shared" ref="AV6:AV15" si="1">24/AU6*AT6</f>
        <v>60000</v>
      </c>
      <c r="AW6" s="24">
        <v>1</v>
      </c>
      <c r="AX6" s="511">
        <v>2</v>
      </c>
      <c r="AY6" s="235">
        <f t="shared" ref="AY6:AY15" si="2">(AW6+AX6)/2</f>
        <v>1.5</v>
      </c>
      <c r="AZ6" s="505">
        <v>12</v>
      </c>
      <c r="BA6" s="506">
        <f t="shared" ref="BA6:BA15" si="3">24/AZ6*AY6</f>
        <v>3</v>
      </c>
    </row>
    <row r="7" spans="1:53" ht="16.2" x14ac:dyDescent="0.35">
      <c r="A7" s="1">
        <v>2</v>
      </c>
      <c r="B7" s="1">
        <v>200</v>
      </c>
      <c r="C7" s="58" t="s">
        <v>2085</v>
      </c>
      <c r="D7" s="58" t="s">
        <v>890</v>
      </c>
      <c r="E7" s="58" t="s">
        <v>346</v>
      </c>
      <c r="F7" s="58"/>
      <c r="G7" s="58" t="s">
        <v>403</v>
      </c>
      <c r="H7" s="58" t="s">
        <v>891</v>
      </c>
      <c r="I7" s="96" t="s">
        <v>887</v>
      </c>
      <c r="J7" s="96" t="s">
        <v>888</v>
      </c>
      <c r="K7" s="96">
        <v>10</v>
      </c>
      <c r="L7" s="96">
        <v>5</v>
      </c>
      <c r="M7" s="1">
        <v>0</v>
      </c>
      <c r="N7" s="486">
        <v>4</v>
      </c>
      <c r="O7" s="486">
        <f>'全局参数|GlobalPar'!L17</f>
        <v>2000</v>
      </c>
      <c r="P7" s="1">
        <v>1</v>
      </c>
      <c r="Q7" s="1">
        <v>1</v>
      </c>
      <c r="R7" s="1">
        <v>0</v>
      </c>
      <c r="S7" s="1">
        <v>50</v>
      </c>
      <c r="T7" s="6" t="s">
        <v>892</v>
      </c>
      <c r="U7" s="6">
        <f>'鱼属性|FishAttribute'!GL7</f>
        <v>4</v>
      </c>
      <c r="V7" s="1">
        <v>0</v>
      </c>
      <c r="X7" s="39"/>
      <c r="AG7" s="92">
        <v>2000000</v>
      </c>
      <c r="AH7" s="1">
        <v>0</v>
      </c>
      <c r="AI7" s="143">
        <f t="shared" ref="AI7:AI15" si="4">AJ7*1.5</f>
        <v>1.44</v>
      </c>
      <c r="AJ7" s="497">
        <f t="shared" ref="AJ7:AJ15" si="5">AJ6</f>
        <v>0.96</v>
      </c>
      <c r="AK7" s="498">
        <v>999999999</v>
      </c>
      <c r="AL7" s="1" t="s">
        <v>883</v>
      </c>
      <c r="AM7" s="1">
        <v>5.4999999999999997E-3</v>
      </c>
      <c r="AN7" s="1">
        <v>0</v>
      </c>
      <c r="AO7" s="1" t="s">
        <v>893</v>
      </c>
      <c r="AR7" s="504">
        <v>20000</v>
      </c>
      <c r="AS7" s="505">
        <v>40000</v>
      </c>
      <c r="AT7" s="505">
        <f t="shared" si="0"/>
        <v>30000</v>
      </c>
      <c r="AU7" s="505">
        <v>12</v>
      </c>
      <c r="AV7" s="506">
        <f t="shared" si="1"/>
        <v>60000</v>
      </c>
      <c r="AW7" s="24">
        <v>1</v>
      </c>
      <c r="AX7" s="511">
        <v>2</v>
      </c>
      <c r="AY7" s="235">
        <f t="shared" si="2"/>
        <v>1.5</v>
      </c>
      <c r="AZ7" s="505">
        <v>12</v>
      </c>
      <c r="BA7" s="506">
        <f t="shared" si="3"/>
        <v>3</v>
      </c>
    </row>
    <row r="8" spans="1:53" ht="16.2" x14ac:dyDescent="0.35">
      <c r="A8" s="1">
        <v>3</v>
      </c>
      <c r="B8" s="1">
        <v>500</v>
      </c>
      <c r="C8" s="58" t="s">
        <v>2086</v>
      </c>
      <c r="D8" s="58" t="s">
        <v>894</v>
      </c>
      <c r="E8" s="58" t="s">
        <v>521</v>
      </c>
      <c r="F8" s="58"/>
      <c r="G8" s="58" t="s">
        <v>403</v>
      </c>
      <c r="H8" s="58" t="s">
        <v>895</v>
      </c>
      <c r="I8" s="96" t="s">
        <v>887</v>
      </c>
      <c r="J8" s="96" t="s">
        <v>888</v>
      </c>
      <c r="K8" s="96">
        <v>20</v>
      </c>
      <c r="L8" s="96">
        <v>10</v>
      </c>
      <c r="M8" s="1">
        <v>0</v>
      </c>
      <c r="N8" s="486">
        <v>4</v>
      </c>
      <c r="O8" s="486">
        <f>'全局参数|GlobalPar'!L18</f>
        <v>3000</v>
      </c>
      <c r="P8" s="1">
        <v>1</v>
      </c>
      <c r="Q8" s="1">
        <v>1</v>
      </c>
      <c r="R8" s="1">
        <v>0</v>
      </c>
      <c r="S8" s="1">
        <v>60</v>
      </c>
      <c r="T8" s="6" t="s">
        <v>892</v>
      </c>
      <c r="U8" s="6">
        <f>'鱼属性|FishAttribute'!GL8</f>
        <v>6</v>
      </c>
      <c r="V8" s="1">
        <v>0</v>
      </c>
      <c r="W8" s="1" t="s">
        <v>561</v>
      </c>
      <c r="X8" s="492" t="s">
        <v>896</v>
      </c>
      <c r="Y8" s="1" t="s">
        <v>897</v>
      </c>
      <c r="Z8" s="492" t="s">
        <v>898</v>
      </c>
      <c r="AG8" s="92">
        <v>3000000</v>
      </c>
      <c r="AH8" s="1">
        <v>0</v>
      </c>
      <c r="AI8" s="143">
        <f t="shared" si="4"/>
        <v>1.44</v>
      </c>
      <c r="AJ8" s="497">
        <f t="shared" si="5"/>
        <v>0.96</v>
      </c>
      <c r="AK8" s="498">
        <v>999999999</v>
      </c>
      <c r="AL8" s="1" t="s">
        <v>883</v>
      </c>
      <c r="AM8" s="1">
        <v>5.0000000000000001E-3</v>
      </c>
      <c r="AN8" s="1">
        <v>0</v>
      </c>
      <c r="AO8" s="1" t="s">
        <v>899</v>
      </c>
      <c r="AR8" s="504">
        <v>20000</v>
      </c>
      <c r="AS8" s="505">
        <v>40000</v>
      </c>
      <c r="AT8" s="505">
        <f t="shared" si="0"/>
        <v>30000</v>
      </c>
      <c r="AU8" s="505">
        <v>12</v>
      </c>
      <c r="AV8" s="506">
        <f t="shared" si="1"/>
        <v>60000</v>
      </c>
      <c r="AW8" s="24">
        <v>1</v>
      </c>
      <c r="AX8" s="511">
        <v>2</v>
      </c>
      <c r="AY8" s="235">
        <f t="shared" si="2"/>
        <v>1.5</v>
      </c>
      <c r="AZ8" s="505">
        <v>12</v>
      </c>
      <c r="BA8" s="506">
        <f t="shared" si="3"/>
        <v>3</v>
      </c>
    </row>
    <row r="9" spans="1:53" ht="16.2" x14ac:dyDescent="0.35">
      <c r="A9" s="1">
        <v>4</v>
      </c>
      <c r="B9" s="1">
        <v>1000</v>
      </c>
      <c r="C9" s="58" t="s">
        <v>2087</v>
      </c>
      <c r="D9" s="58" t="s">
        <v>890</v>
      </c>
      <c r="E9" s="58" t="s">
        <v>248</v>
      </c>
      <c r="F9" s="58"/>
      <c r="G9" s="58" t="s">
        <v>248</v>
      </c>
      <c r="H9" s="58" t="s">
        <v>900</v>
      </c>
      <c r="I9" s="96" t="s">
        <v>887</v>
      </c>
      <c r="J9" s="96" t="s">
        <v>888</v>
      </c>
      <c r="K9" s="96">
        <v>30</v>
      </c>
      <c r="L9" s="96">
        <v>15</v>
      </c>
      <c r="M9" s="1">
        <v>0</v>
      </c>
      <c r="N9" s="486">
        <v>4</v>
      </c>
      <c r="O9" s="486">
        <f>'全局参数|GlobalPar'!L19</f>
        <v>4000</v>
      </c>
      <c r="P9" s="1">
        <v>1</v>
      </c>
      <c r="Q9" s="1">
        <v>1</v>
      </c>
      <c r="R9" s="1">
        <v>0</v>
      </c>
      <c r="S9" s="1">
        <v>60</v>
      </c>
      <c r="T9" s="6" t="s">
        <v>901</v>
      </c>
      <c r="U9" s="6">
        <f>'鱼属性|FishAttribute'!GL9</f>
        <v>8</v>
      </c>
      <c r="V9" s="1">
        <v>0</v>
      </c>
      <c r="W9" s="1" t="s">
        <v>561</v>
      </c>
      <c r="X9" s="492" t="s">
        <v>902</v>
      </c>
      <c r="Y9" s="1" t="s">
        <v>897</v>
      </c>
      <c r="Z9" s="492" t="s">
        <v>903</v>
      </c>
      <c r="AG9" s="92">
        <v>5000000</v>
      </c>
      <c r="AH9" s="1">
        <v>0</v>
      </c>
      <c r="AI9" s="143">
        <f t="shared" si="4"/>
        <v>1.44</v>
      </c>
      <c r="AJ9" s="497">
        <f t="shared" si="5"/>
        <v>0.96</v>
      </c>
      <c r="AK9" s="498">
        <v>999999999</v>
      </c>
      <c r="AL9" s="1" t="s">
        <v>883</v>
      </c>
      <c r="AM9" s="1">
        <v>4.4999999999999997E-3</v>
      </c>
      <c r="AN9" s="1">
        <v>5</v>
      </c>
      <c r="AO9" s="1" t="s">
        <v>904</v>
      </c>
      <c r="AR9" s="504">
        <v>20000</v>
      </c>
      <c r="AS9" s="505">
        <v>40000</v>
      </c>
      <c r="AT9" s="505">
        <f t="shared" si="0"/>
        <v>30000</v>
      </c>
      <c r="AU9" s="505">
        <v>12</v>
      </c>
      <c r="AV9" s="506">
        <f t="shared" si="1"/>
        <v>60000</v>
      </c>
      <c r="AW9" s="24">
        <v>1</v>
      </c>
      <c r="AX9" s="511">
        <v>2</v>
      </c>
      <c r="AY9" s="235">
        <f t="shared" si="2"/>
        <v>1.5</v>
      </c>
      <c r="AZ9" s="505">
        <v>12</v>
      </c>
      <c r="BA9" s="506">
        <f t="shared" si="3"/>
        <v>3</v>
      </c>
    </row>
    <row r="10" spans="1:53" ht="16.2" x14ac:dyDescent="0.35">
      <c r="A10" s="1">
        <v>5</v>
      </c>
      <c r="B10" s="1">
        <v>2000</v>
      </c>
      <c r="C10" s="58" t="s">
        <v>2088</v>
      </c>
      <c r="D10" s="58" t="s">
        <v>894</v>
      </c>
      <c r="E10" s="58" t="s">
        <v>403</v>
      </c>
      <c r="F10" s="58"/>
      <c r="G10" s="58" t="s">
        <v>248</v>
      </c>
      <c r="H10" s="58" t="s">
        <v>905</v>
      </c>
      <c r="I10" s="96" t="s">
        <v>906</v>
      </c>
      <c r="J10" s="96" t="s">
        <v>907</v>
      </c>
      <c r="K10" s="96">
        <v>40</v>
      </c>
      <c r="L10" s="96">
        <v>20</v>
      </c>
      <c r="M10" s="1">
        <v>0</v>
      </c>
      <c r="N10" s="486">
        <v>5</v>
      </c>
      <c r="O10" s="486">
        <f>'全局参数|GlobalPar'!L20</f>
        <v>5000</v>
      </c>
      <c r="P10" s="1">
        <v>1</v>
      </c>
      <c r="Q10" s="1">
        <v>2</v>
      </c>
      <c r="R10" s="1">
        <v>0</v>
      </c>
      <c r="S10" s="1">
        <v>70</v>
      </c>
      <c r="T10" s="6" t="s">
        <v>901</v>
      </c>
      <c r="U10" s="6">
        <f>'鱼属性|FishAttribute'!GL10</f>
        <v>10</v>
      </c>
      <c r="V10" s="1">
        <v>0</v>
      </c>
      <c r="W10" s="1" t="s">
        <v>561</v>
      </c>
      <c r="X10" s="492" t="s">
        <v>908</v>
      </c>
      <c r="Y10" s="1" t="s">
        <v>897</v>
      </c>
      <c r="Z10" s="492" t="s">
        <v>902</v>
      </c>
      <c r="AG10" s="92">
        <v>8000000</v>
      </c>
      <c r="AH10" s="1">
        <v>0</v>
      </c>
      <c r="AI10" s="143">
        <f t="shared" si="4"/>
        <v>1.44</v>
      </c>
      <c r="AJ10" s="497">
        <f t="shared" si="5"/>
        <v>0.96</v>
      </c>
      <c r="AK10" s="498">
        <v>999999999</v>
      </c>
      <c r="AL10" s="1" t="s">
        <v>883</v>
      </c>
      <c r="AM10" s="1">
        <v>4.0000000000000001E-3</v>
      </c>
      <c r="AN10" s="1">
        <v>5</v>
      </c>
      <c r="AO10" s="1" t="s">
        <v>909</v>
      </c>
      <c r="AR10" s="504">
        <v>40000</v>
      </c>
      <c r="AS10" s="505">
        <v>80000</v>
      </c>
      <c r="AT10" s="505">
        <f t="shared" si="0"/>
        <v>60000</v>
      </c>
      <c r="AU10" s="505">
        <v>12</v>
      </c>
      <c r="AV10" s="506">
        <f t="shared" si="1"/>
        <v>120000</v>
      </c>
      <c r="AW10" s="24">
        <v>2</v>
      </c>
      <c r="AX10" s="511">
        <v>4</v>
      </c>
      <c r="AY10" s="235">
        <f t="shared" si="2"/>
        <v>3</v>
      </c>
      <c r="AZ10" s="505">
        <v>12</v>
      </c>
      <c r="BA10" s="506">
        <f t="shared" si="3"/>
        <v>6</v>
      </c>
    </row>
    <row r="11" spans="1:53" ht="16.2" x14ac:dyDescent="0.35">
      <c r="A11" s="1">
        <v>6</v>
      </c>
      <c r="B11" s="1">
        <v>5000</v>
      </c>
      <c r="C11" s="58" t="s">
        <v>2089</v>
      </c>
      <c r="D11" s="58" t="s">
        <v>910</v>
      </c>
      <c r="E11" s="58" t="s">
        <v>258</v>
      </c>
      <c r="F11" s="58"/>
      <c r="G11" s="58" t="s">
        <v>521</v>
      </c>
      <c r="H11" s="58" t="s">
        <v>911</v>
      </c>
      <c r="I11" s="96" t="s">
        <v>906</v>
      </c>
      <c r="J11" s="96" t="s">
        <v>907</v>
      </c>
      <c r="K11" s="96">
        <v>50</v>
      </c>
      <c r="L11" s="96">
        <v>25</v>
      </c>
      <c r="M11" s="1">
        <v>0</v>
      </c>
      <c r="N11" s="486">
        <v>5</v>
      </c>
      <c r="O11" s="486">
        <f>'全局参数|GlobalPar'!L21</f>
        <v>6000</v>
      </c>
      <c r="P11" s="1">
        <v>1</v>
      </c>
      <c r="Q11" s="1">
        <v>2</v>
      </c>
      <c r="R11" s="1">
        <v>0</v>
      </c>
      <c r="S11" s="42">
        <v>80</v>
      </c>
      <c r="T11" s="6" t="s">
        <v>912</v>
      </c>
      <c r="U11" s="6">
        <f>'鱼属性|FishAttribute'!GL11</f>
        <v>12</v>
      </c>
      <c r="V11" s="1">
        <v>3</v>
      </c>
      <c r="W11" s="1" t="s">
        <v>561</v>
      </c>
      <c r="X11" s="492" t="s">
        <v>913</v>
      </c>
      <c r="Y11" s="1" t="s">
        <v>897</v>
      </c>
      <c r="Z11" s="492" t="s">
        <v>914</v>
      </c>
      <c r="AG11" s="92">
        <v>10000000</v>
      </c>
      <c r="AH11" s="1">
        <v>0</v>
      </c>
      <c r="AI11" s="143">
        <f t="shared" si="4"/>
        <v>1.44</v>
      </c>
      <c r="AJ11" s="497">
        <f t="shared" si="5"/>
        <v>0.96</v>
      </c>
      <c r="AK11" s="498">
        <v>999999999</v>
      </c>
      <c r="AL11" s="1" t="s">
        <v>883</v>
      </c>
      <c r="AM11" s="1">
        <v>3.5000000000000001E-3</v>
      </c>
      <c r="AN11" s="1">
        <v>10</v>
      </c>
      <c r="AO11" s="1" t="s">
        <v>915</v>
      </c>
      <c r="AR11" s="504">
        <v>40000</v>
      </c>
      <c r="AS11" s="505">
        <v>80000</v>
      </c>
      <c r="AT11" s="505">
        <f t="shared" si="0"/>
        <v>60000</v>
      </c>
      <c r="AU11" s="505">
        <v>12</v>
      </c>
      <c r="AV11" s="506">
        <f t="shared" si="1"/>
        <v>120000</v>
      </c>
      <c r="AW11" s="24">
        <v>2</v>
      </c>
      <c r="AX11" s="511">
        <v>4</v>
      </c>
      <c r="AY11" s="235">
        <f t="shared" si="2"/>
        <v>3</v>
      </c>
      <c r="AZ11" s="505">
        <v>12</v>
      </c>
      <c r="BA11" s="506">
        <f t="shared" si="3"/>
        <v>6</v>
      </c>
    </row>
    <row r="12" spans="1:53" ht="16.2" x14ac:dyDescent="0.35">
      <c r="A12" s="1">
        <v>7</v>
      </c>
      <c r="B12" s="1">
        <v>10000</v>
      </c>
      <c r="C12" s="58" t="s">
        <v>2090</v>
      </c>
      <c r="D12" s="58" t="s">
        <v>916</v>
      </c>
      <c r="E12" s="58" t="s">
        <v>164</v>
      </c>
      <c r="F12" s="58"/>
      <c r="G12" s="58" t="s">
        <v>521</v>
      </c>
      <c r="H12" s="58" t="s">
        <v>917</v>
      </c>
      <c r="I12" s="96" t="s">
        <v>906</v>
      </c>
      <c r="J12" s="96" t="s">
        <v>907</v>
      </c>
      <c r="K12" s="96">
        <v>60</v>
      </c>
      <c r="L12" s="96">
        <v>30</v>
      </c>
      <c r="M12" s="486">
        <v>5000000</v>
      </c>
      <c r="N12" s="486">
        <v>5</v>
      </c>
      <c r="O12" s="486">
        <f>'全局参数|GlobalPar'!L22</f>
        <v>7000</v>
      </c>
      <c r="P12" s="1">
        <v>1</v>
      </c>
      <c r="Q12" s="1">
        <v>3</v>
      </c>
      <c r="R12" s="1">
        <v>5</v>
      </c>
      <c r="S12" s="1">
        <v>80</v>
      </c>
      <c r="T12" s="6" t="s">
        <v>918</v>
      </c>
      <c r="U12" s="6">
        <f>'鱼属性|FishAttribute'!GL12</f>
        <v>15</v>
      </c>
      <c r="V12" s="1">
        <v>5</v>
      </c>
      <c r="W12" s="1" t="s">
        <v>919</v>
      </c>
      <c r="X12" s="492" t="s">
        <v>903</v>
      </c>
      <c r="Y12" s="1" t="s">
        <v>920</v>
      </c>
      <c r="Z12" s="492" t="s">
        <v>921</v>
      </c>
      <c r="AA12" s="1" t="s">
        <v>922</v>
      </c>
      <c r="AB12" s="492" t="s">
        <v>913</v>
      </c>
      <c r="AG12" s="92">
        <v>12000000</v>
      </c>
      <c r="AH12" s="1">
        <v>0</v>
      </c>
      <c r="AI12" s="143">
        <f t="shared" si="4"/>
        <v>1.44</v>
      </c>
      <c r="AJ12" s="497">
        <f t="shared" si="5"/>
        <v>0.96</v>
      </c>
      <c r="AK12" s="498">
        <v>999999999</v>
      </c>
      <c r="AL12" s="1" t="s">
        <v>883</v>
      </c>
      <c r="AM12" s="1">
        <v>3.0000000000000001E-3</v>
      </c>
      <c r="AN12" s="1">
        <v>10</v>
      </c>
      <c r="AO12" s="1" t="s">
        <v>923</v>
      </c>
      <c r="AR12" s="504">
        <v>40000</v>
      </c>
      <c r="AS12" s="505">
        <v>80000</v>
      </c>
      <c r="AT12" s="505">
        <f t="shared" si="0"/>
        <v>60000</v>
      </c>
      <c r="AU12" s="505">
        <v>12</v>
      </c>
      <c r="AV12" s="506">
        <f t="shared" si="1"/>
        <v>120000</v>
      </c>
      <c r="AW12" s="24">
        <v>2</v>
      </c>
      <c r="AX12" s="511">
        <v>4</v>
      </c>
      <c r="AY12" s="235">
        <f t="shared" si="2"/>
        <v>3</v>
      </c>
      <c r="AZ12" s="505">
        <v>12</v>
      </c>
      <c r="BA12" s="506">
        <f t="shared" si="3"/>
        <v>6</v>
      </c>
    </row>
    <row r="13" spans="1:53" ht="16.2" x14ac:dyDescent="0.35">
      <c r="A13" s="1">
        <v>8</v>
      </c>
      <c r="B13" s="42">
        <v>20000</v>
      </c>
      <c r="C13" s="58" t="s">
        <v>2091</v>
      </c>
      <c r="D13" s="58" t="s">
        <v>924</v>
      </c>
      <c r="E13" s="58" t="s">
        <v>164</v>
      </c>
      <c r="F13" s="58"/>
      <c r="G13" s="58" t="s">
        <v>346</v>
      </c>
      <c r="H13" s="58" t="s">
        <v>925</v>
      </c>
      <c r="I13" s="96" t="s">
        <v>906</v>
      </c>
      <c r="J13" s="96" t="s">
        <v>907</v>
      </c>
      <c r="K13" s="96">
        <v>70</v>
      </c>
      <c r="L13" s="96">
        <v>35</v>
      </c>
      <c r="M13" s="486">
        <v>10000000</v>
      </c>
      <c r="N13" s="486">
        <v>5</v>
      </c>
      <c r="O13" s="486">
        <f>'全局参数|GlobalPar'!L23</f>
        <v>8000</v>
      </c>
      <c r="P13" s="1">
        <v>1</v>
      </c>
      <c r="Q13" s="1">
        <v>3</v>
      </c>
      <c r="R13" s="1">
        <v>6</v>
      </c>
      <c r="S13" s="1">
        <v>90</v>
      </c>
      <c r="T13" s="6" t="s">
        <v>926</v>
      </c>
      <c r="U13" s="6">
        <f>'鱼属性|FishAttribute'!GL13</f>
        <v>20</v>
      </c>
      <c r="V13" s="1">
        <v>7</v>
      </c>
      <c r="W13" s="1" t="s">
        <v>919</v>
      </c>
      <c r="X13" s="492" t="s">
        <v>927</v>
      </c>
      <c r="Y13" s="1" t="s">
        <v>920</v>
      </c>
      <c r="Z13" s="492" t="s">
        <v>903</v>
      </c>
      <c r="AA13" s="1" t="s">
        <v>922</v>
      </c>
      <c r="AB13" s="492" t="s">
        <v>921</v>
      </c>
      <c r="AC13" s="1" t="s">
        <v>928</v>
      </c>
      <c r="AD13" s="492" t="s">
        <v>913</v>
      </c>
      <c r="AG13" s="92">
        <v>15000000</v>
      </c>
      <c r="AH13" s="1">
        <v>0</v>
      </c>
      <c r="AI13" s="143">
        <f t="shared" si="4"/>
        <v>1.44</v>
      </c>
      <c r="AJ13" s="497">
        <f t="shared" si="5"/>
        <v>0.96</v>
      </c>
      <c r="AK13" s="498">
        <v>999999999</v>
      </c>
      <c r="AL13" s="1" t="s">
        <v>883</v>
      </c>
      <c r="AM13" s="1">
        <v>2.5000000000000001E-3</v>
      </c>
      <c r="AN13" s="1">
        <v>20</v>
      </c>
      <c r="AO13" s="1" t="s">
        <v>929</v>
      </c>
      <c r="AR13" s="504">
        <v>40000</v>
      </c>
      <c r="AS13" s="505">
        <v>80000</v>
      </c>
      <c r="AT13" s="505">
        <f t="shared" si="0"/>
        <v>60000</v>
      </c>
      <c r="AU13" s="505">
        <v>12</v>
      </c>
      <c r="AV13" s="506">
        <f t="shared" si="1"/>
        <v>120000</v>
      </c>
      <c r="AW13" s="24">
        <v>2</v>
      </c>
      <c r="AX13" s="511">
        <v>4</v>
      </c>
      <c r="AY13" s="235">
        <f t="shared" si="2"/>
        <v>3</v>
      </c>
      <c r="AZ13" s="505">
        <v>12</v>
      </c>
      <c r="BA13" s="506">
        <f t="shared" si="3"/>
        <v>6</v>
      </c>
    </row>
    <row r="14" spans="1:53" ht="16.2" x14ac:dyDescent="0.35">
      <c r="A14" s="1">
        <v>9</v>
      </c>
      <c r="B14" s="42">
        <v>50000</v>
      </c>
      <c r="C14" s="58" t="s">
        <v>2092</v>
      </c>
      <c r="D14" s="58" t="s">
        <v>930</v>
      </c>
      <c r="E14" s="58" t="s">
        <v>164</v>
      </c>
      <c r="F14" s="58"/>
      <c r="G14" s="58" t="s">
        <v>346</v>
      </c>
      <c r="H14" s="58" t="s">
        <v>931</v>
      </c>
      <c r="I14" s="96" t="s">
        <v>932</v>
      </c>
      <c r="J14" s="96" t="s">
        <v>933</v>
      </c>
      <c r="K14" s="96">
        <v>80</v>
      </c>
      <c r="L14" s="96">
        <v>40</v>
      </c>
      <c r="M14" s="486">
        <v>20000000</v>
      </c>
      <c r="N14" s="486">
        <v>5</v>
      </c>
      <c r="O14" s="486">
        <f>'全局参数|GlobalPar'!L24</f>
        <v>9000</v>
      </c>
      <c r="P14" s="1">
        <v>1</v>
      </c>
      <c r="Q14" s="1">
        <v>3</v>
      </c>
      <c r="R14" s="1">
        <v>8</v>
      </c>
      <c r="S14" s="1">
        <v>100</v>
      </c>
      <c r="T14" s="6" t="s">
        <v>934</v>
      </c>
      <c r="U14" s="6">
        <f>'鱼属性|FishAttribute'!GL14</f>
        <v>25</v>
      </c>
      <c r="V14" s="1">
        <v>10</v>
      </c>
      <c r="W14" s="1" t="s">
        <v>919</v>
      </c>
      <c r="X14" s="492" t="s">
        <v>935</v>
      </c>
      <c r="Y14" s="1" t="s">
        <v>920</v>
      </c>
      <c r="Z14" s="492" t="s">
        <v>927</v>
      </c>
      <c r="AA14" s="1" t="s">
        <v>922</v>
      </c>
      <c r="AB14" s="492" t="s">
        <v>903</v>
      </c>
      <c r="AC14" s="1" t="s">
        <v>928</v>
      </c>
      <c r="AD14" s="492" t="s">
        <v>921</v>
      </c>
      <c r="AE14" s="1" t="s">
        <v>936</v>
      </c>
      <c r="AF14" s="492" t="s">
        <v>913</v>
      </c>
      <c r="AG14" s="92">
        <v>30000000</v>
      </c>
      <c r="AH14" s="1">
        <v>0</v>
      </c>
      <c r="AI14" s="143">
        <f t="shared" si="4"/>
        <v>1.44</v>
      </c>
      <c r="AJ14" s="497">
        <f t="shared" si="5"/>
        <v>0.96</v>
      </c>
      <c r="AK14" s="498">
        <v>999999999</v>
      </c>
      <c r="AL14" s="1" t="s">
        <v>883</v>
      </c>
      <c r="AM14" s="39"/>
      <c r="AN14" s="1">
        <v>20</v>
      </c>
      <c r="AO14" s="1" t="s">
        <v>937</v>
      </c>
      <c r="AR14" s="504">
        <v>80000</v>
      </c>
      <c r="AS14" s="505">
        <v>120000</v>
      </c>
      <c r="AT14" s="505">
        <f t="shared" si="0"/>
        <v>100000</v>
      </c>
      <c r="AU14" s="505">
        <v>12</v>
      </c>
      <c r="AV14" s="506">
        <f t="shared" si="1"/>
        <v>200000</v>
      </c>
      <c r="AW14" s="24">
        <v>4</v>
      </c>
      <c r="AX14" s="511">
        <v>6</v>
      </c>
      <c r="AY14" s="235">
        <f t="shared" si="2"/>
        <v>5</v>
      </c>
      <c r="AZ14" s="505">
        <v>12</v>
      </c>
      <c r="BA14" s="506">
        <f t="shared" si="3"/>
        <v>10</v>
      </c>
    </row>
    <row r="15" spans="1:53" ht="16.2" x14ac:dyDescent="0.35">
      <c r="A15" s="1">
        <v>10</v>
      </c>
      <c r="B15" s="42">
        <v>100000</v>
      </c>
      <c r="C15" s="58" t="s">
        <v>2093</v>
      </c>
      <c r="D15" s="58" t="s">
        <v>930</v>
      </c>
      <c r="E15" s="58" t="s">
        <v>164</v>
      </c>
      <c r="F15" s="58"/>
      <c r="G15" s="58" t="s">
        <v>346</v>
      </c>
      <c r="H15" s="58" t="s">
        <v>938</v>
      </c>
      <c r="I15" s="96" t="s">
        <v>932</v>
      </c>
      <c r="J15" s="96" t="s">
        <v>933</v>
      </c>
      <c r="K15" s="96">
        <v>100</v>
      </c>
      <c r="L15" s="96">
        <v>50</v>
      </c>
      <c r="M15" s="486">
        <v>30000000</v>
      </c>
      <c r="N15" s="486">
        <v>5</v>
      </c>
      <c r="O15" s="486">
        <f>'全局参数|GlobalPar'!L25</f>
        <v>11000</v>
      </c>
      <c r="P15" s="1">
        <v>1</v>
      </c>
      <c r="Q15" s="1">
        <v>3</v>
      </c>
      <c r="R15" s="1">
        <v>10</v>
      </c>
      <c r="S15" s="1">
        <v>120</v>
      </c>
      <c r="T15" s="6" t="s">
        <v>939</v>
      </c>
      <c r="U15" s="6">
        <f>'鱼属性|FishAttribute'!GL15</f>
        <v>30</v>
      </c>
      <c r="V15" s="1">
        <v>12</v>
      </c>
      <c r="W15" s="1" t="s">
        <v>919</v>
      </c>
      <c r="X15" s="492" t="s">
        <v>940</v>
      </c>
      <c r="Y15" s="1" t="s">
        <v>920</v>
      </c>
      <c r="Z15" s="492" t="s">
        <v>935</v>
      </c>
      <c r="AA15" s="1" t="s">
        <v>922</v>
      </c>
      <c r="AB15" s="492" t="s">
        <v>927</v>
      </c>
      <c r="AC15" s="1" t="s">
        <v>928</v>
      </c>
      <c r="AD15" s="492" t="s">
        <v>903</v>
      </c>
      <c r="AE15" s="1" t="s">
        <v>936</v>
      </c>
      <c r="AF15" s="492" t="s">
        <v>921</v>
      </c>
      <c r="AG15" s="61">
        <v>50000000</v>
      </c>
      <c r="AH15" s="1">
        <v>0</v>
      </c>
      <c r="AI15" s="143">
        <f t="shared" si="4"/>
        <v>1.44</v>
      </c>
      <c r="AJ15" s="497">
        <f t="shared" si="5"/>
        <v>0.96</v>
      </c>
      <c r="AK15" s="498">
        <v>999999999</v>
      </c>
      <c r="AL15" s="1" t="s">
        <v>883</v>
      </c>
      <c r="AR15" s="507">
        <v>80000</v>
      </c>
      <c r="AS15" s="508">
        <v>120000</v>
      </c>
      <c r="AT15" s="508">
        <f t="shared" si="0"/>
        <v>100000</v>
      </c>
      <c r="AU15" s="508">
        <v>12</v>
      </c>
      <c r="AV15" s="509">
        <f t="shared" si="1"/>
        <v>200000</v>
      </c>
      <c r="AW15" s="25">
        <v>4</v>
      </c>
      <c r="AX15" s="512">
        <v>6</v>
      </c>
      <c r="AY15" s="513">
        <f t="shared" si="2"/>
        <v>5</v>
      </c>
      <c r="AZ15" s="508">
        <v>12</v>
      </c>
      <c r="BA15" s="509">
        <f t="shared" si="3"/>
        <v>10</v>
      </c>
    </row>
  </sheetData>
  <mergeCells count="2">
    <mergeCell ref="AR3:AT3"/>
    <mergeCell ref="AW3:AY3"/>
  </mergeCells>
  <phoneticPr fontId="57" type="noConversion"/>
  <conditionalFormatting sqref="AK5">
    <cfRule type="containsText" dxfId="1596" priority="27" operator="containsText" text=" ">
      <formula>NOT(ISERROR(SEARCH(" ",AK5)))</formula>
    </cfRule>
  </conditionalFormatting>
  <conditionalFormatting sqref="AK6">
    <cfRule type="containsText" dxfId="1595" priority="28" operator="containsText" text=" ">
      <formula>NOT(ISERROR(SEARCH(" ",AK6)))</formula>
    </cfRule>
  </conditionalFormatting>
  <conditionalFormatting sqref="Y8">
    <cfRule type="containsText" dxfId="1594" priority="91" operator="containsText" text=" ">
      <formula>NOT(ISERROR(SEARCH(" ",Y8)))</formula>
    </cfRule>
  </conditionalFormatting>
  <conditionalFormatting sqref="Z8">
    <cfRule type="containsText" dxfId="1593" priority="15" operator="containsText" text=" ">
      <formula>NOT(ISERROR(SEARCH(" ",Z8)))</formula>
    </cfRule>
  </conditionalFormatting>
  <conditionalFormatting sqref="Y9">
    <cfRule type="containsText" dxfId="1592" priority="90" operator="containsText" text=" ">
      <formula>NOT(ISERROR(SEARCH(" ",Y9)))</formula>
    </cfRule>
  </conditionalFormatting>
  <conditionalFormatting sqref="Y10">
    <cfRule type="containsText" dxfId="1591" priority="89" operator="containsText" text=" ">
      <formula>NOT(ISERROR(SEARCH(" ",Y10)))</formula>
    </cfRule>
  </conditionalFormatting>
  <conditionalFormatting sqref="Y11">
    <cfRule type="containsText" dxfId="1590" priority="68" operator="containsText" text=" ">
      <formula>NOT(ISERROR(SEARCH(" ",Y11)))</formula>
    </cfRule>
  </conditionalFormatting>
  <conditionalFormatting sqref="Y12">
    <cfRule type="containsText" dxfId="1589" priority="76" operator="containsText" text=" ">
      <formula>NOT(ISERROR(SEARCH(" ",Y12)))</formula>
    </cfRule>
  </conditionalFormatting>
  <conditionalFormatting sqref="AA12">
    <cfRule type="containsText" dxfId="1588" priority="74" operator="containsText" text=" ">
      <formula>NOT(ISERROR(SEARCH(" ",AA12)))</formula>
    </cfRule>
  </conditionalFormatting>
  <conditionalFormatting sqref="AB12">
    <cfRule type="containsText" dxfId="1587" priority="12" operator="containsText" text=" ">
      <formula>NOT(ISERROR(SEARCH(" ",AB12)))</formula>
    </cfRule>
  </conditionalFormatting>
  <conditionalFormatting sqref="Y13">
    <cfRule type="containsText" dxfId="1586" priority="82" operator="containsText" text=" ">
      <formula>NOT(ISERROR(SEARCH(" ",Y13)))</formula>
    </cfRule>
  </conditionalFormatting>
  <conditionalFormatting sqref="AA13">
    <cfRule type="containsText" dxfId="1585" priority="80" operator="containsText" text=" ">
      <formula>NOT(ISERROR(SEARCH(" ",AA13)))</formula>
    </cfRule>
  </conditionalFormatting>
  <conditionalFormatting sqref="AC13">
    <cfRule type="containsText" dxfId="1584" priority="78" operator="containsText" text=" ">
      <formula>NOT(ISERROR(SEARCH(" ",AC13)))</formula>
    </cfRule>
  </conditionalFormatting>
  <conditionalFormatting sqref="AD13">
    <cfRule type="containsText" dxfId="1583" priority="10" operator="containsText" text=" ">
      <formula>NOT(ISERROR(SEARCH(" ",AD13)))</formula>
    </cfRule>
  </conditionalFormatting>
  <conditionalFormatting sqref="Y14">
    <cfRule type="containsText" dxfId="1582" priority="95" operator="containsText" text=" ">
      <formula>NOT(ISERROR(SEARCH(" ",Y14)))</formula>
    </cfRule>
  </conditionalFormatting>
  <conditionalFormatting sqref="AA14">
    <cfRule type="containsText" dxfId="1581" priority="88" operator="containsText" text=" ">
      <formula>NOT(ISERROR(SEARCH(" ",AA14)))</formula>
    </cfRule>
  </conditionalFormatting>
  <conditionalFormatting sqref="AC14">
    <cfRule type="containsText" dxfId="1580" priority="86" operator="containsText" text=" ">
      <formula>NOT(ISERROR(SEARCH(" ",AC14)))</formula>
    </cfRule>
  </conditionalFormatting>
  <conditionalFormatting sqref="AE14">
    <cfRule type="containsText" dxfId="1579" priority="84" operator="containsText" text=" ">
      <formula>NOT(ISERROR(SEARCH(" ",AE14)))</formula>
    </cfRule>
  </conditionalFormatting>
  <conditionalFormatting sqref="AF14">
    <cfRule type="containsText" dxfId="1578" priority="8" operator="containsText" text=" ">
      <formula>NOT(ISERROR(SEARCH(" ",AF14)))</formula>
    </cfRule>
  </conditionalFormatting>
  <conditionalFormatting sqref="AG14">
    <cfRule type="containsText" dxfId="1577" priority="83" operator="containsText" text=" ">
      <formula>NOT(ISERROR(SEARCH(" ",AG14)))</formula>
    </cfRule>
  </conditionalFormatting>
  <conditionalFormatting sqref="C15">
    <cfRule type="containsText" dxfId="1576" priority="26" operator="containsText" text=" ">
      <formula>NOT(ISERROR(SEARCH(" ",C15)))</formula>
    </cfRule>
  </conditionalFormatting>
  <conditionalFormatting sqref="D15">
    <cfRule type="containsText" dxfId="1575" priority="31" operator="containsText" text=" ">
      <formula>NOT(ISERROR(SEARCH(" ",D15)))</formula>
    </cfRule>
  </conditionalFormatting>
  <conditionalFormatting sqref="M15">
    <cfRule type="containsText" dxfId="1574" priority="30" operator="containsText" text=" ">
      <formula>NOT(ISERROR(SEARCH(" ",M15)))</formula>
    </cfRule>
  </conditionalFormatting>
  <conditionalFormatting sqref="X15">
    <cfRule type="containsText" dxfId="1573" priority="43" operator="containsText" text=" ">
      <formula>NOT(ISERROR(SEARCH(" ",X15)))</formula>
    </cfRule>
  </conditionalFormatting>
  <conditionalFormatting sqref="Y15">
    <cfRule type="containsText" dxfId="1572" priority="42" operator="containsText" text=" ">
      <formula>NOT(ISERROR(SEARCH(" ",Y15)))</formula>
    </cfRule>
  </conditionalFormatting>
  <conditionalFormatting sqref="Z15">
    <cfRule type="containsText" dxfId="1571" priority="14" operator="containsText" text=" ">
      <formula>NOT(ISERROR(SEARCH(" ",Z15)))</formula>
    </cfRule>
  </conditionalFormatting>
  <conditionalFormatting sqref="AA15">
    <cfRule type="containsText" dxfId="1570" priority="39" operator="containsText" text=" ">
      <formula>NOT(ISERROR(SEARCH(" ",AA15)))</formula>
    </cfRule>
  </conditionalFormatting>
  <conditionalFormatting sqref="AC15">
    <cfRule type="containsText" dxfId="1569" priority="37" operator="containsText" text=" ">
      <formula>NOT(ISERROR(SEARCH(" ",AC15)))</formula>
    </cfRule>
  </conditionalFormatting>
  <conditionalFormatting sqref="AE15">
    <cfRule type="containsText" dxfId="1568" priority="35" operator="containsText" text=" ">
      <formula>NOT(ISERROR(SEARCH(" ",AE15)))</formula>
    </cfRule>
  </conditionalFormatting>
  <conditionalFormatting sqref="AF15">
    <cfRule type="containsText" dxfId="1567" priority="9" operator="containsText" text=" ">
      <formula>NOT(ISERROR(SEARCH(" ",AF15)))</formula>
    </cfRule>
  </conditionalFormatting>
  <conditionalFormatting sqref="AG15">
    <cfRule type="containsText" dxfId="1566" priority="29" operator="containsText" text=" ">
      <formula>NOT(ISERROR(SEARCH(" ",AG15)))</formula>
    </cfRule>
    <cfRule type="containsText" dxfId="1565" priority="34" operator="containsText" text=" ">
      <formula>NOT(ISERROR(SEARCH(" ",AG15)))</formula>
    </cfRule>
  </conditionalFormatting>
  <conditionalFormatting sqref="AK15">
    <cfRule type="containsText" dxfId="1564" priority="32" operator="containsText" text=" ">
      <formula>NOT(ISERROR(SEARCH(" ",AK15)))</formula>
    </cfRule>
  </conditionalFormatting>
  <conditionalFormatting sqref="D6:D14">
    <cfRule type="containsText" dxfId="1563" priority="60" operator="containsText" text=" ">
      <formula>NOT(ISERROR(SEARCH(" ",D6)))</formula>
    </cfRule>
  </conditionalFormatting>
  <conditionalFormatting sqref="H6:H15">
    <cfRule type="containsText" dxfId="1562" priority="1" operator="containsText" text=" ">
      <formula>NOT(ISERROR(SEARCH(" ",H6)))</formula>
    </cfRule>
  </conditionalFormatting>
  <conditionalFormatting sqref="Z9:Z14">
    <cfRule type="containsText" dxfId="1561" priority="16" operator="containsText" text=" ">
      <formula>NOT(ISERROR(SEARCH(" ",Z9)))</formula>
    </cfRule>
  </conditionalFormatting>
  <conditionalFormatting sqref="AB13:AB15">
    <cfRule type="containsText" dxfId="1560" priority="13" operator="containsText" text=" ">
      <formula>NOT(ISERROR(SEARCH(" ",AB13)))</formula>
    </cfRule>
  </conditionalFormatting>
  <conditionalFormatting sqref="AD14:AD15">
    <cfRule type="containsText" dxfId="1559" priority="11" operator="containsText" text=" ">
      <formula>NOT(ISERROR(SEARCH(" ",AD14)))</formula>
    </cfRule>
  </conditionalFormatting>
  <conditionalFormatting sqref="AJ5:AJ15">
    <cfRule type="containsText" dxfId="1558" priority="65" operator="containsText" text=" ">
      <formula>NOT(ISERROR(SEARCH(" ",AJ5)))</formula>
    </cfRule>
  </conditionalFormatting>
  <conditionalFormatting sqref="AK7:AK14">
    <cfRule type="containsText" dxfId="1557" priority="62" operator="containsText" text=" ">
      <formula>NOT(ISERROR(SEARCH(" ",AK7)))</formula>
    </cfRule>
  </conditionalFormatting>
  <conditionalFormatting sqref="AN5:AN14">
    <cfRule type="containsText" dxfId="1556" priority="69" operator="containsText" text=" ">
      <formula>NOT(ISERROR(SEARCH(" ",AN5)))</formula>
    </cfRule>
  </conditionalFormatting>
  <conditionalFormatting sqref="E5 A5:C5 W8 M5:Q5">
    <cfRule type="containsText" dxfId="1555" priority="93" operator="containsText" text=" ">
      <formula>NOT(ISERROR(SEARCH(" ",A5)))</formula>
    </cfRule>
  </conditionalFormatting>
  <conditionalFormatting sqref="E6:G14 AL5:AL14 AO5:AP1048576 R5:U5 AM15:AN15 X8 A16:AN1048576 AW16:XFD1048576 BB5:XFD15 A6:C14 R15 O15 AW5:AW15 M6:T14 U6:U15">
    <cfRule type="containsText" dxfId="1554" priority="92" operator="containsText" text=" ">
      <formula>NOT(ISERROR(SEARCH(" ",A5)))</formula>
    </cfRule>
  </conditionalFormatting>
  <conditionalFormatting sqref="D5 Z5:AF5 AH5:AI5 AG6">
    <cfRule type="containsText" dxfId="1553" priority="61" operator="containsText" text=" ">
      <formula>NOT(ISERROR(SEARCH(" ",D5)))</formula>
    </cfRule>
  </conditionalFormatting>
  <conditionalFormatting sqref="W5:W7 W9:W14 V5:V14 AA8:AF11 Z7:AG7 AC12:AF12 AE13:AF13 AM5:AM14 AH6:AH14 AI5:AI14 Z6:AF6 AG8:AG14">
    <cfRule type="containsText" dxfId="1552" priority="98" operator="containsText" text=" ">
      <formula>NOT(ISERROR(SEARCH(" ",V5)))</formula>
    </cfRule>
  </conditionalFormatting>
  <conditionalFormatting sqref="X5:X7 X9:X14">
    <cfRule type="containsText" dxfId="1551" priority="96" operator="containsText" text=" ">
      <formula>NOT(ISERROR(SEARCH(" ",X5)))</formula>
    </cfRule>
  </conditionalFormatting>
  <conditionalFormatting sqref="E15:G15 A15:B15 AL15 N15 P15:T15">
    <cfRule type="containsText" dxfId="1550" priority="40" operator="containsText" text=" ">
      <formula>NOT(ISERROR(SEARCH(" ",A15)))</formula>
    </cfRule>
  </conditionalFormatting>
  <conditionalFormatting sqref="V15:W15 AH15:AI15">
    <cfRule type="containsText" dxfId="1549" priority="44" operator="containsText" text=" ">
      <formula>NOT(ISERROR(SEARCH(" ",V15)))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3"/>
  <sheetViews>
    <sheetView tabSelected="1" topLeftCell="Q1" workbookViewId="0">
      <selection activeCell="W10" sqref="W10"/>
    </sheetView>
  </sheetViews>
  <sheetFormatPr defaultColWidth="9" defaultRowHeight="15.6" x14ac:dyDescent="0.35"/>
  <cols>
    <col min="1" max="1" width="15.77734375" style="229" customWidth="1"/>
    <col min="2" max="2" width="15.88671875" style="229" customWidth="1"/>
    <col min="3" max="3" width="13.77734375" style="229" customWidth="1"/>
    <col min="4" max="4" width="15.109375" style="229" customWidth="1"/>
    <col min="5" max="5" width="12" style="229" customWidth="1"/>
    <col min="6" max="6" width="13.109375" style="229" customWidth="1"/>
    <col min="7" max="8" width="11.109375" style="229" customWidth="1"/>
    <col min="9" max="9" width="13.33203125" style="229" customWidth="1"/>
    <col min="10" max="10" width="23.88671875" style="229" customWidth="1"/>
    <col min="11" max="11" width="21" style="229" customWidth="1"/>
    <col min="12" max="12" width="18.88671875" style="229" customWidth="1"/>
    <col min="13" max="15" width="19.21875" style="229" customWidth="1"/>
    <col min="16" max="16" width="29.44140625" style="229" customWidth="1"/>
    <col min="17" max="17" width="22.77734375" style="229" customWidth="1"/>
    <col min="18" max="18" width="20.44140625" style="229" customWidth="1"/>
    <col min="19" max="19" width="19.21875" style="229" customWidth="1"/>
    <col min="20" max="20" width="11.88671875" style="229" customWidth="1"/>
    <col min="21" max="23" width="19.21875" style="229" customWidth="1"/>
    <col min="24" max="24" width="18.21875" style="229" customWidth="1"/>
    <col min="25" max="25" width="18.5546875" style="229" customWidth="1"/>
    <col min="26" max="26" width="18.109375" style="229" customWidth="1"/>
    <col min="27" max="27" width="16" style="229" customWidth="1"/>
    <col min="28" max="29" width="23.21875" style="229" customWidth="1"/>
    <col min="30" max="30" width="15.88671875" style="229" customWidth="1"/>
    <col min="31" max="31" width="9.33203125" style="229" customWidth="1"/>
    <col min="32" max="35" width="14.109375" style="229" customWidth="1"/>
    <col min="36" max="37" width="9" style="229"/>
    <col min="38" max="38" width="36.109375" style="229" customWidth="1"/>
    <col min="39" max="39" width="11.6640625" style="39" customWidth="1"/>
    <col min="40" max="40" width="10.21875" style="39" customWidth="1"/>
    <col min="41" max="41" width="17.109375" style="39" customWidth="1"/>
    <col min="42" max="42" width="10.109375" style="39" customWidth="1"/>
    <col min="43" max="43" width="9" style="39"/>
    <col min="44" max="44" width="30.33203125" style="39" customWidth="1"/>
    <col min="45" max="47" width="9" style="39"/>
    <col min="48" max="16384" width="9" style="229"/>
  </cols>
  <sheetData>
    <row r="1" spans="1:56" ht="16.2" x14ac:dyDescent="0.4">
      <c r="A1" s="2" t="s">
        <v>0</v>
      </c>
      <c r="B1" s="2" t="s">
        <v>0</v>
      </c>
      <c r="C1" s="2" t="s">
        <v>0</v>
      </c>
      <c r="D1" s="239" t="s">
        <v>0</v>
      </c>
      <c r="E1" s="2" t="s">
        <v>0</v>
      </c>
      <c r="F1" s="239" t="s">
        <v>0</v>
      </c>
      <c r="G1" s="2" t="s">
        <v>0</v>
      </c>
      <c r="H1" s="2" t="s">
        <v>0</v>
      </c>
      <c r="I1" s="239" t="s">
        <v>0</v>
      </c>
      <c r="J1" s="2" t="s">
        <v>0</v>
      </c>
      <c r="K1" s="2" t="s">
        <v>0</v>
      </c>
      <c r="L1" s="2" t="s">
        <v>0</v>
      </c>
      <c r="M1" s="51" t="s">
        <v>1</v>
      </c>
      <c r="N1" s="51" t="s">
        <v>1</v>
      </c>
      <c r="O1" s="51" t="s">
        <v>1</v>
      </c>
      <c r="P1" s="51" t="s">
        <v>1</v>
      </c>
      <c r="Q1" s="51" t="s">
        <v>0</v>
      </c>
      <c r="R1" s="51" t="s">
        <v>1</v>
      </c>
      <c r="S1" s="51" t="s">
        <v>1</v>
      </c>
      <c r="T1" s="34" t="s">
        <v>1</v>
      </c>
      <c r="U1" s="51" t="s">
        <v>1</v>
      </c>
      <c r="V1" s="480" t="s">
        <v>796</v>
      </c>
      <c r="W1" s="480" t="s">
        <v>796</v>
      </c>
      <c r="X1" s="34" t="s">
        <v>796</v>
      </c>
      <c r="Y1" s="34" t="s">
        <v>0</v>
      </c>
      <c r="Z1" s="34" t="s">
        <v>0</v>
      </c>
      <c r="AA1" s="34" t="s">
        <v>796</v>
      </c>
      <c r="AB1" s="34" t="s">
        <v>796</v>
      </c>
      <c r="AC1" s="34" t="s">
        <v>796</v>
      </c>
      <c r="AD1" s="34" t="s">
        <v>796</v>
      </c>
      <c r="AE1" s="34" t="s">
        <v>796</v>
      </c>
      <c r="AF1" s="2" t="s">
        <v>796</v>
      </c>
      <c r="AG1" s="2" t="s">
        <v>796</v>
      </c>
      <c r="AH1" s="2" t="s">
        <v>796</v>
      </c>
      <c r="AI1" s="2" t="s">
        <v>796</v>
      </c>
    </row>
    <row r="2" spans="1:56" ht="16.2" x14ac:dyDescent="0.4">
      <c r="A2" s="2" t="s">
        <v>11</v>
      </c>
      <c r="B2" s="2" t="s">
        <v>11</v>
      </c>
      <c r="C2" s="2" t="s">
        <v>11</v>
      </c>
      <c r="D2" s="239" t="s">
        <v>11</v>
      </c>
      <c r="E2" s="2" t="s">
        <v>11</v>
      </c>
      <c r="F2" s="239" t="s">
        <v>11</v>
      </c>
      <c r="G2" s="2" t="s">
        <v>11</v>
      </c>
      <c r="H2" s="2" t="s">
        <v>11</v>
      </c>
      <c r="I2" s="239" t="s">
        <v>11</v>
      </c>
      <c r="J2" s="34" t="s">
        <v>14</v>
      </c>
      <c r="K2" s="2" t="s">
        <v>797</v>
      </c>
      <c r="L2" s="2" t="s">
        <v>797</v>
      </c>
      <c r="M2" s="239" t="s">
        <v>11</v>
      </c>
      <c r="N2" s="239" t="s">
        <v>11</v>
      </c>
      <c r="O2" s="34" t="s">
        <v>14</v>
      </c>
      <c r="P2" s="34" t="s">
        <v>14</v>
      </c>
      <c r="Q2" s="239" t="s">
        <v>11</v>
      </c>
      <c r="R2" s="34" t="s">
        <v>14</v>
      </c>
      <c r="S2" s="34" t="s">
        <v>14</v>
      </c>
      <c r="T2" s="51" t="s">
        <v>13</v>
      </c>
      <c r="U2" s="51" t="s">
        <v>13</v>
      </c>
      <c r="V2" s="480" t="s">
        <v>14</v>
      </c>
      <c r="W2" s="480" t="s">
        <v>14</v>
      </c>
      <c r="X2" s="34" t="s">
        <v>14</v>
      </c>
      <c r="Y2" s="34" t="s">
        <v>14</v>
      </c>
      <c r="Z2" s="34" t="s">
        <v>14</v>
      </c>
      <c r="AA2" s="34" t="s">
        <v>14</v>
      </c>
      <c r="AB2" s="34" t="s">
        <v>14</v>
      </c>
      <c r="AC2" s="34" t="s">
        <v>14</v>
      </c>
      <c r="AD2" s="34" t="s">
        <v>14</v>
      </c>
      <c r="AE2" s="34" t="s">
        <v>14</v>
      </c>
      <c r="AF2" s="2" t="s">
        <v>11</v>
      </c>
      <c r="AG2" s="2" t="s">
        <v>14</v>
      </c>
      <c r="AH2" s="2" t="s">
        <v>14</v>
      </c>
      <c r="AI2" s="2" t="s">
        <v>14</v>
      </c>
      <c r="AJ2" s="229" t="s">
        <v>941</v>
      </c>
    </row>
    <row r="3" spans="1:56" s="314" customFormat="1" ht="13.2" x14ac:dyDescent="0.3">
      <c r="A3" s="471" t="s">
        <v>942</v>
      </c>
      <c r="B3" s="471" t="s">
        <v>943</v>
      </c>
      <c r="C3" s="471" t="s">
        <v>944</v>
      </c>
      <c r="D3" s="472" t="s">
        <v>945</v>
      </c>
      <c r="E3" s="473" t="s">
        <v>946</v>
      </c>
      <c r="F3" s="474" t="s">
        <v>947</v>
      </c>
      <c r="G3" s="473" t="s">
        <v>948</v>
      </c>
      <c r="H3" s="471" t="s">
        <v>949</v>
      </c>
      <c r="I3" s="474" t="s">
        <v>950</v>
      </c>
      <c r="J3" s="473" t="s">
        <v>951</v>
      </c>
      <c r="K3" s="477" t="s">
        <v>952</v>
      </c>
      <c r="L3" s="473" t="s">
        <v>953</v>
      </c>
      <c r="M3" s="473" t="s">
        <v>954</v>
      </c>
      <c r="N3" s="473" t="s">
        <v>955</v>
      </c>
      <c r="O3" s="473" t="s">
        <v>956</v>
      </c>
      <c r="P3" s="473" t="s">
        <v>957</v>
      </c>
      <c r="Q3" s="473" t="s">
        <v>958</v>
      </c>
      <c r="R3" s="477" t="s">
        <v>959</v>
      </c>
      <c r="S3" s="477" t="s">
        <v>960</v>
      </c>
      <c r="T3" s="477" t="s">
        <v>961</v>
      </c>
      <c r="U3" s="477" t="s">
        <v>962</v>
      </c>
      <c r="V3" s="474" t="s">
        <v>963</v>
      </c>
      <c r="W3" s="474" t="s">
        <v>964</v>
      </c>
      <c r="X3" s="34" t="s">
        <v>965</v>
      </c>
      <c r="Y3" s="34" t="s">
        <v>966</v>
      </c>
      <c r="Z3" s="34" t="s">
        <v>967</v>
      </c>
      <c r="AA3" s="34" t="s">
        <v>968</v>
      </c>
      <c r="AB3" s="34" t="s">
        <v>969</v>
      </c>
      <c r="AC3" s="34" t="s">
        <v>970</v>
      </c>
      <c r="AD3" s="34" t="s">
        <v>971</v>
      </c>
      <c r="AE3" s="34" t="s">
        <v>972</v>
      </c>
      <c r="AF3" s="34" t="s">
        <v>973</v>
      </c>
      <c r="AG3" s="34" t="s">
        <v>974</v>
      </c>
      <c r="AH3" s="34" t="s">
        <v>975</v>
      </c>
      <c r="AI3" s="34" t="s">
        <v>976</v>
      </c>
      <c r="AJ3" s="314" t="s">
        <v>977</v>
      </c>
      <c r="AM3" s="313"/>
      <c r="AN3" s="313"/>
      <c r="AO3" s="313"/>
      <c r="AP3" s="313"/>
      <c r="AQ3" s="313"/>
      <c r="AR3" s="313"/>
      <c r="AS3" s="313"/>
      <c r="AT3" s="313"/>
      <c r="AU3" s="313"/>
    </row>
    <row r="4" spans="1:56" ht="72" customHeight="1" x14ac:dyDescent="0.35">
      <c r="A4" s="76" t="s">
        <v>978</v>
      </c>
      <c r="B4" s="76" t="s">
        <v>979</v>
      </c>
      <c r="C4" s="76" t="s">
        <v>980</v>
      </c>
      <c r="D4" s="241" t="s">
        <v>981</v>
      </c>
      <c r="E4" s="76" t="s">
        <v>982</v>
      </c>
      <c r="F4" s="241" t="s">
        <v>983</v>
      </c>
      <c r="G4" s="76" t="s">
        <v>984</v>
      </c>
      <c r="H4" s="76" t="s">
        <v>985</v>
      </c>
      <c r="I4" s="241" t="s">
        <v>986</v>
      </c>
      <c r="J4" s="76" t="s">
        <v>987</v>
      </c>
      <c r="K4" s="76" t="s">
        <v>988</v>
      </c>
      <c r="L4" s="34" t="s">
        <v>989</v>
      </c>
      <c r="M4" s="34" t="s">
        <v>990</v>
      </c>
      <c r="N4" s="34" t="s">
        <v>991</v>
      </c>
      <c r="O4" s="34" t="s">
        <v>992</v>
      </c>
      <c r="P4" s="34" t="s">
        <v>993</v>
      </c>
      <c r="Q4" s="34" t="s">
        <v>994</v>
      </c>
      <c r="R4" s="34" t="s">
        <v>995</v>
      </c>
      <c r="S4" s="34" t="s">
        <v>996</v>
      </c>
      <c r="T4" s="34" t="s">
        <v>997</v>
      </c>
      <c r="U4" s="34" t="s">
        <v>998</v>
      </c>
      <c r="V4" s="34" t="s">
        <v>999</v>
      </c>
      <c r="W4" s="34" t="s">
        <v>1000</v>
      </c>
      <c r="X4" s="34" t="s">
        <v>1001</v>
      </c>
      <c r="Y4" s="34" t="s">
        <v>1002</v>
      </c>
      <c r="Z4" s="34" t="s">
        <v>1003</v>
      </c>
      <c r="AA4" s="34" t="s">
        <v>1004</v>
      </c>
      <c r="AB4" s="34" t="s">
        <v>1005</v>
      </c>
      <c r="AC4" s="34" t="s">
        <v>1006</v>
      </c>
      <c r="AD4" s="34" t="s">
        <v>1007</v>
      </c>
      <c r="AE4" s="34" t="s">
        <v>1008</v>
      </c>
      <c r="AF4" s="34" t="s">
        <v>1009</v>
      </c>
      <c r="AG4" s="34" t="s">
        <v>1010</v>
      </c>
      <c r="AH4" s="34" t="s">
        <v>1011</v>
      </c>
      <c r="AI4" s="34" t="s">
        <v>1012</v>
      </c>
      <c r="AN4" s="39" t="s">
        <v>1013</v>
      </c>
      <c r="AU4" s="39" t="s">
        <v>964</v>
      </c>
    </row>
    <row r="5" spans="1:56" ht="16.2" x14ac:dyDescent="0.4">
      <c r="A5" s="39">
        <v>1</v>
      </c>
      <c r="B5" s="39">
        <v>1</v>
      </c>
      <c r="C5" s="5">
        <v>20</v>
      </c>
      <c r="D5" s="5">
        <v>100</v>
      </c>
      <c r="E5" s="5">
        <v>0</v>
      </c>
      <c r="F5" s="475">
        <v>100000</v>
      </c>
      <c r="G5" s="39">
        <v>0</v>
      </c>
      <c r="H5" s="39">
        <f>C5</f>
        <v>20</v>
      </c>
      <c r="I5" s="39">
        <v>0</v>
      </c>
      <c r="J5" s="39"/>
      <c r="K5" s="478">
        <v>-1</v>
      </c>
      <c r="L5" s="58"/>
      <c r="M5" s="1">
        <f>12*60*6</f>
        <v>4320</v>
      </c>
      <c r="N5" s="1">
        <v>1000</v>
      </c>
      <c r="O5" s="1" t="s">
        <v>1014</v>
      </c>
      <c r="P5" s="479" t="str">
        <f>'炮解锁|CannonUnlock'!BB1&amp;","&amp;'炮解锁|CannonUnlock'!BE1&amp;","&amp;'炮解锁|CannonUnlock'!BH1&amp;","&amp;'炮解锁|CannonUnlock'!BK1</f>
        <v>1000,1200,1000,1200</v>
      </c>
      <c r="Q5" s="479">
        <f>F5+20*'炮解锁|CannonUnlock'!A9</f>
        <v>102000</v>
      </c>
      <c r="R5" s="58" t="s">
        <v>1015</v>
      </c>
      <c r="S5" s="58" t="s">
        <v>1016</v>
      </c>
      <c r="T5" s="58">
        <v>0.5</v>
      </c>
      <c r="U5" s="72">
        <v>0</v>
      </c>
      <c r="V5" s="72" t="s">
        <v>1017</v>
      </c>
      <c r="W5" s="72" t="s">
        <v>1018</v>
      </c>
      <c r="X5" s="481" t="s">
        <v>1019</v>
      </c>
      <c r="Y5" s="481" t="s">
        <v>1019</v>
      </c>
      <c r="Z5" s="229" t="s">
        <v>1020</v>
      </c>
      <c r="AA5" s="229" t="s">
        <v>1021</v>
      </c>
      <c r="AB5" t="s">
        <v>1022</v>
      </c>
      <c r="AC5" s="39" t="s">
        <v>1023</v>
      </c>
      <c r="AD5" s="39" t="s">
        <v>1024</v>
      </c>
      <c r="AE5" s="95" t="s">
        <v>1025</v>
      </c>
      <c r="AF5" s="229">
        <v>-1</v>
      </c>
      <c r="AG5" s="229" t="s">
        <v>1026</v>
      </c>
      <c r="AH5" s="229" t="s">
        <v>1027</v>
      </c>
      <c r="AI5" s="229" t="s">
        <v>1026</v>
      </c>
      <c r="AM5" s="39" t="s">
        <v>1028</v>
      </c>
      <c r="AN5" s="39" t="s">
        <v>1029</v>
      </c>
      <c r="AO5" s="39" t="s">
        <v>1030</v>
      </c>
      <c r="AP5" s="39" t="s">
        <v>1031</v>
      </c>
      <c r="AR5" s="39" t="str">
        <f>"["&amp;AN5&amp;","&amp;AO5&amp;","&amp;AP5&amp;"]"</f>
        <v>[ic_dcj_8,tx_ld_bhjl_01,ui_dcj_k_1]</v>
      </c>
      <c r="AU5" s="39" t="str">
        <f>"["&amp;AR5&amp;","&amp;AR6&amp;","&amp;AR7&amp;","&amp;AR8&amp;"]"</f>
        <v>[[ic_dcj_8,tx_ld_bhjl_01,ui_dcj_k_1],[ic_dcj_9,tx_ld_lsc_01,ui_dcj_k_3],[ic_dcj_10,tx_ld_bfy_01,ui_dcj_k_3],[ic_dcj_11,tx_ld_xjj_01,ui_dcj_k_3]]</v>
      </c>
      <c r="AV5"/>
      <c r="AW5"/>
      <c r="AX5"/>
      <c r="AY5"/>
      <c r="AZ5"/>
      <c r="BA5"/>
      <c r="BB5"/>
      <c r="BC5"/>
      <c r="BD5"/>
    </row>
    <row r="6" spans="1:56" x14ac:dyDescent="0.35">
      <c r="A6" s="39">
        <v>2</v>
      </c>
      <c r="B6" s="39">
        <v>1</v>
      </c>
      <c r="C6" s="5">
        <v>200</v>
      </c>
      <c r="D6" s="5">
        <v>1000</v>
      </c>
      <c r="E6" s="5">
        <v>100000</v>
      </c>
      <c r="F6" s="5">
        <v>1000000</v>
      </c>
      <c r="G6" s="39">
        <v>0</v>
      </c>
      <c r="H6" s="39">
        <f>D6</f>
        <v>1000</v>
      </c>
      <c r="I6" s="39">
        <f t="shared" ref="I6:I8" si="0">D6*5</f>
        <v>5000</v>
      </c>
      <c r="J6" s="39" t="s">
        <v>148</v>
      </c>
      <c r="K6" s="39" t="s">
        <v>148</v>
      </c>
      <c r="L6" s="58" t="s">
        <v>1032</v>
      </c>
      <c r="M6" s="1">
        <f>15*60*6</f>
        <v>5400</v>
      </c>
      <c r="N6" s="1">
        <v>10000</v>
      </c>
      <c r="O6" s="1" t="s">
        <v>1014</v>
      </c>
      <c r="P6" s="479" t="str">
        <f>'炮解锁|CannonUnlock'!BB2&amp;","&amp;'炮解锁|CannonUnlock'!BE2&amp;","&amp;'炮解锁|CannonUnlock'!BH2&amp;","&amp;'炮解锁|CannonUnlock'!BK2</f>
        <v>10000,12000,10000,12000</v>
      </c>
      <c r="Q6" s="479">
        <f>F6+20*'炮解锁|CannonUnlock'!A14</f>
        <v>1020000</v>
      </c>
      <c r="R6" s="58" t="s">
        <v>1033</v>
      </c>
      <c r="S6" s="58" t="s">
        <v>1034</v>
      </c>
      <c r="T6" s="58">
        <v>0.5</v>
      </c>
      <c r="U6" s="72">
        <v>0</v>
      </c>
      <c r="V6" s="72" t="s">
        <v>1035</v>
      </c>
      <c r="W6" s="72" t="s">
        <v>2097</v>
      </c>
      <c r="X6" s="481" t="s">
        <v>1036</v>
      </c>
      <c r="Y6" s="481" t="s">
        <v>1036</v>
      </c>
      <c r="Z6" s="229" t="s">
        <v>1020</v>
      </c>
      <c r="AA6" s="229" t="s">
        <v>1037</v>
      </c>
      <c r="AB6" s="39" t="s">
        <v>1038</v>
      </c>
      <c r="AC6" s="39" t="s">
        <v>1039</v>
      </c>
      <c r="AD6" s="39" t="s">
        <v>1024</v>
      </c>
      <c r="AE6" s="95" t="s">
        <v>1040</v>
      </c>
      <c r="AF6" s="229">
        <v>2</v>
      </c>
      <c r="AG6" s="229" t="s">
        <v>2094</v>
      </c>
      <c r="AH6" s="229" t="s">
        <v>1027</v>
      </c>
      <c r="AI6" s="229" t="s">
        <v>1041</v>
      </c>
      <c r="AM6" s="39" t="s">
        <v>1042</v>
      </c>
      <c r="AN6" s="39" t="s">
        <v>1043</v>
      </c>
      <c r="AO6" s="39" t="s">
        <v>1044</v>
      </c>
      <c r="AP6" s="39" t="s">
        <v>1045</v>
      </c>
      <c r="AR6" s="39" t="str">
        <f t="shared" ref="AR6:AR33" si="1">"["&amp;AN6&amp;","&amp;AO6&amp;","&amp;AP6&amp;"]"</f>
        <v>[ic_dcj_9,tx_ld_lsc_01,ui_dcj_k_3]</v>
      </c>
      <c r="AU6" s="39" t="str">
        <f>"["&amp;AR10&amp;","&amp;AR11&amp;"]"</f>
        <v>[[ic_dcj_4,tx_ld_as_01,ui_dcj_k_3],[ic_dcj_3,tx_ld_xyxkp_01,ui_dcj_k_3]]</v>
      </c>
      <c r="AV6"/>
      <c r="AW6"/>
      <c r="AX6"/>
      <c r="AY6"/>
      <c r="AZ6"/>
      <c r="BA6"/>
      <c r="BB6"/>
      <c r="BC6"/>
      <c r="BD6"/>
    </row>
    <row r="7" spans="1:56" x14ac:dyDescent="0.35">
      <c r="A7" s="39">
        <v>3</v>
      </c>
      <c r="B7" s="39">
        <v>1</v>
      </c>
      <c r="C7" s="5">
        <v>2000</v>
      </c>
      <c r="D7" s="5">
        <v>10000</v>
      </c>
      <c r="E7" s="5">
        <v>1000000</v>
      </c>
      <c r="F7" s="5">
        <v>10000000</v>
      </c>
      <c r="G7" s="39">
        <v>0</v>
      </c>
      <c r="H7" s="39">
        <f t="shared" ref="H7:H8" si="2">D7</f>
        <v>10000</v>
      </c>
      <c r="I7" s="39">
        <f t="shared" si="0"/>
        <v>50000</v>
      </c>
      <c r="J7" s="39" t="s">
        <v>148</v>
      </c>
      <c r="K7" s="39" t="s">
        <v>148</v>
      </c>
      <c r="L7" s="58"/>
      <c r="M7" s="1">
        <f>18*60*6</f>
        <v>6480</v>
      </c>
      <c r="N7" s="1"/>
      <c r="O7" s="1" t="s">
        <v>1046</v>
      </c>
      <c r="P7" s="479" t="str">
        <f>'炮解锁|CannonUnlock'!BB3&amp;","&amp;'炮解锁|CannonUnlock'!BE3&amp;","&amp;'炮解锁|CannonUnlock'!BH3&amp;","&amp;'炮解锁|CannonUnlock'!BK3</f>
        <v>100000,120000,100000,120000</v>
      </c>
      <c r="Q7" s="479">
        <f>F7+20*'炮解锁|CannonUnlock'!A19</f>
        <v>10200000</v>
      </c>
      <c r="R7" s="58" t="s">
        <v>1047</v>
      </c>
      <c r="S7" s="58" t="s">
        <v>1048</v>
      </c>
      <c r="T7" s="58">
        <v>1</v>
      </c>
      <c r="U7" s="72">
        <v>0</v>
      </c>
      <c r="V7" s="72" t="s">
        <v>1049</v>
      </c>
      <c r="W7" s="72" t="s">
        <v>2098</v>
      </c>
      <c r="X7" s="481" t="s">
        <v>1050</v>
      </c>
      <c r="Y7" s="482" t="s">
        <v>1050</v>
      </c>
      <c r="Z7" s="229" t="s">
        <v>1020</v>
      </c>
      <c r="AA7" s="229" t="s">
        <v>1021</v>
      </c>
      <c r="AB7" s="39" t="s">
        <v>1051</v>
      </c>
      <c r="AC7" s="39" t="s">
        <v>1052</v>
      </c>
      <c r="AD7" s="39" t="s">
        <v>1024</v>
      </c>
      <c r="AE7" s="95" t="s">
        <v>1053</v>
      </c>
      <c r="AF7" s="229">
        <v>5</v>
      </c>
      <c r="AG7" s="229" t="s">
        <v>2095</v>
      </c>
      <c r="AH7" s="229" t="s">
        <v>1027</v>
      </c>
      <c r="AI7" s="229" t="s">
        <v>1054</v>
      </c>
      <c r="AM7" s="39" t="s">
        <v>1055</v>
      </c>
      <c r="AN7" s="39" t="s">
        <v>1056</v>
      </c>
      <c r="AO7" s="39" t="s">
        <v>1057</v>
      </c>
      <c r="AP7" s="39" t="s">
        <v>1045</v>
      </c>
      <c r="AR7" s="39" t="str">
        <f t="shared" si="1"/>
        <v>[ic_dcj_10,tx_ld_bfy_01,ui_dcj_k_3]</v>
      </c>
      <c r="AU7" s="39" t="str">
        <f>"["&amp;AR15&amp;","&amp;AR16&amp;"]"</f>
        <v>[[ic_dcj_5,tx_ld_cs_01,ui_dcj_k_3],[ic_dcj_7,tx_ld_jc_01,ui_dcj_k_1]]</v>
      </c>
      <c r="AV7"/>
      <c r="AW7"/>
      <c r="AX7"/>
      <c r="AY7"/>
      <c r="AZ7"/>
      <c r="BA7"/>
      <c r="BB7"/>
      <c r="BC7"/>
      <c r="BD7"/>
    </row>
    <row r="8" spans="1:56" x14ac:dyDescent="0.35">
      <c r="A8" s="39">
        <v>4</v>
      </c>
      <c r="B8" s="39">
        <v>1</v>
      </c>
      <c r="C8" s="5">
        <v>20000</v>
      </c>
      <c r="D8" s="5">
        <v>100000</v>
      </c>
      <c r="E8" s="5">
        <v>10000000</v>
      </c>
      <c r="F8" s="5">
        <v>-1</v>
      </c>
      <c r="G8" s="39">
        <v>0</v>
      </c>
      <c r="H8" s="39">
        <f t="shared" si="2"/>
        <v>100000</v>
      </c>
      <c r="I8" s="39">
        <f t="shared" si="0"/>
        <v>500000</v>
      </c>
      <c r="J8" s="39" t="s">
        <v>148</v>
      </c>
      <c r="K8" s="39" t="s">
        <v>148</v>
      </c>
      <c r="L8" s="58"/>
      <c r="M8" s="1">
        <f>25*60*6</f>
        <v>9000</v>
      </c>
      <c r="N8" s="1"/>
      <c r="O8" s="1" t="s">
        <v>1058</v>
      </c>
      <c r="P8" s="1"/>
      <c r="Q8" s="1"/>
      <c r="R8" s="58" t="s">
        <v>1047</v>
      </c>
      <c r="S8" s="58" t="s">
        <v>1048</v>
      </c>
      <c r="T8" s="58">
        <v>1</v>
      </c>
      <c r="U8" s="72">
        <v>0</v>
      </c>
      <c r="V8" s="72" t="s">
        <v>1059</v>
      </c>
      <c r="W8" s="72" t="s">
        <v>2099</v>
      </c>
      <c r="X8" s="481" t="s">
        <v>1060</v>
      </c>
      <c r="Y8" s="482" t="s">
        <v>1060</v>
      </c>
      <c r="Z8" s="229" t="s">
        <v>1020</v>
      </c>
      <c r="AA8" s="229" t="s">
        <v>1037</v>
      </c>
      <c r="AB8" s="39" t="s">
        <v>153</v>
      </c>
      <c r="AC8" s="39" t="s">
        <v>1061</v>
      </c>
      <c r="AD8" s="39" t="s">
        <v>1024</v>
      </c>
      <c r="AE8" s="95" t="s">
        <v>1062</v>
      </c>
      <c r="AF8" s="229">
        <v>10</v>
      </c>
      <c r="AG8" s="229" t="s">
        <v>2096</v>
      </c>
      <c r="AH8" s="229" t="s">
        <v>1027</v>
      </c>
      <c r="AI8" s="229" t="s">
        <v>1063</v>
      </c>
      <c r="AM8" s="39" t="s">
        <v>1064</v>
      </c>
      <c r="AN8" s="39" t="s">
        <v>1065</v>
      </c>
      <c r="AO8" s="39" t="s">
        <v>1066</v>
      </c>
      <c r="AP8" s="39" t="s">
        <v>1045</v>
      </c>
      <c r="AR8" s="39" t="str">
        <f t="shared" si="1"/>
        <v>[ic_dcj_11,tx_ld_xjj_01,ui_dcj_k_3]</v>
      </c>
      <c r="AU8" s="39" t="str">
        <f>"["&amp;AR20&amp;","&amp;AR21&amp;"]"</f>
        <v>[[ic_dcj_6,tx_ld_xlj_01,ui_dcj_k_3],[ic_dcj_7,tx_ld_jc_01,ui_dcj_k_1]]</v>
      </c>
      <c r="AV8"/>
      <c r="AW8"/>
      <c r="AX8"/>
      <c r="AY8"/>
      <c r="AZ8"/>
      <c r="BA8"/>
      <c r="BB8"/>
      <c r="BC8"/>
      <c r="BD8"/>
    </row>
    <row r="9" spans="1:56" ht="16.2" x14ac:dyDescent="0.4">
      <c r="A9" s="39">
        <v>5</v>
      </c>
      <c r="B9" s="39">
        <v>0</v>
      </c>
      <c r="C9" s="476">
        <v>10000</v>
      </c>
      <c r="D9" s="5">
        <v>100000</v>
      </c>
      <c r="E9" s="475">
        <v>2000000</v>
      </c>
      <c r="F9" s="5">
        <v>-1</v>
      </c>
      <c r="G9" s="39">
        <v>0</v>
      </c>
      <c r="H9" s="312">
        <f>C9</f>
        <v>10000</v>
      </c>
      <c r="I9" s="39">
        <v>0</v>
      </c>
      <c r="J9" s="39">
        <v>3</v>
      </c>
      <c r="K9" s="39">
        <v>-1</v>
      </c>
      <c r="R9" s="58" t="s">
        <v>1047</v>
      </c>
      <c r="S9" s="58" t="s">
        <v>1048</v>
      </c>
      <c r="T9" s="58">
        <v>1</v>
      </c>
      <c r="U9" s="58" t="s">
        <v>164</v>
      </c>
      <c r="V9" s="58" t="s">
        <v>1067</v>
      </c>
      <c r="W9" s="58" t="s">
        <v>1068</v>
      </c>
      <c r="X9" s="481" t="s">
        <v>1069</v>
      </c>
      <c r="Y9" s="481" t="s">
        <v>1069</v>
      </c>
      <c r="Z9" s="229" t="s">
        <v>1020</v>
      </c>
      <c r="AA9" s="229" t="s">
        <v>1021</v>
      </c>
      <c r="AB9" s="39">
        <v>0</v>
      </c>
      <c r="AC9" s="39" t="s">
        <v>1070</v>
      </c>
      <c r="AD9" s="39">
        <v>0</v>
      </c>
      <c r="AE9" s="95" t="s">
        <v>1071</v>
      </c>
      <c r="AF9" s="229">
        <v>-1</v>
      </c>
      <c r="AG9" s="229" t="s">
        <v>1026</v>
      </c>
      <c r="AH9" s="229" t="s">
        <v>1027</v>
      </c>
      <c r="AI9" s="229" t="s">
        <v>1026</v>
      </c>
      <c r="AR9" s="39" t="str">
        <f t="shared" si="1"/>
        <v>[,,]</v>
      </c>
      <c r="AU9" s="39" t="str">
        <f>"["&amp;AR25&amp;","&amp;AR26&amp;","&amp;AR27&amp;"]"</f>
        <v>[[ic_dcj_15,tx_ld_pm_01,ui_dcj_k_1],[ic_dcj_14,tx_ld_zd_01,ui_dcj_k_3],[ic_dcj_16,tx_ld_xyjf_01,ui_dcj_k_3]]</v>
      </c>
      <c r="AV9"/>
      <c r="AW9"/>
      <c r="AX9"/>
      <c r="AY9"/>
      <c r="AZ9"/>
      <c r="BA9"/>
      <c r="BB9"/>
      <c r="BC9"/>
      <c r="BD9"/>
    </row>
    <row r="10" spans="1:56" x14ac:dyDescent="0.35">
      <c r="A10" s="39">
        <v>6</v>
      </c>
      <c r="B10" s="39">
        <v>0</v>
      </c>
      <c r="C10" s="5">
        <v>20000</v>
      </c>
      <c r="D10" s="5">
        <v>100000</v>
      </c>
      <c r="E10" s="5">
        <v>15000000</v>
      </c>
      <c r="F10" s="5">
        <v>-1</v>
      </c>
      <c r="G10" s="39">
        <v>2</v>
      </c>
      <c r="H10" s="39">
        <f>C10</f>
        <v>20000</v>
      </c>
      <c r="I10" s="39">
        <v>0</v>
      </c>
      <c r="J10" s="39" t="s">
        <v>148</v>
      </c>
      <c r="K10" s="39" t="s">
        <v>148</v>
      </c>
      <c r="L10" s="58"/>
      <c r="M10" s="58"/>
      <c r="N10" s="58"/>
      <c r="O10" s="58"/>
      <c r="P10" s="58"/>
      <c r="Q10" s="58"/>
      <c r="R10" s="58" t="s">
        <v>1047</v>
      </c>
      <c r="S10" s="58" t="s">
        <v>1048</v>
      </c>
      <c r="T10" s="58">
        <v>1</v>
      </c>
      <c r="U10" s="72">
        <v>0</v>
      </c>
      <c r="V10" s="72" t="s">
        <v>1072</v>
      </c>
      <c r="W10" s="72" t="s">
        <v>2100</v>
      </c>
      <c r="X10" s="481" t="s">
        <v>1073</v>
      </c>
      <c r="Y10" s="482" t="s">
        <v>1073</v>
      </c>
      <c r="Z10" s="229" t="s">
        <v>1020</v>
      </c>
      <c r="AA10" s="229" t="s">
        <v>1021</v>
      </c>
      <c r="AB10" s="39" t="s">
        <v>1074</v>
      </c>
      <c r="AC10" s="39" t="s">
        <v>1075</v>
      </c>
      <c r="AD10" s="39" t="s">
        <v>1024</v>
      </c>
      <c r="AE10" s="95" t="s">
        <v>1076</v>
      </c>
      <c r="AF10" s="229">
        <v>-1</v>
      </c>
      <c r="AG10" s="229" t="s">
        <v>1026</v>
      </c>
      <c r="AH10" s="229" t="s">
        <v>1027</v>
      </c>
      <c r="AI10" s="229" t="s">
        <v>1026</v>
      </c>
      <c r="AM10" s="39" t="s">
        <v>1077</v>
      </c>
      <c r="AN10" s="39" t="s">
        <v>1078</v>
      </c>
      <c r="AO10" s="39" t="s">
        <v>1079</v>
      </c>
      <c r="AP10" s="39" t="s">
        <v>1045</v>
      </c>
      <c r="AR10" s="39" t="str">
        <f t="shared" si="1"/>
        <v>[ic_dcj_4,tx_ld_as_01,ui_dcj_k_3]</v>
      </c>
      <c r="AU10" s="39" t="str">
        <f>"["&amp;AR30&amp;","&amp;AR31&amp;","&amp;AR32&amp;"]"</f>
        <v>[[ic_dcj_13,tx_ld_hjyhzz_01,ui_dcj_k_1],[ic_dcj_12,tx_ld_pb_01,ui_dcj_k_3],[ic_dcj_7,tx_ld_jc_01,ui_dcj_k_1]]</v>
      </c>
      <c r="AV10"/>
      <c r="AW10"/>
      <c r="AX10"/>
      <c r="AY10"/>
      <c r="AZ10"/>
      <c r="BA10"/>
      <c r="BB10"/>
      <c r="BC10"/>
      <c r="BD10"/>
    </row>
    <row r="11" spans="1:56" x14ac:dyDescent="0.3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AM11" s="39" t="s">
        <v>1080</v>
      </c>
      <c r="AN11" s="39" t="s">
        <v>1081</v>
      </c>
      <c r="AO11" s="39" t="s">
        <v>1082</v>
      </c>
      <c r="AP11" s="39" t="s">
        <v>1045</v>
      </c>
      <c r="AR11" s="39" t="str">
        <f t="shared" si="1"/>
        <v>[ic_dcj_3,tx_ld_xyxkp_01,ui_dcj_k_3]</v>
      </c>
      <c r="AV11"/>
      <c r="AW11"/>
      <c r="AX11"/>
      <c r="AY11"/>
      <c r="AZ11"/>
      <c r="BA11"/>
      <c r="BB11"/>
      <c r="BC11"/>
      <c r="BD11"/>
    </row>
    <row r="12" spans="1:56" x14ac:dyDescent="0.3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AV12"/>
      <c r="AW12"/>
      <c r="AX12"/>
      <c r="AY12"/>
      <c r="AZ12"/>
      <c r="BA12"/>
      <c r="BB12"/>
      <c r="BC12"/>
      <c r="BD12"/>
    </row>
    <row r="13" spans="1:56" x14ac:dyDescent="0.3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AV13"/>
      <c r="AW13"/>
      <c r="AX13"/>
      <c r="AY13"/>
      <c r="AZ13"/>
      <c r="BA13"/>
      <c r="BB13"/>
      <c r="BC13"/>
      <c r="BD13"/>
    </row>
    <row r="14" spans="1:56" x14ac:dyDescent="0.3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AR14" s="39" t="str">
        <f t="shared" si="1"/>
        <v>[,,]</v>
      </c>
      <c r="AV14"/>
      <c r="AW14"/>
      <c r="AX14"/>
      <c r="AY14"/>
      <c r="AZ14"/>
      <c r="BA14"/>
      <c r="BB14"/>
      <c r="BC14"/>
      <c r="BD14"/>
    </row>
    <row r="15" spans="1:56" x14ac:dyDescent="0.3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AB15"/>
      <c r="AC15"/>
      <c r="AM15" s="39" t="s">
        <v>1083</v>
      </c>
      <c r="AN15" s="39" t="s">
        <v>1084</v>
      </c>
      <c r="AO15" s="39" t="s">
        <v>1085</v>
      </c>
      <c r="AP15" s="39" t="s">
        <v>1045</v>
      </c>
      <c r="AR15" s="39" t="str">
        <f t="shared" si="1"/>
        <v>[ic_dcj_5,tx_ld_cs_01,ui_dcj_k_3]</v>
      </c>
      <c r="AV15"/>
      <c r="AW15"/>
      <c r="AX15"/>
      <c r="AY15"/>
      <c r="AZ15"/>
      <c r="BA15"/>
      <c r="BB15"/>
      <c r="BC15"/>
      <c r="BD15"/>
    </row>
    <row r="16" spans="1:56" x14ac:dyDescent="0.3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Y16"/>
      <c r="AB16"/>
      <c r="AC16"/>
      <c r="AM16" s="39" t="s">
        <v>1086</v>
      </c>
      <c r="AN16" s="39" t="s">
        <v>1087</v>
      </c>
      <c r="AO16" s="39" t="s">
        <v>1088</v>
      </c>
      <c r="AP16" s="39" t="s">
        <v>1031</v>
      </c>
      <c r="AR16" s="39" t="str">
        <f t="shared" si="1"/>
        <v>[ic_dcj_7,tx_ld_jc_01,ui_dcj_k_1]</v>
      </c>
      <c r="AV16"/>
      <c r="AW16"/>
      <c r="AX16"/>
      <c r="AY16"/>
      <c r="AZ16"/>
      <c r="BA16"/>
      <c r="BB16"/>
      <c r="BC16"/>
      <c r="BD16"/>
    </row>
    <row r="17" spans="1:56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AB17"/>
      <c r="AC17"/>
      <c r="AV17"/>
      <c r="AW17"/>
      <c r="AX17"/>
      <c r="AY17"/>
      <c r="AZ17"/>
      <c r="BA17"/>
      <c r="BB17"/>
      <c r="BC17"/>
      <c r="BD17"/>
    </row>
    <row r="18" spans="1:56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AB18"/>
      <c r="AC18"/>
      <c r="AV18"/>
      <c r="AW18"/>
      <c r="AX18"/>
      <c r="AY18"/>
      <c r="AZ18"/>
      <c r="BA18"/>
      <c r="BB18"/>
      <c r="BC18"/>
      <c r="BD18"/>
    </row>
    <row r="19" spans="1:56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AV19"/>
      <c r="AW19"/>
      <c r="AX19"/>
      <c r="AY19"/>
      <c r="AZ19"/>
      <c r="BA19"/>
      <c r="BB19"/>
      <c r="BC19"/>
      <c r="BD19"/>
    </row>
    <row r="20" spans="1:56" x14ac:dyDescent="0.3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AM20" s="39" t="s">
        <v>1089</v>
      </c>
      <c r="AN20" s="39" t="s">
        <v>1090</v>
      </c>
      <c r="AO20" s="39" t="s">
        <v>1091</v>
      </c>
      <c r="AP20" s="39" t="s">
        <v>1045</v>
      </c>
      <c r="AR20" s="39" t="str">
        <f t="shared" si="1"/>
        <v>[ic_dcj_6,tx_ld_xlj_01,ui_dcj_k_3]</v>
      </c>
      <c r="AV20"/>
      <c r="AW20"/>
      <c r="AX20"/>
      <c r="AY20"/>
      <c r="AZ20"/>
      <c r="BA20"/>
      <c r="BB20"/>
      <c r="BC20"/>
      <c r="BD20"/>
    </row>
    <row r="21" spans="1:56" x14ac:dyDescent="0.35">
      <c r="AM21" s="39" t="s">
        <v>1086</v>
      </c>
      <c r="AN21" s="39" t="s">
        <v>1087</v>
      </c>
      <c r="AO21" s="39" t="s">
        <v>1088</v>
      </c>
      <c r="AP21" s="39" t="s">
        <v>1031</v>
      </c>
      <c r="AR21" s="39" t="str">
        <f t="shared" si="1"/>
        <v>[ic_dcj_7,tx_ld_jc_01,ui_dcj_k_1]</v>
      </c>
      <c r="AV21"/>
      <c r="AW21"/>
      <c r="AX21"/>
      <c r="AY21"/>
      <c r="AZ21"/>
      <c r="BA21"/>
      <c r="BB21"/>
      <c r="BC21"/>
      <c r="BD21"/>
    </row>
    <row r="22" spans="1:56" x14ac:dyDescent="0.35">
      <c r="AV22"/>
      <c r="AW22"/>
      <c r="AX22"/>
      <c r="AY22"/>
      <c r="AZ22"/>
      <c r="BA22"/>
      <c r="BB22"/>
      <c r="BC22"/>
      <c r="BD22"/>
    </row>
    <row r="23" spans="1:56" x14ac:dyDescent="0.35">
      <c r="AV23"/>
      <c r="AW23"/>
      <c r="AX23"/>
      <c r="AY23"/>
      <c r="AZ23"/>
      <c r="BA23"/>
      <c r="BB23"/>
      <c r="BC23"/>
      <c r="BD23"/>
    </row>
    <row r="24" spans="1:56" x14ac:dyDescent="0.35">
      <c r="AV24"/>
      <c r="AW24"/>
      <c r="AX24"/>
      <c r="AY24"/>
      <c r="AZ24"/>
      <c r="BA24"/>
      <c r="BB24"/>
      <c r="BC24"/>
      <c r="BD24"/>
    </row>
    <row r="25" spans="1:56" x14ac:dyDescent="0.35">
      <c r="AM25" s="39" t="s">
        <v>1092</v>
      </c>
      <c r="AN25" s="39" t="s">
        <v>1093</v>
      </c>
      <c r="AO25" s="39" t="s">
        <v>1094</v>
      </c>
      <c r="AP25" s="39" t="s">
        <v>1031</v>
      </c>
      <c r="AR25" s="39" t="str">
        <f t="shared" si="1"/>
        <v>[ic_dcj_15,tx_ld_pm_01,ui_dcj_k_1]</v>
      </c>
      <c r="AV25"/>
      <c r="AW25"/>
      <c r="AX25"/>
      <c r="AY25"/>
      <c r="AZ25"/>
      <c r="BA25"/>
      <c r="BB25"/>
      <c r="BC25"/>
      <c r="BD25"/>
    </row>
    <row r="26" spans="1:56" x14ac:dyDescent="0.35">
      <c r="AM26" s="39" t="s">
        <v>1095</v>
      </c>
      <c r="AN26" s="39" t="s">
        <v>1096</v>
      </c>
      <c r="AO26" s="39" t="s">
        <v>1097</v>
      </c>
      <c r="AP26" s="39" t="s">
        <v>1045</v>
      </c>
      <c r="AR26" s="39" t="str">
        <f t="shared" si="1"/>
        <v>[ic_dcj_14,tx_ld_zd_01,ui_dcj_k_3]</v>
      </c>
      <c r="AV26"/>
      <c r="AW26"/>
      <c r="AX26"/>
      <c r="AY26"/>
      <c r="AZ26"/>
      <c r="BA26"/>
      <c r="BB26"/>
      <c r="BC26"/>
      <c r="BD26"/>
    </row>
    <row r="27" spans="1:56" x14ac:dyDescent="0.35">
      <c r="AM27" s="39" t="s">
        <v>1098</v>
      </c>
      <c r="AN27" s="39" t="s">
        <v>1099</v>
      </c>
      <c r="AO27" s="39" t="s">
        <v>1100</v>
      </c>
      <c r="AP27" s="39" t="s">
        <v>1045</v>
      </c>
      <c r="AR27" s="39" t="str">
        <f t="shared" si="1"/>
        <v>[ic_dcj_16,tx_ld_xyjf_01,ui_dcj_k_3]</v>
      </c>
      <c r="AV27"/>
      <c r="AW27"/>
      <c r="AX27"/>
      <c r="AY27"/>
      <c r="AZ27"/>
      <c r="BA27"/>
      <c r="BB27"/>
      <c r="BC27"/>
      <c r="BD27"/>
    </row>
    <row r="28" spans="1:56" x14ac:dyDescent="0.35">
      <c r="AV28"/>
      <c r="AW28"/>
      <c r="AX28"/>
      <c r="AY28"/>
      <c r="AZ28"/>
      <c r="BA28"/>
      <c r="BB28"/>
      <c r="BC28"/>
      <c r="BD28"/>
    </row>
    <row r="29" spans="1:56" x14ac:dyDescent="0.35">
      <c r="AV29"/>
      <c r="AW29"/>
      <c r="AX29"/>
      <c r="AY29"/>
      <c r="AZ29"/>
      <c r="BA29"/>
      <c r="BB29"/>
      <c r="BC29"/>
      <c r="BD29"/>
    </row>
    <row r="30" spans="1:56" x14ac:dyDescent="0.35">
      <c r="AM30" s="39" t="s">
        <v>1101</v>
      </c>
      <c r="AN30" s="39" t="s">
        <v>1102</v>
      </c>
      <c r="AO30" s="39" t="s">
        <v>1103</v>
      </c>
      <c r="AP30" s="39" t="s">
        <v>1031</v>
      </c>
      <c r="AR30" s="39" t="str">
        <f t="shared" si="1"/>
        <v>[ic_dcj_13,tx_ld_hjyhzz_01,ui_dcj_k_1]</v>
      </c>
      <c r="AV30"/>
      <c r="AW30"/>
      <c r="AX30"/>
      <c r="AY30"/>
      <c r="AZ30"/>
      <c r="BA30"/>
      <c r="BB30"/>
      <c r="BC30"/>
      <c r="BD30"/>
    </row>
    <row r="31" spans="1:56" x14ac:dyDescent="0.35">
      <c r="AM31" s="39" t="s">
        <v>1104</v>
      </c>
      <c r="AN31" s="39" t="s">
        <v>1105</v>
      </c>
      <c r="AO31" s="39" t="s">
        <v>1106</v>
      </c>
      <c r="AP31" s="39" t="s">
        <v>1045</v>
      </c>
      <c r="AR31" s="39" t="str">
        <f t="shared" si="1"/>
        <v>[ic_dcj_12,tx_ld_pb_01,ui_dcj_k_3]</v>
      </c>
      <c r="AV31"/>
      <c r="AW31"/>
      <c r="AX31"/>
      <c r="AY31"/>
      <c r="AZ31"/>
      <c r="BA31"/>
      <c r="BB31"/>
      <c r="BC31"/>
      <c r="BD31"/>
    </row>
    <row r="32" spans="1:56" x14ac:dyDescent="0.35">
      <c r="AM32" s="39" t="s">
        <v>1086</v>
      </c>
      <c r="AN32" s="39" t="s">
        <v>1087</v>
      </c>
      <c r="AO32" s="39" t="s">
        <v>1088</v>
      </c>
      <c r="AP32" s="39" t="s">
        <v>1031</v>
      </c>
      <c r="AR32" s="39" t="str">
        <f t="shared" si="1"/>
        <v>[ic_dcj_7,tx_ld_jc_01,ui_dcj_k_1]</v>
      </c>
      <c r="AV32"/>
      <c r="AW32"/>
      <c r="AX32"/>
      <c r="AY32"/>
      <c r="AZ32"/>
      <c r="BA32"/>
      <c r="BB32"/>
      <c r="BC32"/>
      <c r="BD32"/>
    </row>
    <row r="33" spans="48:56" x14ac:dyDescent="0.35">
      <c r="AV33"/>
      <c r="AW33"/>
      <c r="AX33"/>
      <c r="AY33"/>
      <c r="AZ33"/>
      <c r="BA33"/>
      <c r="BB33"/>
      <c r="BC33"/>
      <c r="BD33"/>
    </row>
  </sheetData>
  <phoneticPr fontId="57" type="noConversion"/>
  <conditionalFormatting sqref="X5">
    <cfRule type="containsText" dxfId="1548" priority="2" operator="containsText" text=" ">
      <formula>NOT(ISERROR(SEARCH(" ",X5)))</formula>
    </cfRule>
  </conditionalFormatting>
  <conditionalFormatting sqref="Y5">
    <cfRule type="containsText" dxfId="1547" priority="5" operator="containsText" text=" ">
      <formula>NOT(ISERROR(SEARCH(" ",Y5)))</formula>
    </cfRule>
  </conditionalFormatting>
  <conditionalFormatting sqref="X6">
    <cfRule type="containsText" dxfId="1546" priority="1" operator="containsText" text=" ">
      <formula>NOT(ISERROR(SEARCH(" ",X6)))</formula>
    </cfRule>
    <cfRule type="containsText" dxfId="1545" priority="3" operator="containsText" text=" ">
      <formula>NOT(ISERROR(SEARCH(" ",X6)))</formula>
    </cfRule>
  </conditionalFormatting>
  <conditionalFormatting sqref="Y6">
    <cfRule type="containsText" dxfId="1544" priority="4" operator="containsText" text=" ">
      <formula>NOT(ISERROR(SEARCH(" ",Y6)))</formula>
    </cfRule>
  </conditionalFormatting>
  <conditionalFormatting sqref="X7">
    <cfRule type="containsText" dxfId="1543" priority="17" operator="containsText" text=" ">
      <formula>NOT(ISERROR(SEARCH(" ",X7)))</formula>
    </cfRule>
  </conditionalFormatting>
  <conditionalFormatting sqref="AA7">
    <cfRule type="containsText" dxfId="1542" priority="46" operator="containsText" text=" ">
      <formula>NOT(ISERROR(SEARCH(" ",AA7)))</formula>
    </cfRule>
  </conditionalFormatting>
  <conditionalFormatting sqref="X8">
    <cfRule type="containsText" dxfId="1541" priority="15" operator="containsText" text=" ">
      <formula>NOT(ISERROR(SEARCH(" ",X8)))</formula>
    </cfRule>
  </conditionalFormatting>
  <conditionalFormatting sqref="AA8">
    <cfRule type="containsText" dxfId="1540" priority="24" operator="containsText" text=" ">
      <formula>NOT(ISERROR(SEARCH(" ",AA8)))</formula>
    </cfRule>
  </conditionalFormatting>
  <conditionalFormatting sqref="X9">
    <cfRule type="containsText" dxfId="1539" priority="13" operator="containsText" text=" ">
      <formula>NOT(ISERROR(SEARCH(" ",X9)))</formula>
    </cfRule>
  </conditionalFormatting>
  <conditionalFormatting sqref="Y9">
    <cfRule type="containsText" dxfId="1538" priority="9" operator="containsText" text=" ">
      <formula>NOT(ISERROR(SEARCH(" ",Y9)))</formula>
    </cfRule>
  </conditionalFormatting>
  <conditionalFormatting sqref="Z9">
    <cfRule type="containsText" dxfId="1537" priority="26" operator="containsText" text=" ">
      <formula>NOT(ISERROR(SEARCH(" ",Z9)))</formula>
    </cfRule>
    <cfRule type="containsText" dxfId="1536" priority="27" operator="containsText" text=" ">
      <formula>NOT(ISERROR(SEARCH(" ",Z9)))</formula>
    </cfRule>
  </conditionalFormatting>
  <conditionalFormatting sqref="AA9">
    <cfRule type="containsText" dxfId="1535" priority="25" operator="containsText" text=" ">
      <formula>NOT(ISERROR(SEARCH(" ",AA9)))</formula>
    </cfRule>
  </conditionalFormatting>
  <conditionalFormatting sqref="H10">
    <cfRule type="containsText" dxfId="1534" priority="11" operator="containsText" text=" ">
      <formula>NOT(ISERROR(SEARCH(" ",H10)))</formula>
    </cfRule>
  </conditionalFormatting>
  <conditionalFormatting sqref="T10:W10">
    <cfRule type="containsText" dxfId="1533" priority="33" operator="containsText" text=" ">
      <formula>NOT(ISERROR(SEARCH(" ",T10)))</formula>
    </cfRule>
  </conditionalFormatting>
  <conditionalFormatting sqref="X10">
    <cfRule type="containsText" dxfId="1532" priority="14" operator="containsText" text=" ">
      <formula>NOT(ISERROR(SEARCH(" ",X10)))</formula>
    </cfRule>
  </conditionalFormatting>
  <conditionalFormatting sqref="Y10">
    <cfRule type="containsText" dxfId="1531" priority="12" operator="containsText" text=" ">
      <formula>NOT(ISERROR(SEARCH(" ",Y10)))</formula>
    </cfRule>
  </conditionalFormatting>
  <conditionalFormatting sqref="AA10">
    <cfRule type="containsText" dxfId="1530" priority="31" operator="containsText" text=" ">
      <formula>NOT(ISERROR(SEARCH(" ",AA10)))</formula>
    </cfRule>
  </conditionalFormatting>
  <conditionalFormatting sqref="AE10">
    <cfRule type="containsText" dxfId="1529" priority="22" operator="containsText" text=" ">
      <formula>NOT(ISERROR(SEARCH(" ",AE10)))</formula>
    </cfRule>
  </conditionalFormatting>
  <conditionalFormatting sqref="Q1:Q4">
    <cfRule type="containsText" dxfId="1528" priority="8" operator="containsText" text=" ">
      <formula>NOT(ISERROR(SEARCH(" ",Q1)))</formula>
    </cfRule>
  </conditionalFormatting>
  <conditionalFormatting sqref="Y6:Y8">
    <cfRule type="containsText" dxfId="1527" priority="16" operator="containsText" text=" ">
      <formula>NOT(ISERROR(SEARCH(" ",Y6)))</formula>
    </cfRule>
  </conditionalFormatting>
  <conditionalFormatting sqref="AC1:AC3">
    <cfRule type="containsText" dxfId="1526" priority="7" operator="containsText" text=" ">
      <formula>NOT(ISERROR(SEARCH(" ",AC1)))</formula>
    </cfRule>
  </conditionalFormatting>
  <conditionalFormatting sqref="AE5:AE9">
    <cfRule type="containsText" dxfId="1525" priority="23" operator="containsText" text=" ">
      <formula>NOT(ISERROR(SEARCH(" ",AE5)))</formula>
    </cfRule>
  </conditionalFormatting>
  <conditionalFormatting sqref="AI5:AI8">
    <cfRule type="containsText" dxfId="1524" priority="10" operator="containsText" text=" ">
      <formula>NOT(ISERROR(SEARCH(" ",AI5)))</formula>
    </cfRule>
  </conditionalFormatting>
  <conditionalFormatting sqref="Z6:Z8 Z5:AA5 AF5:AH5 AJ5:AJ9 AF6:AF9 Z16:AA16 AD15:AF18 A16:X16 A11:AF14 A15:AA15 A17:AA18 A19:AF1048576 AG6:AH8 AG9:AI10 A1:P4 R1:S8 AV6:XFD9 A9:S9 A5:L8">
    <cfRule type="containsText" dxfId="1523" priority="44" operator="containsText" text=" ">
      <formula>NOT(ISERROR(SEARCH(" ",A1)))</formula>
    </cfRule>
  </conditionalFormatting>
  <conditionalFormatting sqref="AC5 AV10:XFD10 AV15:XFD15 AV20:XFD20 AV25:XFD25 AV30:XFD30 AL6:AU10 AG15:AT15 AG20:AT20 AG21:XFD24 AG25:AT25 AG26:XFD29 AG31:XFD1048576 AG30:AT30 AL5:XFD5 T4:XFD4 AD1:XFD3 AG16:XFD19 AG11:XFD14">
    <cfRule type="containsText" dxfId="1522" priority="6" operator="containsText" text=" ">
      <formula>NOT(ISERROR(SEARCH(" ",T1)))</formula>
    </cfRule>
  </conditionalFormatting>
  <conditionalFormatting sqref="T5:W9 T1:AB3">
    <cfRule type="containsText" dxfId="1521" priority="48" operator="containsText" text=" ">
      <formula>NOT(ISERROR(SEARCH(" ",T1)))</formula>
    </cfRule>
  </conditionalFormatting>
  <conditionalFormatting sqref="AB7:AC7 AD5:AD7 AB8:AD9 AA6:AC6 Z6:Z8 Z5:AA5">
    <cfRule type="containsText" dxfId="1520" priority="47" operator="containsText" text=" ">
      <formula>NOT(ISERROR(SEARCH(" ",Z5)))</formula>
    </cfRule>
  </conditionalFormatting>
  <conditionalFormatting sqref="AF10 AJ10 Z10 A10:G10 I10:S10">
    <cfRule type="containsText" dxfId="1519" priority="30" operator="containsText" text=" ">
      <formula>NOT(ISERROR(SEARCH(" ",A10)))</formula>
    </cfRule>
  </conditionalFormatting>
  <conditionalFormatting sqref="AB10:AD10 Z10">
    <cfRule type="containsText" dxfId="1518" priority="32" operator="containsText" text=" ">
      <formula>NOT(ISERROR(SEARCH(" ",Z10)))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3"/>
  <sheetViews>
    <sheetView workbookViewId="0">
      <pane xSplit="7" ySplit="4" topLeftCell="R77" activePane="bottomRight" state="frozen"/>
      <selection pane="topRight"/>
      <selection pane="bottomLeft"/>
      <selection pane="bottomRight" activeCell="AB100" sqref="AB100"/>
    </sheetView>
  </sheetViews>
  <sheetFormatPr defaultColWidth="9" defaultRowHeight="15.6" x14ac:dyDescent="0.25"/>
  <cols>
    <col min="1" max="1" width="9.88671875" style="1" customWidth="1"/>
    <col min="2" max="2" width="16.21875" style="1" customWidth="1"/>
    <col min="3" max="3" width="22.33203125" style="1" customWidth="1"/>
    <col min="4" max="5" width="12.33203125" style="1" customWidth="1"/>
    <col min="6" max="6" width="14" style="1" customWidth="1"/>
    <col min="7" max="7" width="15.33203125" style="1" customWidth="1"/>
    <col min="8" max="10" width="12.33203125" style="1" customWidth="1"/>
    <col min="11" max="11" width="9" style="1"/>
    <col min="12" max="12" width="13.5546875" style="1" customWidth="1"/>
    <col min="13" max="14" width="14.21875" style="1" customWidth="1"/>
    <col min="15" max="15" width="10.88671875" style="1" customWidth="1"/>
    <col min="16" max="16" width="9.77734375" style="1" customWidth="1"/>
    <col min="17" max="17" width="11.109375" style="1" customWidth="1"/>
    <col min="18" max="18" width="10.33203125" style="1" customWidth="1"/>
    <col min="19" max="19" width="9" style="1"/>
    <col min="20" max="21" width="8.21875" style="6" customWidth="1"/>
    <col min="22" max="22" width="6.44140625" style="6" customWidth="1"/>
    <col min="23" max="23" width="5.21875" style="6" customWidth="1"/>
    <col min="24" max="25" width="8.21875" style="6" customWidth="1"/>
    <col min="26" max="26" width="6.44140625" style="6" customWidth="1"/>
    <col min="27" max="27" width="4.88671875" style="6" customWidth="1"/>
    <col min="28" max="28" width="10.88671875" style="6" customWidth="1"/>
    <col min="29" max="29" width="8.21875" style="6" customWidth="1"/>
    <col min="30" max="30" width="6.44140625" style="6" customWidth="1"/>
    <col min="31" max="32" width="4.88671875" style="6" customWidth="1"/>
    <col min="33" max="33" width="9" style="1"/>
    <col min="34" max="34" width="10.88671875" style="1" customWidth="1"/>
    <col min="35" max="35" width="10.21875" style="1" customWidth="1"/>
    <col min="36" max="36" width="9" style="1"/>
    <col min="37" max="37" width="10.109375" style="1" customWidth="1"/>
    <col min="38" max="38" width="11.44140625" style="1" customWidth="1"/>
    <col min="39" max="39" width="10.88671875" style="1" customWidth="1"/>
    <col min="40" max="40" width="10.21875" style="1" customWidth="1"/>
    <col min="41" max="41" width="9" style="1"/>
    <col min="42" max="44" width="11.44140625" style="1" customWidth="1"/>
    <col min="45" max="46" width="9" style="1"/>
    <col min="47" max="47" width="11.6640625" style="1" customWidth="1"/>
    <col min="48" max="16384" width="9" style="1"/>
  </cols>
  <sheetData>
    <row r="1" spans="1:53" ht="16.2" x14ac:dyDescent="0.4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39"/>
      <c r="I1" s="39"/>
      <c r="J1" s="39"/>
      <c r="L1" s="427"/>
      <c r="M1" s="427"/>
      <c r="N1" s="427"/>
      <c r="O1" s="427"/>
      <c r="P1" s="427"/>
      <c r="Q1" s="427"/>
      <c r="AH1" s="441" t="s">
        <v>1107</v>
      </c>
      <c r="AI1" s="442">
        <f>SUMIF(AH5:AH100,AH1,AK5:AK100)</f>
        <v>17</v>
      </c>
      <c r="AJ1" s="442" t="s">
        <v>1108</v>
      </c>
      <c r="AK1" s="443">
        <f>SUMIF(AH5:AH100,AJ1,AK5:AK100)</f>
        <v>0</v>
      </c>
      <c r="AL1" s="444">
        <f>SUM(AL5:AL54)</f>
        <v>3635000</v>
      </c>
      <c r="AM1" s="445" t="s">
        <v>1107</v>
      </c>
      <c r="AN1" s="446">
        <f>SUMIF(AM5:AM100,AM1,AP5:AP100)</f>
        <v>450</v>
      </c>
      <c r="AO1" s="446" t="s">
        <v>1108</v>
      </c>
      <c r="AP1" s="463">
        <f>SUMIF(AM5:AM100,AO1,AP5:AP100)</f>
        <v>5</v>
      </c>
      <c r="AQ1" s="464">
        <f>SUM(AQ5:AQ54)</f>
        <v>299600000</v>
      </c>
    </row>
    <row r="2" spans="1:53" ht="16.2" x14ac:dyDescent="0.4">
      <c r="A2" s="2" t="s">
        <v>11</v>
      </c>
      <c r="B2" s="2" t="s">
        <v>11</v>
      </c>
      <c r="C2" s="2" t="s">
        <v>14</v>
      </c>
      <c r="D2" s="2" t="s">
        <v>14</v>
      </c>
      <c r="E2" s="2" t="s">
        <v>14</v>
      </c>
      <c r="F2" s="2" t="s">
        <v>12</v>
      </c>
      <c r="G2" s="2" t="s">
        <v>12</v>
      </c>
      <c r="H2" s="39"/>
      <c r="I2" s="39"/>
      <c r="J2" s="39"/>
      <c r="K2" s="427"/>
      <c r="L2" s="427"/>
      <c r="M2" s="427">
        <f>M103/60/4</f>
        <v>282.13749999999999</v>
      </c>
      <c r="N2" s="427"/>
      <c r="O2" s="427"/>
      <c r="P2" s="427"/>
      <c r="Q2" s="427"/>
      <c r="R2" s="427"/>
      <c r="AH2" s="447" t="s">
        <v>1109</v>
      </c>
      <c r="AI2" s="448">
        <f>SUMIF(AH5:AH100,AH2,AK5:AK100)</f>
        <v>0</v>
      </c>
      <c r="AJ2" s="448" t="s">
        <v>1110</v>
      </c>
      <c r="AK2" s="449">
        <f>SUMIF(AH5:AH100,AJ2,AK5:AK100)</f>
        <v>0</v>
      </c>
      <c r="AL2" s="450">
        <f>AL1/500000</f>
        <v>7.27</v>
      </c>
      <c r="AM2" s="451" t="s">
        <v>1109</v>
      </c>
      <c r="AN2" s="452">
        <f>SUMIF(AM5:AM100,AM2,AP5:AP100)</f>
        <v>0</v>
      </c>
      <c r="AO2" s="452" t="s">
        <v>1110</v>
      </c>
      <c r="AP2" s="465">
        <f>SUMIF(AM5:AM100,AO2,AP5:AP100)</f>
        <v>0</v>
      </c>
      <c r="AQ2" s="464">
        <f>AQ1/500000</f>
        <v>599.20000000000005</v>
      </c>
    </row>
    <row r="3" spans="1:53" x14ac:dyDescent="0.35">
      <c r="A3" s="2" t="s">
        <v>1111</v>
      </c>
      <c r="B3" s="2" t="s">
        <v>1112</v>
      </c>
      <c r="C3" s="2" t="s">
        <v>1113</v>
      </c>
      <c r="D3" s="2" t="s">
        <v>1114</v>
      </c>
      <c r="E3" s="2" t="s">
        <v>1115</v>
      </c>
      <c r="F3" s="2" t="s">
        <v>1116</v>
      </c>
      <c r="G3" s="2" t="s">
        <v>1117</v>
      </c>
      <c r="H3" s="39"/>
      <c r="I3" s="39"/>
      <c r="J3" s="39"/>
      <c r="K3" s="12"/>
      <c r="L3" s="1" t="s">
        <v>1118</v>
      </c>
      <c r="M3" s="1">
        <v>6</v>
      </c>
      <c r="T3" s="6" t="s">
        <v>862</v>
      </c>
      <c r="X3" s="6" t="s">
        <v>864</v>
      </c>
      <c r="AB3" s="6" t="s">
        <v>866</v>
      </c>
      <c r="AH3" s="453" t="s">
        <v>1119</v>
      </c>
      <c r="AI3" s="454">
        <f>SUMIF(AH5:AH100,AH3,AK5:AK100)</f>
        <v>0</v>
      </c>
      <c r="AJ3" s="454" t="s">
        <v>169</v>
      </c>
      <c r="AK3" s="455">
        <f>SUMIF(AH5:AH100,AJ3,AK5:AK100)</f>
        <v>2755000</v>
      </c>
      <c r="AL3" s="456"/>
      <c r="AM3" s="457" t="s">
        <v>1119</v>
      </c>
      <c r="AN3" s="458">
        <f>SUMIF(AM5:AM100,AM3,AP5:AP100)</f>
        <v>11</v>
      </c>
      <c r="AO3" s="458" t="s">
        <v>169</v>
      </c>
      <c r="AP3" s="466">
        <f>SUMIF(AM5:AM100,AO3,AP5:AP100)</f>
        <v>152800000</v>
      </c>
      <c r="AQ3" s="464"/>
      <c r="AR3" s="1">
        <f>AQ1/100000</f>
        <v>2996</v>
      </c>
      <c r="AU3" s="12" t="s">
        <v>1120</v>
      </c>
    </row>
    <row r="4" spans="1:53" ht="92.4" x14ac:dyDescent="0.35">
      <c r="A4" s="60" t="s">
        <v>1121</v>
      </c>
      <c r="B4" s="60" t="s">
        <v>1122</v>
      </c>
      <c r="C4" s="4" t="s">
        <v>1123</v>
      </c>
      <c r="D4" s="60" t="s">
        <v>1124</v>
      </c>
      <c r="E4" s="60" t="s">
        <v>1124</v>
      </c>
      <c r="F4" s="425" t="s">
        <v>1125</v>
      </c>
      <c r="G4" s="426" t="s">
        <v>1126</v>
      </c>
      <c r="H4" s="39"/>
      <c r="I4" s="39"/>
      <c r="J4" s="39"/>
      <c r="L4" s="428" t="s">
        <v>1127</v>
      </c>
      <c r="M4" s="428" t="s">
        <v>1128</v>
      </c>
      <c r="N4" s="428" t="s">
        <v>1129</v>
      </c>
      <c r="O4" s="66" t="s">
        <v>1130</v>
      </c>
      <c r="P4" s="428" t="s">
        <v>1131</v>
      </c>
      <c r="Q4" s="428" t="s">
        <v>1132</v>
      </c>
      <c r="T4" s="431" t="s">
        <v>1133</v>
      </c>
      <c r="U4" s="432" t="s">
        <v>1134</v>
      </c>
      <c r="V4" s="432" t="s">
        <v>1135</v>
      </c>
      <c r="W4" s="433" t="s">
        <v>99</v>
      </c>
      <c r="X4" s="434" t="s">
        <v>1133</v>
      </c>
      <c r="Y4" s="436" t="s">
        <v>1134</v>
      </c>
      <c r="Z4" s="436" t="s">
        <v>1135</v>
      </c>
      <c r="AA4" s="437" t="s">
        <v>99</v>
      </c>
      <c r="AB4" s="438" t="s">
        <v>1133</v>
      </c>
      <c r="AC4" s="439" t="s">
        <v>1134</v>
      </c>
      <c r="AD4" s="439" t="s">
        <v>1135</v>
      </c>
      <c r="AE4" s="440" t="s">
        <v>99</v>
      </c>
      <c r="AF4" s="1"/>
      <c r="AH4" s="459" t="s">
        <v>1136</v>
      </c>
      <c r="AI4" s="460" t="s">
        <v>1134</v>
      </c>
      <c r="AJ4" s="460" t="s">
        <v>1135</v>
      </c>
      <c r="AK4" s="460" t="s">
        <v>99</v>
      </c>
      <c r="AL4" s="460" t="s">
        <v>97</v>
      </c>
      <c r="AM4" s="461" t="s">
        <v>1137</v>
      </c>
      <c r="AN4" s="462" t="s">
        <v>1134</v>
      </c>
      <c r="AO4" s="462" t="s">
        <v>1135</v>
      </c>
      <c r="AP4" s="467" t="s">
        <v>99</v>
      </c>
      <c r="AQ4" s="468" t="s">
        <v>97</v>
      </c>
      <c r="AU4" s="1">
        <f>'抽奖|MoonBless'!DN4</f>
        <v>0</v>
      </c>
      <c r="AV4" s="1" t="str">
        <f>'抽奖|MoonBless'!DO4</f>
        <v>人民币价值</v>
      </c>
      <c r="AW4" s="1" t="str">
        <f>'抽奖|MoonBless'!DP4</f>
        <v>价值
钻石价值</v>
      </c>
      <c r="AX4" s="1" t="str">
        <f>'抽奖|MoonBless'!DQ4</f>
        <v>物品类型</v>
      </c>
      <c r="AY4" s="1" t="str">
        <f>'抽奖|MoonBless'!DR4</f>
        <v>id</v>
      </c>
      <c r="AZ4" s="1" t="str">
        <f>'抽奖|MoonBless'!DS4</f>
        <v>价值加成</v>
      </c>
      <c r="BA4" s="1" t="s">
        <v>97</v>
      </c>
    </row>
    <row r="5" spans="1:53" ht="16.2" x14ac:dyDescent="0.35">
      <c r="A5" s="1">
        <v>1</v>
      </c>
      <c r="B5" s="83">
        <f>Q5</f>
        <v>520</v>
      </c>
      <c r="C5" s="39" t="str">
        <f>U5&amp;"|"&amp;V5&amp;"|"&amp;W5</f>
        <v>1|1|1</v>
      </c>
      <c r="D5" s="39" t="str">
        <f>Y5&amp;"|"&amp;Z5&amp;"|"&amp;AA5</f>
        <v>2|1001|1</v>
      </c>
      <c r="E5" s="39" t="str">
        <f>AC5&amp;"|"&amp;AD5&amp;"|"&amp;AE5</f>
        <v>2|1002|1</v>
      </c>
      <c r="F5" s="39" t="str">
        <f>TRIM(IF(AH5&lt;&gt;"",AI5&amp;"|"&amp;AJ5&amp;"|"&amp;AK5,""))</f>
        <v/>
      </c>
      <c r="G5" s="39" t="str">
        <f>TRIM(IF(OR(AM5="",AM5=0),"",AN5&amp;"|"&amp;AO5&amp;"|"&amp;AP5))</f>
        <v/>
      </c>
      <c r="H5" s="39"/>
      <c r="I5" s="311" t="s">
        <v>1138</v>
      </c>
      <c r="J5" s="39"/>
      <c r="L5" s="1">
        <v>1.5</v>
      </c>
      <c r="M5" s="1">
        <f>SUM($L$5:L5)</f>
        <v>1.5</v>
      </c>
      <c r="N5" s="429">
        <f>M5/60/4</f>
        <v>6.2500000000000003E-3</v>
      </c>
      <c r="O5" s="1">
        <v>0.96</v>
      </c>
      <c r="P5" s="1">
        <f t="shared" ref="P5:P36" si="0">$M$3*O5*60</f>
        <v>345.59999999999997</v>
      </c>
      <c r="Q5" s="1">
        <f>ROUND(L5*P5/10,0)*10</f>
        <v>520</v>
      </c>
      <c r="S5"/>
      <c r="T5" s="6" t="s">
        <v>1107</v>
      </c>
      <c r="U5" s="70">
        <f t="shared" ref="U5:U44" si="1">VLOOKUP(T5,AU:AZ,4,0)</f>
        <v>1</v>
      </c>
      <c r="V5" s="70">
        <f t="shared" ref="V5:V44" si="2">VLOOKUP(T5,AU:AZ,5,0)</f>
        <v>1</v>
      </c>
      <c r="W5" s="435">
        <v>1</v>
      </c>
      <c r="X5" s="68" t="s">
        <v>1139</v>
      </c>
      <c r="Y5" s="6">
        <f t="shared" ref="Y5:Y44" si="3">VLOOKUP(X5,AU:AZ,4,0)</f>
        <v>2</v>
      </c>
      <c r="Z5" s="6">
        <f t="shared" ref="Z5:Z44" si="4">VLOOKUP(X5,AU:AZ,5,0)</f>
        <v>1001</v>
      </c>
      <c r="AA5" s="6">
        <v>1</v>
      </c>
      <c r="AB5" s="68" t="s">
        <v>1140</v>
      </c>
      <c r="AC5" s="6">
        <f t="shared" ref="AC5:AC44" si="5">VLOOKUP(AB5,AU:AZ,4,0)</f>
        <v>2</v>
      </c>
      <c r="AD5" s="6">
        <f t="shared" ref="AD5:AD44" si="6">VLOOKUP(AB5,AU:AZ,5,0)</f>
        <v>1002</v>
      </c>
      <c r="AE5" s="6">
        <v>1</v>
      </c>
      <c r="AG5" s="83">
        <v>1</v>
      </c>
      <c r="AI5" s="11" t="str">
        <f t="shared" ref="AI5:AI54" si="7">VLOOKUP(AH5,AU:AZ,4,0)</f>
        <v>物品类型</v>
      </c>
      <c r="AJ5" s="11" t="str">
        <f t="shared" ref="AJ5:AJ54" si="8">VLOOKUP(AH5,AU:AZ,5,0)</f>
        <v>id</v>
      </c>
      <c r="AK5" s="83" t="s">
        <v>1141</v>
      </c>
      <c r="AL5" s="83">
        <f>IF(AH5&lt;&gt;"",AK5*VLOOKUP(AH5,AU:BA,7,0),0)</f>
        <v>0</v>
      </c>
      <c r="AM5" s="1">
        <f>AH5</f>
        <v>0</v>
      </c>
      <c r="AN5" s="1" t="str">
        <f t="shared" ref="AN5:AN54" si="9">VLOOKUP(AM5,AU:AZ,4,0)</f>
        <v>物品类型</v>
      </c>
      <c r="AO5" s="1" t="str">
        <f t="shared" ref="AO5:AO54" si="10">VLOOKUP(AM5,AU:AZ,5,0)</f>
        <v>id</v>
      </c>
      <c r="AP5" s="469"/>
      <c r="AQ5" s="1">
        <f>IF(OR(AM5=0,AM5=""),0,AP5*VLOOKUP(AM5,AU:BA,7,0))</f>
        <v>0</v>
      </c>
      <c r="AU5" s="1" t="str">
        <f>'抽奖|MoonBless'!DN5</f>
        <v>人民币</v>
      </c>
      <c r="AV5" s="1">
        <f>'抽奖|MoonBless'!DO5</f>
        <v>1</v>
      </c>
      <c r="AW5" s="1">
        <f>'抽奖|MoonBless'!DP5</f>
        <v>10</v>
      </c>
      <c r="AX5" s="1">
        <f>'抽奖|MoonBless'!DQ5</f>
        <v>1</v>
      </c>
      <c r="AY5" s="1">
        <f>'抽奖|MoonBless'!DR5</f>
        <v>0</v>
      </c>
      <c r="AZ5" s="1">
        <f>'抽奖|MoonBless'!DS5</f>
        <v>1</v>
      </c>
      <c r="BA5" s="1">
        <f>AV5/$AV$7</f>
        <v>199999.99999999997</v>
      </c>
    </row>
    <row r="6" spans="1:53" ht="16.2" x14ac:dyDescent="0.35">
      <c r="A6" s="1">
        <v>2</v>
      </c>
      <c r="B6" s="83">
        <f t="shared" ref="B6:B69" si="11">Q6</f>
        <v>690</v>
      </c>
      <c r="C6" s="39" t="str">
        <f t="shared" ref="C6:C69" si="12">U6&amp;"|"&amp;V6&amp;"|"&amp;W6</f>
        <v>1|1|1</v>
      </c>
      <c r="D6" s="39" t="str">
        <f t="shared" ref="D6:D44" si="13">Y6&amp;"|"&amp;Z6&amp;"|"&amp;AA6</f>
        <v>2|1002|1</v>
      </c>
      <c r="E6" s="39" t="str">
        <f t="shared" ref="E6:E44" si="14">AC6&amp;"|"&amp;AD6&amp;"|"&amp;AE6</f>
        <v>2|1004|1</v>
      </c>
      <c r="F6" s="39" t="str">
        <f t="shared" ref="F6:F44" si="15">TRIM(IF(AH6&lt;&gt;"",AI6&amp;"|"&amp;AJ6&amp;"|"&amp;AK6,""))</f>
        <v/>
      </c>
      <c r="G6" s="39" t="str">
        <f t="shared" ref="G6:G54" si="16">TRIM(IF(OR(AM6="",AM6=0),"",AN6&amp;"|"&amp;AO6&amp;"|"&amp;AP6))</f>
        <v/>
      </c>
      <c r="H6" s="39"/>
      <c r="I6" s="311" t="s">
        <v>1142</v>
      </c>
      <c r="J6" s="39"/>
      <c r="L6" s="1">
        <v>2</v>
      </c>
      <c r="M6" s="1">
        <f>SUM($L$5:L6)</f>
        <v>3.5</v>
      </c>
      <c r="N6" s="429">
        <f t="shared" ref="N6:N69" si="17">M6/60/4</f>
        <v>1.4583333333333334E-2</v>
      </c>
      <c r="O6" s="1">
        <v>0.96</v>
      </c>
      <c r="P6" s="1">
        <f t="shared" si="0"/>
        <v>345.59999999999997</v>
      </c>
      <c r="Q6" s="1">
        <f t="shared" ref="Q6:Q69" si="18">ROUND(L6*P6/10,0)*10</f>
        <v>690</v>
      </c>
      <c r="T6" s="6" t="s">
        <v>1107</v>
      </c>
      <c r="U6" s="70">
        <f t="shared" si="1"/>
        <v>1</v>
      </c>
      <c r="V6" s="70">
        <f t="shared" si="2"/>
        <v>1</v>
      </c>
      <c r="W6" s="435">
        <v>1</v>
      </c>
      <c r="X6" s="68" t="s">
        <v>1140</v>
      </c>
      <c r="Y6" s="6">
        <f t="shared" si="3"/>
        <v>2</v>
      </c>
      <c r="Z6" s="6">
        <f t="shared" si="4"/>
        <v>1002</v>
      </c>
      <c r="AA6" s="6">
        <v>1</v>
      </c>
      <c r="AB6" s="68" t="s">
        <v>1143</v>
      </c>
      <c r="AC6" s="6">
        <f t="shared" si="5"/>
        <v>2</v>
      </c>
      <c r="AD6" s="6">
        <f t="shared" si="6"/>
        <v>1004</v>
      </c>
      <c r="AE6" s="6">
        <v>1</v>
      </c>
      <c r="AG6" s="83">
        <v>2</v>
      </c>
      <c r="AI6" s="11" t="str">
        <f t="shared" si="7"/>
        <v>物品类型</v>
      </c>
      <c r="AJ6" s="11" t="str">
        <f t="shared" si="8"/>
        <v>id</v>
      </c>
      <c r="AK6" s="83" t="s">
        <v>1141</v>
      </c>
      <c r="AL6" s="83">
        <f t="shared" ref="AL6:AL54" si="19">IF(AH6&lt;&gt;"",AK6*VLOOKUP(AH6,AU:BA,7,0),0)</f>
        <v>0</v>
      </c>
      <c r="AM6" s="1">
        <f t="shared" ref="AM6:AM43" si="20">AH6</f>
        <v>0</v>
      </c>
      <c r="AN6" s="1" t="str">
        <f t="shared" si="9"/>
        <v>物品类型</v>
      </c>
      <c r="AO6" s="1" t="str">
        <f t="shared" si="10"/>
        <v>id</v>
      </c>
      <c r="AP6" s="469"/>
      <c r="AQ6" s="1">
        <f t="shared" ref="AQ6:AQ54" si="21">IF(OR(AM6=0,AM6=""),0,AP6*VLOOKUP(AM6,AU:BA,7,0))</f>
        <v>0</v>
      </c>
      <c r="AU6" s="1" t="str">
        <f>'抽奖|MoonBless'!DN6</f>
        <v>钻石</v>
      </c>
      <c r="AV6" s="1">
        <f>'抽奖|MoonBless'!DO6</f>
        <v>0.1</v>
      </c>
      <c r="AW6" s="1">
        <f>'抽奖|MoonBless'!DP6</f>
        <v>1</v>
      </c>
      <c r="AX6" s="1">
        <f>'抽奖|MoonBless'!DQ6</f>
        <v>1</v>
      </c>
      <c r="AY6" s="1">
        <f>'抽奖|MoonBless'!DR6</f>
        <v>1</v>
      </c>
      <c r="AZ6" s="1">
        <f>'抽奖|MoonBless'!DS6</f>
        <v>1</v>
      </c>
      <c r="BA6" s="1">
        <f t="shared" ref="BA6:BA30" si="22">AV6/$AV$7</f>
        <v>20000</v>
      </c>
    </row>
    <row r="7" spans="1:53" ht="16.2" x14ac:dyDescent="0.35">
      <c r="A7" s="1">
        <v>3</v>
      </c>
      <c r="B7" s="83">
        <f t="shared" si="11"/>
        <v>860</v>
      </c>
      <c r="C7" s="39" t="str">
        <f t="shared" si="12"/>
        <v>1|1|1</v>
      </c>
      <c r="D7" s="39" t="str">
        <f t="shared" si="13"/>
        <v>2|1001|1</v>
      </c>
      <c r="E7" s="39" t="str">
        <f t="shared" si="14"/>
        <v>2|1004|1</v>
      </c>
      <c r="F7" s="39" t="str">
        <f t="shared" si="15"/>
        <v>2|1001|1</v>
      </c>
      <c r="G7" s="39" t="str">
        <f t="shared" si="16"/>
        <v>2|1001|20</v>
      </c>
      <c r="H7" s="39"/>
      <c r="I7" s="39"/>
      <c r="J7" s="39"/>
      <c r="L7" s="1">
        <v>2.5</v>
      </c>
      <c r="M7" s="1">
        <f>SUM($L$5:L7)</f>
        <v>6</v>
      </c>
      <c r="N7" s="429">
        <f t="shared" si="17"/>
        <v>2.5000000000000001E-2</v>
      </c>
      <c r="O7" s="1">
        <v>0.96</v>
      </c>
      <c r="P7" s="1">
        <f t="shared" si="0"/>
        <v>345.59999999999997</v>
      </c>
      <c r="Q7" s="1">
        <f t="shared" si="18"/>
        <v>860</v>
      </c>
      <c r="T7" s="6" t="s">
        <v>1107</v>
      </c>
      <c r="U7" s="70">
        <f t="shared" si="1"/>
        <v>1</v>
      </c>
      <c r="V7" s="70">
        <f t="shared" si="2"/>
        <v>1</v>
      </c>
      <c r="W7" s="435">
        <v>1</v>
      </c>
      <c r="X7" s="68" t="s">
        <v>1139</v>
      </c>
      <c r="Y7" s="6">
        <f t="shared" si="3"/>
        <v>2</v>
      </c>
      <c r="Z7" s="6">
        <f t="shared" si="4"/>
        <v>1001</v>
      </c>
      <c r="AA7" s="6">
        <v>1</v>
      </c>
      <c r="AB7" s="68" t="s">
        <v>1143</v>
      </c>
      <c r="AC7" s="6">
        <f t="shared" si="5"/>
        <v>2</v>
      </c>
      <c r="AD7" s="6">
        <f t="shared" si="6"/>
        <v>1004</v>
      </c>
      <c r="AE7" s="6">
        <v>1</v>
      </c>
      <c r="AG7" s="59">
        <v>3</v>
      </c>
      <c r="AH7" s="1" t="s">
        <v>1139</v>
      </c>
      <c r="AI7" s="11">
        <f t="shared" si="7"/>
        <v>2</v>
      </c>
      <c r="AJ7" s="11">
        <f t="shared" si="8"/>
        <v>1001</v>
      </c>
      <c r="AK7" s="83">
        <v>1</v>
      </c>
      <c r="AL7" s="83">
        <f t="shared" si="19"/>
        <v>40000</v>
      </c>
      <c r="AM7" s="1" t="str">
        <f t="shared" si="20"/>
        <v>锁定</v>
      </c>
      <c r="AN7" s="1">
        <f t="shared" si="9"/>
        <v>2</v>
      </c>
      <c r="AO7" s="1">
        <f t="shared" si="10"/>
        <v>1001</v>
      </c>
      <c r="AP7" s="469">
        <v>20</v>
      </c>
      <c r="AQ7" s="1">
        <f t="shared" si="21"/>
        <v>800000</v>
      </c>
      <c r="AU7" s="1" t="str">
        <f>'抽奖|MoonBless'!DN7</f>
        <v>金币</v>
      </c>
      <c r="AV7" s="1">
        <f>'抽奖|MoonBless'!DO7</f>
        <v>5.0000000000000004E-6</v>
      </c>
      <c r="AW7" s="1">
        <f>'抽奖|MoonBless'!DP7</f>
        <v>5.0000000000000002E-5</v>
      </c>
      <c r="AX7" s="1">
        <f>'抽奖|MoonBless'!DQ7</f>
        <v>1</v>
      </c>
      <c r="AY7" s="1">
        <f>'抽奖|MoonBless'!DR7</f>
        <v>2</v>
      </c>
      <c r="AZ7" s="1">
        <f>'抽奖|MoonBless'!DS7</f>
        <v>1</v>
      </c>
      <c r="BA7" s="1">
        <f t="shared" si="22"/>
        <v>1</v>
      </c>
    </row>
    <row r="8" spans="1:53" ht="16.2" x14ac:dyDescent="0.35">
      <c r="A8" s="1">
        <v>4</v>
      </c>
      <c r="B8" s="83">
        <f t="shared" si="11"/>
        <v>1040</v>
      </c>
      <c r="C8" s="39" t="str">
        <f t="shared" si="12"/>
        <v>1|1|1</v>
      </c>
      <c r="D8" s="39" t="str">
        <f t="shared" si="13"/>
        <v>2|1002|1</v>
      </c>
      <c r="E8" s="39" t="str">
        <f t="shared" si="14"/>
        <v>2|1003|1</v>
      </c>
      <c r="F8" s="39" t="str">
        <f t="shared" si="15"/>
        <v/>
      </c>
      <c r="G8" s="39" t="str">
        <f t="shared" si="16"/>
        <v/>
      </c>
      <c r="H8" s="39"/>
      <c r="I8" s="39"/>
      <c r="J8" s="39"/>
      <c r="L8" s="1">
        <v>3</v>
      </c>
      <c r="M8" s="1">
        <f>SUM($L$5:L8)</f>
        <v>9</v>
      </c>
      <c r="N8" s="429">
        <f t="shared" si="17"/>
        <v>3.7499999999999999E-2</v>
      </c>
      <c r="O8" s="1">
        <v>0.96</v>
      </c>
      <c r="P8" s="1">
        <f t="shared" si="0"/>
        <v>345.59999999999997</v>
      </c>
      <c r="Q8" s="1">
        <f t="shared" si="18"/>
        <v>1040</v>
      </c>
      <c r="T8" s="6" t="s">
        <v>1107</v>
      </c>
      <c r="U8" s="70">
        <f t="shared" si="1"/>
        <v>1</v>
      </c>
      <c r="V8" s="70">
        <f t="shared" si="2"/>
        <v>1</v>
      </c>
      <c r="W8" s="435">
        <v>1</v>
      </c>
      <c r="X8" s="68" t="s">
        <v>1140</v>
      </c>
      <c r="Y8" s="6">
        <f t="shared" si="3"/>
        <v>2</v>
      </c>
      <c r="Z8" s="6">
        <f t="shared" si="4"/>
        <v>1002</v>
      </c>
      <c r="AA8" s="6">
        <v>1</v>
      </c>
      <c r="AB8" s="68" t="s">
        <v>1144</v>
      </c>
      <c r="AC8" s="6">
        <f t="shared" si="5"/>
        <v>2</v>
      </c>
      <c r="AD8" s="6">
        <f t="shared" si="6"/>
        <v>1003</v>
      </c>
      <c r="AE8" s="6">
        <v>1</v>
      </c>
      <c r="AG8" s="83">
        <v>4</v>
      </c>
      <c r="AI8" s="11" t="str">
        <f t="shared" si="7"/>
        <v>物品类型</v>
      </c>
      <c r="AJ8" s="11" t="str">
        <f t="shared" si="8"/>
        <v>id</v>
      </c>
      <c r="AK8" s="83" t="s">
        <v>1141</v>
      </c>
      <c r="AL8" s="83">
        <f t="shared" si="19"/>
        <v>0</v>
      </c>
      <c r="AM8" s="1">
        <f t="shared" si="20"/>
        <v>0</v>
      </c>
      <c r="AN8" s="1" t="str">
        <f t="shared" si="9"/>
        <v>物品类型</v>
      </c>
      <c r="AO8" s="1" t="str">
        <f t="shared" si="10"/>
        <v>id</v>
      </c>
      <c r="AP8" s="469"/>
      <c r="AQ8" s="1">
        <f t="shared" si="21"/>
        <v>0</v>
      </c>
      <c r="AU8" s="1" t="str">
        <f>'抽奖|MoonBless'!DN8</f>
        <v>锁定</v>
      </c>
      <c r="AV8" s="1">
        <f>'抽奖|MoonBless'!DO8</f>
        <v>0.2</v>
      </c>
      <c r="AW8" s="1">
        <f>'抽奖|MoonBless'!DP8</f>
        <v>2</v>
      </c>
      <c r="AX8" s="1">
        <f>'抽奖|MoonBless'!DQ8</f>
        <v>2</v>
      </c>
      <c r="AY8" s="1">
        <f>'抽奖|MoonBless'!DR8</f>
        <v>1001</v>
      </c>
      <c r="AZ8" s="1">
        <f>'抽奖|MoonBless'!DS8</f>
        <v>1</v>
      </c>
      <c r="BA8" s="1">
        <f t="shared" si="22"/>
        <v>40000</v>
      </c>
    </row>
    <row r="9" spans="1:53" ht="16.2" x14ac:dyDescent="0.35">
      <c r="A9" s="1">
        <v>5</v>
      </c>
      <c r="B9" s="83">
        <f t="shared" si="11"/>
        <v>1210</v>
      </c>
      <c r="C9" s="39" t="str">
        <f t="shared" si="12"/>
        <v>1|1|1</v>
      </c>
      <c r="D9" s="39" t="str">
        <f t="shared" si="13"/>
        <v>2|1001|1</v>
      </c>
      <c r="E9" s="39" t="str">
        <f t="shared" si="14"/>
        <v>2|1002|1</v>
      </c>
      <c r="F9" s="39" t="str">
        <f t="shared" si="15"/>
        <v>1|2|10000</v>
      </c>
      <c r="G9" s="39" t="str">
        <f t="shared" si="16"/>
        <v>1|2|800000</v>
      </c>
      <c r="H9" s="39"/>
      <c r="I9" s="39"/>
      <c r="J9" s="39"/>
      <c r="L9" s="1">
        <v>3.5</v>
      </c>
      <c r="M9" s="1">
        <f>SUM($L$5:L9)</f>
        <v>12.5</v>
      </c>
      <c r="N9" s="429">
        <f t="shared" si="17"/>
        <v>5.2083333333333336E-2</v>
      </c>
      <c r="O9" s="1">
        <v>0.96</v>
      </c>
      <c r="P9" s="1">
        <f t="shared" si="0"/>
        <v>345.59999999999997</v>
      </c>
      <c r="Q9" s="1">
        <f t="shared" si="18"/>
        <v>1210</v>
      </c>
      <c r="T9" s="6" t="s">
        <v>1107</v>
      </c>
      <c r="U9" s="70">
        <f t="shared" si="1"/>
        <v>1</v>
      </c>
      <c r="V9" s="70">
        <f t="shared" si="2"/>
        <v>1</v>
      </c>
      <c r="W9" s="435">
        <v>1</v>
      </c>
      <c r="X9" s="68" t="s">
        <v>1139</v>
      </c>
      <c r="Y9" s="6">
        <f t="shared" si="3"/>
        <v>2</v>
      </c>
      <c r="Z9" s="6">
        <f t="shared" si="4"/>
        <v>1001</v>
      </c>
      <c r="AA9" s="6">
        <v>1</v>
      </c>
      <c r="AB9" s="68" t="s">
        <v>1140</v>
      </c>
      <c r="AC9" s="6">
        <f t="shared" si="5"/>
        <v>2</v>
      </c>
      <c r="AD9" s="6">
        <f t="shared" si="6"/>
        <v>1002</v>
      </c>
      <c r="AE9" s="6">
        <v>1</v>
      </c>
      <c r="AG9" s="59">
        <v>5</v>
      </c>
      <c r="AH9" s="1" t="s">
        <v>169</v>
      </c>
      <c r="AI9" s="11">
        <f t="shared" si="7"/>
        <v>1</v>
      </c>
      <c r="AJ9" s="11">
        <f t="shared" si="8"/>
        <v>2</v>
      </c>
      <c r="AK9" s="83">
        <v>10000</v>
      </c>
      <c r="AL9" s="83">
        <f t="shared" si="19"/>
        <v>10000</v>
      </c>
      <c r="AM9" s="1" t="str">
        <f t="shared" si="20"/>
        <v>金币</v>
      </c>
      <c r="AN9" s="1">
        <f t="shared" si="9"/>
        <v>1</v>
      </c>
      <c r="AO9" s="1">
        <f t="shared" si="10"/>
        <v>2</v>
      </c>
      <c r="AP9" s="469">
        <v>800000</v>
      </c>
      <c r="AQ9" s="1">
        <f t="shared" si="21"/>
        <v>800000</v>
      </c>
      <c r="AU9" s="1" t="str">
        <f>'抽奖|MoonBless'!DN9</f>
        <v>冰冻</v>
      </c>
      <c r="AV9" s="1">
        <f>'抽奖|MoonBless'!DO9</f>
        <v>0.5</v>
      </c>
      <c r="AW9" s="1">
        <f>'抽奖|MoonBless'!DP9</f>
        <v>5</v>
      </c>
      <c r="AX9" s="1">
        <f>'抽奖|MoonBless'!DQ9</f>
        <v>2</v>
      </c>
      <c r="AY9" s="1">
        <f>'抽奖|MoonBless'!DR9</f>
        <v>1002</v>
      </c>
      <c r="AZ9" s="1">
        <f>'抽奖|MoonBless'!DS9</f>
        <v>1</v>
      </c>
      <c r="BA9" s="1">
        <f t="shared" si="22"/>
        <v>99999.999999999985</v>
      </c>
    </row>
    <row r="10" spans="1:53" ht="16.2" x14ac:dyDescent="0.35">
      <c r="A10" s="1">
        <v>6</v>
      </c>
      <c r="B10" s="83">
        <f t="shared" si="11"/>
        <v>1380</v>
      </c>
      <c r="C10" s="39" t="str">
        <f t="shared" si="12"/>
        <v>1|1|1</v>
      </c>
      <c r="D10" s="39" t="str">
        <f t="shared" si="13"/>
        <v>2|1002|1</v>
      </c>
      <c r="E10" s="39" t="str">
        <f t="shared" si="14"/>
        <v>2|1004|1</v>
      </c>
      <c r="F10" s="39" t="str">
        <f t="shared" si="15"/>
        <v/>
      </c>
      <c r="G10" s="39" t="str">
        <f t="shared" si="16"/>
        <v/>
      </c>
      <c r="H10" s="39"/>
      <c r="I10" s="39"/>
      <c r="J10" s="39"/>
      <c r="L10" s="1">
        <v>4</v>
      </c>
      <c r="M10" s="1">
        <f>SUM($L$5:L10)</f>
        <v>16.5</v>
      </c>
      <c r="N10" s="429">
        <f t="shared" si="17"/>
        <v>6.8750000000000006E-2</v>
      </c>
      <c r="O10" s="1">
        <v>0.96</v>
      </c>
      <c r="P10" s="1">
        <f t="shared" si="0"/>
        <v>345.59999999999997</v>
      </c>
      <c r="Q10" s="1">
        <f t="shared" si="18"/>
        <v>1380</v>
      </c>
      <c r="T10" s="6" t="s">
        <v>1107</v>
      </c>
      <c r="U10" s="70">
        <f t="shared" si="1"/>
        <v>1</v>
      </c>
      <c r="V10" s="70">
        <f t="shared" si="2"/>
        <v>1</v>
      </c>
      <c r="W10" s="435">
        <v>1</v>
      </c>
      <c r="X10" s="68" t="s">
        <v>1140</v>
      </c>
      <c r="Y10" s="6">
        <f t="shared" si="3"/>
        <v>2</v>
      </c>
      <c r="Z10" s="6">
        <f t="shared" si="4"/>
        <v>1002</v>
      </c>
      <c r="AA10" s="6">
        <v>1</v>
      </c>
      <c r="AB10" s="68" t="s">
        <v>1143</v>
      </c>
      <c r="AC10" s="6">
        <f t="shared" si="5"/>
        <v>2</v>
      </c>
      <c r="AD10" s="6">
        <f t="shared" si="6"/>
        <v>1004</v>
      </c>
      <c r="AE10" s="6">
        <v>1</v>
      </c>
      <c r="AG10" s="83">
        <v>6</v>
      </c>
      <c r="AI10" s="11" t="str">
        <f t="shared" si="7"/>
        <v>物品类型</v>
      </c>
      <c r="AJ10" s="11" t="str">
        <f t="shared" si="8"/>
        <v>id</v>
      </c>
      <c r="AK10" s="83" t="s">
        <v>1141</v>
      </c>
      <c r="AL10" s="83">
        <f t="shared" si="19"/>
        <v>0</v>
      </c>
      <c r="AM10" s="1">
        <f t="shared" si="20"/>
        <v>0</v>
      </c>
      <c r="AN10" s="1" t="str">
        <f t="shared" si="9"/>
        <v>物品类型</v>
      </c>
      <c r="AO10" s="1" t="str">
        <f t="shared" si="10"/>
        <v>id</v>
      </c>
      <c r="AP10" s="469"/>
      <c r="AQ10" s="1">
        <f t="shared" si="21"/>
        <v>0</v>
      </c>
      <c r="AU10" s="1" t="str">
        <f>'抽奖|MoonBless'!DN10</f>
        <v>狂暴</v>
      </c>
      <c r="AV10" s="1">
        <f>'抽奖|MoonBless'!DO10</f>
        <v>1</v>
      </c>
      <c r="AW10" s="1">
        <f>'抽奖|MoonBless'!DP10</f>
        <v>10</v>
      </c>
      <c r="AX10" s="1">
        <f>'抽奖|MoonBless'!DQ10</f>
        <v>2</v>
      </c>
      <c r="AY10" s="1">
        <f>'抽奖|MoonBless'!DR10</f>
        <v>1003</v>
      </c>
      <c r="AZ10" s="1">
        <f>'抽奖|MoonBless'!DS10</f>
        <v>1</v>
      </c>
      <c r="BA10" s="1">
        <f t="shared" si="22"/>
        <v>199999.99999999997</v>
      </c>
    </row>
    <row r="11" spans="1:53" ht="16.2" x14ac:dyDescent="0.35">
      <c r="A11" s="1">
        <v>7</v>
      </c>
      <c r="B11" s="83">
        <f t="shared" si="11"/>
        <v>1560</v>
      </c>
      <c r="C11" s="39" t="str">
        <f t="shared" si="12"/>
        <v>1|1|1</v>
      </c>
      <c r="D11" s="39" t="str">
        <f t="shared" si="13"/>
        <v>2|1001|1</v>
      </c>
      <c r="E11" s="39" t="str">
        <f t="shared" si="14"/>
        <v>2|1004|1</v>
      </c>
      <c r="F11" s="39" t="str">
        <f t="shared" si="15"/>
        <v/>
      </c>
      <c r="G11" s="39" t="str">
        <f t="shared" si="16"/>
        <v/>
      </c>
      <c r="H11" s="39"/>
      <c r="I11" s="39"/>
      <c r="J11" s="39"/>
      <c r="L11" s="1">
        <v>4.5</v>
      </c>
      <c r="M11" s="1">
        <f>SUM($L$5:L11)</f>
        <v>21</v>
      </c>
      <c r="N11" s="429">
        <f t="shared" si="17"/>
        <v>8.7499999999999994E-2</v>
      </c>
      <c r="O11" s="1">
        <v>0.96</v>
      </c>
      <c r="P11" s="1">
        <f t="shared" si="0"/>
        <v>345.59999999999997</v>
      </c>
      <c r="Q11" s="1">
        <f t="shared" si="18"/>
        <v>1560</v>
      </c>
      <c r="T11" s="6" t="s">
        <v>1107</v>
      </c>
      <c r="U11" s="70">
        <f t="shared" si="1"/>
        <v>1</v>
      </c>
      <c r="V11" s="70">
        <f t="shared" si="2"/>
        <v>1</v>
      </c>
      <c r="W11" s="435">
        <v>1</v>
      </c>
      <c r="X11" s="68" t="s">
        <v>1139</v>
      </c>
      <c r="Y11" s="6">
        <f t="shared" si="3"/>
        <v>2</v>
      </c>
      <c r="Z11" s="6">
        <f t="shared" si="4"/>
        <v>1001</v>
      </c>
      <c r="AA11" s="6">
        <v>1</v>
      </c>
      <c r="AB11" s="68" t="s">
        <v>1143</v>
      </c>
      <c r="AC11" s="6">
        <f t="shared" si="5"/>
        <v>2</v>
      </c>
      <c r="AD11" s="6">
        <f t="shared" si="6"/>
        <v>1004</v>
      </c>
      <c r="AE11" s="6">
        <v>1</v>
      </c>
      <c r="AG11" s="83">
        <v>7</v>
      </c>
      <c r="AI11" s="11" t="str">
        <f t="shared" si="7"/>
        <v>物品类型</v>
      </c>
      <c r="AJ11" s="11" t="str">
        <f t="shared" si="8"/>
        <v>id</v>
      </c>
      <c r="AK11" s="83" t="s">
        <v>1141</v>
      </c>
      <c r="AL11" s="83">
        <f t="shared" si="19"/>
        <v>0</v>
      </c>
      <c r="AM11" s="1">
        <f t="shared" si="20"/>
        <v>0</v>
      </c>
      <c r="AN11" s="1" t="str">
        <f t="shared" si="9"/>
        <v>物品类型</v>
      </c>
      <c r="AO11" s="1" t="str">
        <f t="shared" si="10"/>
        <v>id</v>
      </c>
      <c r="AP11" s="469"/>
      <c r="AQ11" s="1">
        <f t="shared" si="21"/>
        <v>0</v>
      </c>
      <c r="AU11" s="1" t="str">
        <f>'抽奖|MoonBless'!DN11</f>
        <v>召唤</v>
      </c>
      <c r="AV11" s="1">
        <f>'抽奖|MoonBless'!DO11</f>
        <v>0.2</v>
      </c>
      <c r="AW11" s="1">
        <f>'抽奖|MoonBless'!DP11</f>
        <v>2</v>
      </c>
      <c r="AX11" s="1">
        <f>'抽奖|MoonBless'!DQ11</f>
        <v>2</v>
      </c>
      <c r="AY11" s="1">
        <f>'抽奖|MoonBless'!DR11</f>
        <v>1004</v>
      </c>
      <c r="AZ11" s="1">
        <f>'抽奖|MoonBless'!DS11</f>
        <v>1</v>
      </c>
      <c r="BA11" s="1">
        <f t="shared" si="22"/>
        <v>40000</v>
      </c>
    </row>
    <row r="12" spans="1:53" ht="16.2" x14ac:dyDescent="0.35">
      <c r="A12" s="1">
        <v>8</v>
      </c>
      <c r="B12" s="83">
        <f t="shared" si="11"/>
        <v>1730</v>
      </c>
      <c r="C12" s="39" t="str">
        <f t="shared" si="12"/>
        <v>1|1|1</v>
      </c>
      <c r="D12" s="39" t="str">
        <f t="shared" si="13"/>
        <v>2|1002|1</v>
      </c>
      <c r="E12" s="39" t="str">
        <f t="shared" si="14"/>
        <v>2|1004|1</v>
      </c>
      <c r="F12" s="39" t="str">
        <f t="shared" si="15"/>
        <v>1|2|20000</v>
      </c>
      <c r="G12" s="39" t="str">
        <f t="shared" si="16"/>
        <v>1|2|1000000</v>
      </c>
      <c r="H12" s="39"/>
      <c r="I12" s="39"/>
      <c r="J12" s="39"/>
      <c r="L12" s="1">
        <v>5</v>
      </c>
      <c r="M12" s="1">
        <f>SUM($L$5:L12)</f>
        <v>26</v>
      </c>
      <c r="N12" s="429">
        <f t="shared" si="17"/>
        <v>0.10833333333333334</v>
      </c>
      <c r="O12" s="1">
        <v>0.96</v>
      </c>
      <c r="P12" s="1">
        <f t="shared" si="0"/>
        <v>345.59999999999997</v>
      </c>
      <c r="Q12" s="1">
        <f t="shared" si="18"/>
        <v>1730</v>
      </c>
      <c r="T12" s="6" t="s">
        <v>1107</v>
      </c>
      <c r="U12" s="70">
        <f t="shared" si="1"/>
        <v>1</v>
      </c>
      <c r="V12" s="70">
        <f t="shared" si="2"/>
        <v>1</v>
      </c>
      <c r="W12" s="435">
        <v>1</v>
      </c>
      <c r="X12" s="68" t="s">
        <v>1140</v>
      </c>
      <c r="Y12" s="6">
        <f t="shared" si="3"/>
        <v>2</v>
      </c>
      <c r="Z12" s="6">
        <f t="shared" si="4"/>
        <v>1002</v>
      </c>
      <c r="AA12" s="6">
        <v>1</v>
      </c>
      <c r="AB12" s="68" t="s">
        <v>1143</v>
      </c>
      <c r="AC12" s="6">
        <f t="shared" si="5"/>
        <v>2</v>
      </c>
      <c r="AD12" s="6">
        <f t="shared" si="6"/>
        <v>1004</v>
      </c>
      <c r="AE12" s="6">
        <v>1</v>
      </c>
      <c r="AG12" s="59">
        <v>8</v>
      </c>
      <c r="AH12" s="1" t="s">
        <v>169</v>
      </c>
      <c r="AI12" s="11">
        <f t="shared" si="7"/>
        <v>1</v>
      </c>
      <c r="AJ12" s="11">
        <f t="shared" si="8"/>
        <v>2</v>
      </c>
      <c r="AK12" s="83">
        <v>20000</v>
      </c>
      <c r="AL12" s="83">
        <f t="shared" si="19"/>
        <v>20000</v>
      </c>
      <c r="AM12" s="1" t="str">
        <f t="shared" si="20"/>
        <v>金币</v>
      </c>
      <c r="AN12" s="1">
        <f t="shared" si="9"/>
        <v>1</v>
      </c>
      <c r="AO12" s="1">
        <f t="shared" si="10"/>
        <v>2</v>
      </c>
      <c r="AP12" s="469">
        <v>1000000</v>
      </c>
      <c r="AQ12" s="1">
        <f t="shared" si="21"/>
        <v>1000000</v>
      </c>
      <c r="AU12" s="1" t="str">
        <f>'抽奖|MoonBless'!DN12</f>
        <v>福卡</v>
      </c>
      <c r="AV12" s="1">
        <f>'抽奖|MoonBless'!DO12</f>
        <v>2.5000000000000001E-3</v>
      </c>
      <c r="AW12" s="1">
        <f>'抽奖|MoonBless'!DP12</f>
        <v>2.5000000000000001E-2</v>
      </c>
      <c r="AX12" s="1">
        <f>'抽奖|MoonBless'!DQ12</f>
        <v>2</v>
      </c>
      <c r="AY12" s="1">
        <f>'抽奖|MoonBless'!DR12</f>
        <v>1204</v>
      </c>
      <c r="AZ12" s="1">
        <f>'抽奖|MoonBless'!DS12</f>
        <v>1</v>
      </c>
      <c r="BA12" s="1">
        <f t="shared" si="22"/>
        <v>499.99999999999994</v>
      </c>
    </row>
    <row r="13" spans="1:53" ht="16.2" x14ac:dyDescent="0.35">
      <c r="A13" s="1">
        <v>9</v>
      </c>
      <c r="B13" s="83">
        <f t="shared" si="11"/>
        <v>1900</v>
      </c>
      <c r="C13" s="39" t="str">
        <f t="shared" si="12"/>
        <v>1|1|1</v>
      </c>
      <c r="D13" s="39" t="str">
        <f t="shared" si="13"/>
        <v>2|1001|1</v>
      </c>
      <c r="E13" s="39" t="str">
        <f t="shared" si="14"/>
        <v>2|1003|1</v>
      </c>
      <c r="F13" s="39" t="str">
        <f t="shared" si="15"/>
        <v/>
      </c>
      <c r="G13" s="39" t="str">
        <f t="shared" si="16"/>
        <v/>
      </c>
      <c r="H13" s="39"/>
      <c r="I13" s="39"/>
      <c r="J13" s="39"/>
      <c r="L13" s="1">
        <v>5.5</v>
      </c>
      <c r="M13" s="430">
        <f>SUM($L$5:L13)</f>
        <v>31.5</v>
      </c>
      <c r="N13" s="429">
        <f t="shared" si="17"/>
        <v>0.13125000000000001</v>
      </c>
      <c r="O13" s="1">
        <v>0.96</v>
      </c>
      <c r="P13" s="1">
        <f t="shared" si="0"/>
        <v>345.59999999999997</v>
      </c>
      <c r="Q13" s="1">
        <f t="shared" si="18"/>
        <v>1900</v>
      </c>
      <c r="T13" s="6" t="s">
        <v>1107</v>
      </c>
      <c r="U13" s="70">
        <f t="shared" si="1"/>
        <v>1</v>
      </c>
      <c r="V13" s="70">
        <f t="shared" si="2"/>
        <v>1</v>
      </c>
      <c r="W13" s="435">
        <v>1</v>
      </c>
      <c r="X13" s="68" t="s">
        <v>1139</v>
      </c>
      <c r="Y13" s="6">
        <f t="shared" si="3"/>
        <v>2</v>
      </c>
      <c r="Z13" s="6">
        <f t="shared" si="4"/>
        <v>1001</v>
      </c>
      <c r="AA13" s="6">
        <v>1</v>
      </c>
      <c r="AB13" s="68" t="s">
        <v>1144</v>
      </c>
      <c r="AC13" s="6">
        <f t="shared" si="5"/>
        <v>2</v>
      </c>
      <c r="AD13" s="6">
        <f t="shared" si="6"/>
        <v>1003</v>
      </c>
      <c r="AE13" s="6">
        <v>1</v>
      </c>
      <c r="AG13" s="83">
        <v>9</v>
      </c>
      <c r="AI13" s="11" t="str">
        <f t="shared" si="7"/>
        <v>物品类型</v>
      </c>
      <c r="AJ13" s="11" t="str">
        <f t="shared" si="8"/>
        <v>id</v>
      </c>
      <c r="AK13" s="83" t="s">
        <v>1141</v>
      </c>
      <c r="AL13" s="83">
        <f t="shared" si="19"/>
        <v>0</v>
      </c>
      <c r="AM13" s="1">
        <f t="shared" si="20"/>
        <v>0</v>
      </c>
      <c r="AN13" s="1" t="str">
        <f t="shared" si="9"/>
        <v>物品类型</v>
      </c>
      <c r="AO13" s="1" t="str">
        <f t="shared" si="10"/>
        <v>id</v>
      </c>
      <c r="AP13" s="469"/>
      <c r="AQ13" s="1">
        <f t="shared" si="21"/>
        <v>0</v>
      </c>
      <c r="AU13" s="1" t="str">
        <f>'抽奖|MoonBless'!DN13</f>
        <v>超级武器1</v>
      </c>
      <c r="AV13" s="1">
        <f>'抽奖|MoonBless'!DO13</f>
        <v>5</v>
      </c>
      <c r="AW13" s="1">
        <f>'抽奖|MoonBless'!DP13</f>
        <v>50</v>
      </c>
      <c r="AX13" s="1">
        <f>'抽奖|MoonBless'!DQ13</f>
        <v>2</v>
      </c>
      <c r="AY13" s="1">
        <f>'抽奖|MoonBless'!DR13</f>
        <v>1005</v>
      </c>
      <c r="AZ13" s="1">
        <f>'抽奖|MoonBless'!DS13</f>
        <v>1</v>
      </c>
      <c r="BA13" s="1">
        <f t="shared" si="22"/>
        <v>999999.99999999988</v>
      </c>
    </row>
    <row r="14" spans="1:53" ht="16.2" x14ac:dyDescent="0.35">
      <c r="A14" s="1">
        <v>10</v>
      </c>
      <c r="B14" s="83">
        <f t="shared" si="11"/>
        <v>2000</v>
      </c>
      <c r="C14" s="39" t="str">
        <f t="shared" si="12"/>
        <v>1|1|2</v>
      </c>
      <c r="D14" s="39" t="str">
        <f t="shared" si="13"/>
        <v>2|1002|1</v>
      </c>
      <c r="E14" s="39" t="str">
        <f t="shared" si="14"/>
        <v>2|1004|1</v>
      </c>
      <c r="F14" s="39" t="str">
        <f t="shared" si="15"/>
        <v>2|1002|1</v>
      </c>
      <c r="G14" s="39" t="str">
        <f t="shared" si="16"/>
        <v>2|1002|20</v>
      </c>
      <c r="H14" s="39"/>
      <c r="I14" s="39"/>
      <c r="J14" s="39"/>
      <c r="L14" s="1">
        <v>5.8</v>
      </c>
      <c r="M14" s="1">
        <f>SUM($L$5:L14)</f>
        <v>37.299999999999997</v>
      </c>
      <c r="N14" s="429">
        <f t="shared" si="17"/>
        <v>0.15541666666666665</v>
      </c>
      <c r="O14" s="1">
        <v>0.96</v>
      </c>
      <c r="P14" s="1">
        <f t="shared" si="0"/>
        <v>345.59999999999997</v>
      </c>
      <c r="Q14" s="1">
        <f t="shared" si="18"/>
        <v>2000</v>
      </c>
      <c r="T14" s="6" t="s">
        <v>1107</v>
      </c>
      <c r="U14" s="70">
        <f t="shared" si="1"/>
        <v>1</v>
      </c>
      <c r="V14" s="70">
        <f t="shared" si="2"/>
        <v>1</v>
      </c>
      <c r="W14" s="435">
        <v>2</v>
      </c>
      <c r="X14" s="68" t="s">
        <v>1140</v>
      </c>
      <c r="Y14" s="6">
        <f t="shared" si="3"/>
        <v>2</v>
      </c>
      <c r="Z14" s="6">
        <f t="shared" si="4"/>
        <v>1002</v>
      </c>
      <c r="AA14" s="6">
        <v>1</v>
      </c>
      <c r="AB14" s="68" t="s">
        <v>1143</v>
      </c>
      <c r="AC14" s="6">
        <f t="shared" si="5"/>
        <v>2</v>
      </c>
      <c r="AD14" s="6">
        <f t="shared" si="6"/>
        <v>1004</v>
      </c>
      <c r="AE14" s="6">
        <v>1</v>
      </c>
      <c r="AG14" s="59">
        <v>10</v>
      </c>
      <c r="AH14" s="1" t="s">
        <v>1140</v>
      </c>
      <c r="AI14" s="11">
        <f t="shared" si="7"/>
        <v>2</v>
      </c>
      <c r="AJ14" s="11">
        <f t="shared" si="8"/>
        <v>1002</v>
      </c>
      <c r="AK14" s="83">
        <v>1</v>
      </c>
      <c r="AL14" s="83">
        <f t="shared" si="19"/>
        <v>99999.999999999985</v>
      </c>
      <c r="AM14" s="1" t="str">
        <f t="shared" si="20"/>
        <v>冰冻</v>
      </c>
      <c r="AN14" s="1">
        <f t="shared" si="9"/>
        <v>2</v>
      </c>
      <c r="AO14" s="1">
        <f t="shared" si="10"/>
        <v>1002</v>
      </c>
      <c r="AP14" s="469">
        <v>20</v>
      </c>
      <c r="AQ14" s="1">
        <f t="shared" si="21"/>
        <v>1999999.9999999998</v>
      </c>
      <c r="AU14" s="1" t="str">
        <f>'抽奖|MoonBless'!DN14</f>
        <v>超级武器2</v>
      </c>
      <c r="AV14" s="1">
        <f>'抽奖|MoonBless'!DO14</f>
        <v>10</v>
      </c>
      <c r="AW14" s="1">
        <f>'抽奖|MoonBless'!DP14</f>
        <v>100</v>
      </c>
      <c r="AX14" s="1">
        <f>'抽奖|MoonBless'!DQ14</f>
        <v>2</v>
      </c>
      <c r="AY14" s="1">
        <f>'抽奖|MoonBless'!DR14</f>
        <v>1006</v>
      </c>
      <c r="AZ14" s="1">
        <f>'抽奖|MoonBless'!DS14</f>
        <v>1</v>
      </c>
      <c r="BA14" s="1">
        <f t="shared" si="22"/>
        <v>1999999.9999999998</v>
      </c>
    </row>
    <row r="15" spans="1:53" ht="16.2" x14ac:dyDescent="0.35">
      <c r="A15" s="1">
        <v>11</v>
      </c>
      <c r="B15" s="83">
        <f t="shared" si="11"/>
        <v>2070</v>
      </c>
      <c r="C15" s="39" t="str">
        <f t="shared" si="12"/>
        <v>1|1|2</v>
      </c>
      <c r="D15" s="39" t="str">
        <f t="shared" si="13"/>
        <v>2|1001|1</v>
      </c>
      <c r="E15" s="39" t="str">
        <f t="shared" si="14"/>
        <v>2|1002|1</v>
      </c>
      <c r="F15" s="39" t="str">
        <f t="shared" si="15"/>
        <v/>
      </c>
      <c r="G15" s="39" t="str">
        <f t="shared" si="16"/>
        <v/>
      </c>
      <c r="H15" s="39"/>
      <c r="I15" s="39"/>
      <c r="J15" s="39"/>
      <c r="L15" s="1">
        <v>6</v>
      </c>
      <c r="M15" s="1">
        <f>SUM($L$5:L15)</f>
        <v>43.3</v>
      </c>
      <c r="N15" s="429">
        <f t="shared" si="17"/>
        <v>0.18041666666666664</v>
      </c>
      <c r="O15" s="1">
        <v>0.96</v>
      </c>
      <c r="P15" s="1">
        <f t="shared" si="0"/>
        <v>345.59999999999997</v>
      </c>
      <c r="Q15" s="1">
        <f t="shared" si="18"/>
        <v>2070</v>
      </c>
      <c r="T15" s="6" t="s">
        <v>1107</v>
      </c>
      <c r="U15" s="70">
        <f t="shared" si="1"/>
        <v>1</v>
      </c>
      <c r="V15" s="70">
        <f t="shared" si="2"/>
        <v>1</v>
      </c>
      <c r="W15" s="435">
        <v>2</v>
      </c>
      <c r="X15" s="68" t="s">
        <v>1139</v>
      </c>
      <c r="Y15" s="6">
        <f t="shared" si="3"/>
        <v>2</v>
      </c>
      <c r="Z15" s="6">
        <f t="shared" si="4"/>
        <v>1001</v>
      </c>
      <c r="AA15" s="6">
        <v>1</v>
      </c>
      <c r="AB15" s="68" t="s">
        <v>1140</v>
      </c>
      <c r="AC15" s="6">
        <f t="shared" si="5"/>
        <v>2</v>
      </c>
      <c r="AD15" s="6">
        <f t="shared" si="6"/>
        <v>1002</v>
      </c>
      <c r="AE15" s="6">
        <v>1</v>
      </c>
      <c r="AG15" s="83">
        <v>11</v>
      </c>
      <c r="AI15" s="11" t="str">
        <f t="shared" si="7"/>
        <v>物品类型</v>
      </c>
      <c r="AJ15" s="11" t="str">
        <f t="shared" si="8"/>
        <v>id</v>
      </c>
      <c r="AK15" s="83" t="s">
        <v>1141</v>
      </c>
      <c r="AL15" s="83">
        <f t="shared" si="19"/>
        <v>0</v>
      </c>
      <c r="AM15" s="1">
        <f t="shared" si="20"/>
        <v>0</v>
      </c>
      <c r="AN15" s="1" t="str">
        <f t="shared" si="9"/>
        <v>物品类型</v>
      </c>
      <c r="AO15" s="1" t="str">
        <f t="shared" si="10"/>
        <v>id</v>
      </c>
      <c r="AP15" s="469"/>
      <c r="AQ15" s="1">
        <f t="shared" si="21"/>
        <v>0</v>
      </c>
      <c r="AU15" s="1" t="str">
        <f>'抽奖|MoonBless'!DN15</f>
        <v>超级武器3</v>
      </c>
      <c r="AV15" s="1">
        <f>'抽奖|MoonBless'!DO15</f>
        <v>25</v>
      </c>
      <c r="AW15" s="1">
        <f>'抽奖|MoonBless'!DP15</f>
        <v>250</v>
      </c>
      <c r="AX15" s="1">
        <f>'抽奖|MoonBless'!DQ15</f>
        <v>2</v>
      </c>
      <c r="AY15" s="1">
        <f>'抽奖|MoonBless'!DR15</f>
        <v>1007</v>
      </c>
      <c r="AZ15" s="1">
        <f>'抽奖|MoonBless'!DS15</f>
        <v>1</v>
      </c>
      <c r="BA15" s="1">
        <f t="shared" si="22"/>
        <v>5000000</v>
      </c>
    </row>
    <row r="16" spans="1:53" ht="16.2" x14ac:dyDescent="0.35">
      <c r="A16" s="1">
        <v>12</v>
      </c>
      <c r="B16" s="83">
        <f t="shared" si="11"/>
        <v>2140</v>
      </c>
      <c r="C16" s="39" t="str">
        <f t="shared" si="12"/>
        <v>1|1|2</v>
      </c>
      <c r="D16" s="39" t="str">
        <f t="shared" si="13"/>
        <v>2|1002|1</v>
      </c>
      <c r="E16" s="39" t="str">
        <f t="shared" si="14"/>
        <v>2|1004|1</v>
      </c>
      <c r="F16" s="39" t="str">
        <f t="shared" si="15"/>
        <v/>
      </c>
      <c r="G16" s="39" t="str">
        <f t="shared" si="16"/>
        <v/>
      </c>
      <c r="H16" s="39"/>
      <c r="I16" s="39"/>
      <c r="J16" s="39"/>
      <c r="L16" s="1">
        <v>6.2</v>
      </c>
      <c r="M16" s="1">
        <f>SUM($L$5:L16)</f>
        <v>49.5</v>
      </c>
      <c r="N16" s="429">
        <f t="shared" si="17"/>
        <v>0.20624999999999999</v>
      </c>
      <c r="O16" s="1">
        <v>0.96</v>
      </c>
      <c r="P16" s="1">
        <f t="shared" si="0"/>
        <v>345.59999999999997</v>
      </c>
      <c r="Q16" s="1">
        <f t="shared" si="18"/>
        <v>2140</v>
      </c>
      <c r="T16" s="6" t="s">
        <v>1107</v>
      </c>
      <c r="U16" s="70">
        <f t="shared" si="1"/>
        <v>1</v>
      </c>
      <c r="V16" s="70">
        <f t="shared" si="2"/>
        <v>1</v>
      </c>
      <c r="W16" s="435">
        <v>2</v>
      </c>
      <c r="X16" s="68" t="s">
        <v>1140</v>
      </c>
      <c r="Y16" s="6">
        <f t="shared" si="3"/>
        <v>2</v>
      </c>
      <c r="Z16" s="6">
        <f t="shared" si="4"/>
        <v>1002</v>
      </c>
      <c r="AA16" s="6">
        <v>1</v>
      </c>
      <c r="AB16" s="68" t="s">
        <v>1143</v>
      </c>
      <c r="AC16" s="6">
        <f t="shared" si="5"/>
        <v>2</v>
      </c>
      <c r="AD16" s="6">
        <f t="shared" si="6"/>
        <v>1004</v>
      </c>
      <c r="AE16" s="6">
        <v>1</v>
      </c>
      <c r="AG16" s="83">
        <v>12</v>
      </c>
      <c r="AI16" s="11" t="str">
        <f t="shared" si="7"/>
        <v>物品类型</v>
      </c>
      <c r="AJ16" s="11" t="str">
        <f t="shared" si="8"/>
        <v>id</v>
      </c>
      <c r="AK16" s="83" t="s">
        <v>1141</v>
      </c>
      <c r="AL16" s="83">
        <f t="shared" si="19"/>
        <v>0</v>
      </c>
      <c r="AM16" s="1">
        <f t="shared" si="20"/>
        <v>0</v>
      </c>
      <c r="AN16" s="1" t="str">
        <f t="shared" si="9"/>
        <v>物品类型</v>
      </c>
      <c r="AO16" s="1" t="str">
        <f t="shared" si="10"/>
        <v>id</v>
      </c>
      <c r="AP16" s="469"/>
      <c r="AQ16" s="1">
        <f t="shared" si="21"/>
        <v>0</v>
      </c>
      <c r="AU16" s="1" t="str">
        <f>'抽奖|MoonBless'!DN16</f>
        <v>超级武器4</v>
      </c>
      <c r="AV16" s="1">
        <f>'抽奖|MoonBless'!DO16</f>
        <v>50</v>
      </c>
      <c r="AW16" s="1">
        <f>'抽奖|MoonBless'!DP16</f>
        <v>500</v>
      </c>
      <c r="AX16" s="1">
        <f>'抽奖|MoonBless'!DQ16</f>
        <v>2</v>
      </c>
      <c r="AY16" s="1">
        <f>'抽奖|MoonBless'!DR16</f>
        <v>1008</v>
      </c>
      <c r="AZ16" s="1">
        <f>'抽奖|MoonBless'!DS16</f>
        <v>1</v>
      </c>
      <c r="BA16" s="1">
        <f t="shared" si="22"/>
        <v>10000000</v>
      </c>
    </row>
    <row r="17" spans="1:53" ht="16.2" x14ac:dyDescent="0.35">
      <c r="A17" s="1">
        <v>13</v>
      </c>
      <c r="B17" s="83">
        <f t="shared" si="11"/>
        <v>2250</v>
      </c>
      <c r="C17" s="39" t="str">
        <f t="shared" si="12"/>
        <v>1|1|2</v>
      </c>
      <c r="D17" s="39" t="str">
        <f t="shared" si="13"/>
        <v>2|1001|1</v>
      </c>
      <c r="E17" s="39" t="str">
        <f t="shared" si="14"/>
        <v>2|1004|1</v>
      </c>
      <c r="F17" s="39" t="str">
        <f t="shared" si="15"/>
        <v>1|1|2</v>
      </c>
      <c r="G17" s="39" t="str">
        <f t="shared" si="16"/>
        <v>1|1|100</v>
      </c>
      <c r="H17" s="39"/>
      <c r="I17" s="39"/>
      <c r="J17" s="39"/>
      <c r="L17" s="1">
        <v>6.5</v>
      </c>
      <c r="M17" s="1">
        <f>SUM($L$5:L17)</f>
        <v>56</v>
      </c>
      <c r="N17" s="429">
        <f t="shared" si="17"/>
        <v>0.23333333333333334</v>
      </c>
      <c r="O17" s="1">
        <v>0.96</v>
      </c>
      <c r="P17" s="1">
        <f t="shared" si="0"/>
        <v>345.59999999999997</v>
      </c>
      <c r="Q17" s="1">
        <f t="shared" si="18"/>
        <v>2250</v>
      </c>
      <c r="T17" s="6" t="s">
        <v>1107</v>
      </c>
      <c r="U17" s="70">
        <f t="shared" si="1"/>
        <v>1</v>
      </c>
      <c r="V17" s="70">
        <f t="shared" si="2"/>
        <v>1</v>
      </c>
      <c r="W17" s="435">
        <v>2</v>
      </c>
      <c r="X17" s="68" t="s">
        <v>1139</v>
      </c>
      <c r="Y17" s="6">
        <f t="shared" si="3"/>
        <v>2</v>
      </c>
      <c r="Z17" s="6">
        <f t="shared" si="4"/>
        <v>1001</v>
      </c>
      <c r="AA17" s="6">
        <v>1</v>
      </c>
      <c r="AB17" s="68" t="s">
        <v>1143</v>
      </c>
      <c r="AC17" s="6">
        <f t="shared" si="5"/>
        <v>2</v>
      </c>
      <c r="AD17" s="6">
        <f t="shared" si="6"/>
        <v>1004</v>
      </c>
      <c r="AE17" s="6">
        <v>1</v>
      </c>
      <c r="AG17" s="59">
        <v>13</v>
      </c>
      <c r="AH17" s="1" t="s">
        <v>1107</v>
      </c>
      <c r="AI17" s="11">
        <f t="shared" si="7"/>
        <v>1</v>
      </c>
      <c r="AJ17" s="11">
        <f t="shared" si="8"/>
        <v>1</v>
      </c>
      <c r="AK17" s="83">
        <v>2</v>
      </c>
      <c r="AL17" s="83">
        <f t="shared" si="19"/>
        <v>40000</v>
      </c>
      <c r="AM17" s="1" t="str">
        <f t="shared" si="20"/>
        <v>钻石</v>
      </c>
      <c r="AN17" s="1">
        <f t="shared" si="9"/>
        <v>1</v>
      </c>
      <c r="AO17" s="1">
        <f t="shared" si="10"/>
        <v>1</v>
      </c>
      <c r="AP17" s="469">
        <v>100</v>
      </c>
      <c r="AQ17" s="1">
        <f t="shared" si="21"/>
        <v>2000000</v>
      </c>
      <c r="AU17" s="1" t="str">
        <f>'抽奖|MoonBless'!DN17</f>
        <v>5元话费卡</v>
      </c>
      <c r="AV17" s="1">
        <f>'抽奖|MoonBless'!DO17</f>
        <v>5</v>
      </c>
      <c r="AW17" s="1">
        <f>'抽奖|MoonBless'!DP17</f>
        <v>50</v>
      </c>
      <c r="AX17" s="1">
        <f>'抽奖|MoonBless'!DQ17</f>
        <v>2</v>
      </c>
      <c r="AY17" s="1">
        <f>'抽奖|MoonBless'!DR17</f>
        <v>1206</v>
      </c>
      <c r="AZ17" s="1">
        <f>'抽奖|MoonBless'!DS17</f>
        <v>1</v>
      </c>
      <c r="BA17" s="1">
        <f t="shared" si="22"/>
        <v>999999.99999999988</v>
      </c>
    </row>
    <row r="18" spans="1:53" ht="16.2" x14ac:dyDescent="0.35">
      <c r="A18" s="1">
        <v>14</v>
      </c>
      <c r="B18" s="83">
        <f t="shared" si="11"/>
        <v>2420</v>
      </c>
      <c r="C18" s="39" t="str">
        <f t="shared" si="12"/>
        <v>1|1|2</v>
      </c>
      <c r="D18" s="39" t="str">
        <f t="shared" si="13"/>
        <v>2|1002|1</v>
      </c>
      <c r="E18" s="39" t="str">
        <f t="shared" si="14"/>
        <v>2|1003|1</v>
      </c>
      <c r="F18" s="39" t="str">
        <f t="shared" si="15"/>
        <v/>
      </c>
      <c r="G18" s="39" t="str">
        <f t="shared" si="16"/>
        <v/>
      </c>
      <c r="H18" s="39"/>
      <c r="I18" s="39"/>
      <c r="J18" s="39"/>
      <c r="L18" s="1">
        <v>7</v>
      </c>
      <c r="M18" s="430">
        <f>SUM($L$5:L18)</f>
        <v>63</v>
      </c>
      <c r="N18" s="429">
        <f t="shared" si="17"/>
        <v>0.26250000000000001</v>
      </c>
      <c r="O18" s="1">
        <v>0.96</v>
      </c>
      <c r="P18" s="1">
        <f t="shared" si="0"/>
        <v>345.59999999999997</v>
      </c>
      <c r="Q18" s="1">
        <f t="shared" si="18"/>
        <v>2420</v>
      </c>
      <c r="T18" s="6" t="s">
        <v>1107</v>
      </c>
      <c r="U18" s="70">
        <f t="shared" si="1"/>
        <v>1</v>
      </c>
      <c r="V18" s="70">
        <f t="shared" si="2"/>
        <v>1</v>
      </c>
      <c r="W18" s="435">
        <v>2</v>
      </c>
      <c r="X18" s="68" t="s">
        <v>1140</v>
      </c>
      <c r="Y18" s="6">
        <f t="shared" si="3"/>
        <v>2</v>
      </c>
      <c r="Z18" s="6">
        <f t="shared" si="4"/>
        <v>1002</v>
      </c>
      <c r="AA18" s="6">
        <v>1</v>
      </c>
      <c r="AB18" s="68" t="s">
        <v>1144</v>
      </c>
      <c r="AC18" s="6">
        <f t="shared" si="5"/>
        <v>2</v>
      </c>
      <c r="AD18" s="6">
        <f t="shared" si="6"/>
        <v>1003</v>
      </c>
      <c r="AE18" s="6">
        <v>1</v>
      </c>
      <c r="AG18" s="83">
        <v>14</v>
      </c>
      <c r="AI18" s="11" t="str">
        <f t="shared" si="7"/>
        <v>物品类型</v>
      </c>
      <c r="AJ18" s="11" t="str">
        <f t="shared" si="8"/>
        <v>id</v>
      </c>
      <c r="AK18" s="83" t="s">
        <v>1141</v>
      </c>
      <c r="AL18" s="83">
        <f t="shared" si="19"/>
        <v>0</v>
      </c>
      <c r="AM18" s="1">
        <f t="shared" si="20"/>
        <v>0</v>
      </c>
      <c r="AN18" s="1" t="str">
        <f t="shared" si="9"/>
        <v>物品类型</v>
      </c>
      <c r="AO18" s="1" t="str">
        <f t="shared" si="10"/>
        <v>id</v>
      </c>
      <c r="AP18" s="469"/>
      <c r="AQ18" s="1">
        <f t="shared" si="21"/>
        <v>0</v>
      </c>
      <c r="AU18" s="1" t="str">
        <f>'抽奖|MoonBless'!DN18</f>
        <v>2元话费卡</v>
      </c>
      <c r="AV18" s="1">
        <f>'抽奖|MoonBless'!DO18</f>
        <v>2</v>
      </c>
      <c r="AW18" s="1">
        <f>'抽奖|MoonBless'!DP18</f>
        <v>20</v>
      </c>
      <c r="AX18" s="1">
        <f>'抽奖|MoonBless'!DQ18</f>
        <v>2</v>
      </c>
      <c r="AY18" s="1">
        <f>'抽奖|MoonBless'!DR18</f>
        <v>1205</v>
      </c>
      <c r="AZ18" s="1">
        <f>'抽奖|MoonBless'!DS18</f>
        <v>1</v>
      </c>
      <c r="BA18" s="1">
        <f t="shared" si="22"/>
        <v>399999.99999999994</v>
      </c>
    </row>
    <row r="19" spans="1:53" ht="16.2" x14ac:dyDescent="0.35">
      <c r="A19" s="1">
        <v>15</v>
      </c>
      <c r="B19" s="83">
        <f t="shared" si="11"/>
        <v>3460</v>
      </c>
      <c r="C19" s="39" t="str">
        <f t="shared" si="12"/>
        <v>1|1|2</v>
      </c>
      <c r="D19" s="39" t="str">
        <f t="shared" si="13"/>
        <v>2|1001|1</v>
      </c>
      <c r="E19" s="39" t="str">
        <f t="shared" si="14"/>
        <v>2|1002|1</v>
      </c>
      <c r="F19" s="39" t="str">
        <f t="shared" si="15"/>
        <v>1|2|30000</v>
      </c>
      <c r="G19" s="39" t="str">
        <f t="shared" si="16"/>
        <v>1|2|3000000</v>
      </c>
      <c r="H19" s="39"/>
      <c r="I19" s="39"/>
      <c r="J19" s="39"/>
      <c r="L19" s="1">
        <v>10</v>
      </c>
      <c r="M19" s="1">
        <f>SUM($L$5:L19)</f>
        <v>73</v>
      </c>
      <c r="N19" s="429">
        <f t="shared" si="17"/>
        <v>0.30416666666666664</v>
      </c>
      <c r="O19" s="1">
        <v>0.96</v>
      </c>
      <c r="P19" s="1">
        <f t="shared" si="0"/>
        <v>345.59999999999997</v>
      </c>
      <c r="Q19" s="1">
        <f t="shared" si="18"/>
        <v>3460</v>
      </c>
      <c r="T19" s="6" t="s">
        <v>1107</v>
      </c>
      <c r="U19" s="70">
        <f t="shared" si="1"/>
        <v>1</v>
      </c>
      <c r="V19" s="70">
        <f t="shared" si="2"/>
        <v>1</v>
      </c>
      <c r="W19" s="435">
        <v>2</v>
      </c>
      <c r="X19" s="68" t="s">
        <v>1139</v>
      </c>
      <c r="Y19" s="6">
        <f t="shared" si="3"/>
        <v>2</v>
      </c>
      <c r="Z19" s="6">
        <f t="shared" si="4"/>
        <v>1001</v>
      </c>
      <c r="AA19" s="6">
        <v>1</v>
      </c>
      <c r="AB19" s="68" t="s">
        <v>1140</v>
      </c>
      <c r="AC19" s="6">
        <f t="shared" si="5"/>
        <v>2</v>
      </c>
      <c r="AD19" s="6">
        <f t="shared" si="6"/>
        <v>1002</v>
      </c>
      <c r="AE19" s="6">
        <v>1</v>
      </c>
      <c r="AG19" s="59">
        <v>15</v>
      </c>
      <c r="AH19" s="1" t="s">
        <v>169</v>
      </c>
      <c r="AI19" s="11">
        <f t="shared" si="7"/>
        <v>1</v>
      </c>
      <c r="AJ19" s="11">
        <f t="shared" si="8"/>
        <v>2</v>
      </c>
      <c r="AK19" s="83">
        <v>30000</v>
      </c>
      <c r="AL19" s="83">
        <f t="shared" si="19"/>
        <v>30000</v>
      </c>
      <c r="AM19" s="1" t="str">
        <f t="shared" si="20"/>
        <v>金币</v>
      </c>
      <c r="AN19" s="1">
        <f t="shared" si="9"/>
        <v>1</v>
      </c>
      <c r="AO19" s="1">
        <f t="shared" si="10"/>
        <v>2</v>
      </c>
      <c r="AP19" s="469">
        <v>3000000</v>
      </c>
      <c r="AQ19" s="1">
        <f t="shared" si="21"/>
        <v>3000000</v>
      </c>
      <c r="AU19" s="1" t="str">
        <f>'抽奖|MoonBless'!DN19</f>
        <v>高压锅</v>
      </c>
      <c r="AV19" s="1">
        <f>'抽奖|MoonBless'!DO19</f>
        <v>200</v>
      </c>
      <c r="AW19" s="1">
        <f>'抽奖|MoonBless'!DP19</f>
        <v>2000</v>
      </c>
      <c r="AX19" s="1">
        <f>'抽奖|MoonBless'!DQ19</f>
        <v>2</v>
      </c>
      <c r="AY19" s="1">
        <f>'抽奖|MoonBless'!DR19</f>
        <v>1208</v>
      </c>
      <c r="AZ19" s="1">
        <f>'抽奖|MoonBless'!DS19</f>
        <v>1</v>
      </c>
      <c r="BA19" s="1">
        <f t="shared" si="22"/>
        <v>40000000</v>
      </c>
    </row>
    <row r="20" spans="1:53" ht="16.2" x14ac:dyDescent="0.35">
      <c r="A20" s="1">
        <v>16</v>
      </c>
      <c r="B20" s="83">
        <f t="shared" si="11"/>
        <v>6910</v>
      </c>
      <c r="C20" s="39" t="str">
        <f t="shared" si="12"/>
        <v>1|1|2</v>
      </c>
      <c r="D20" s="39" t="str">
        <f t="shared" si="13"/>
        <v>2|1002|1</v>
      </c>
      <c r="E20" s="39" t="str">
        <f t="shared" si="14"/>
        <v>2|1004|1</v>
      </c>
      <c r="F20" s="39" t="str">
        <f t="shared" si="15"/>
        <v/>
      </c>
      <c r="G20" s="39" t="str">
        <f t="shared" si="16"/>
        <v/>
      </c>
      <c r="H20" s="39"/>
      <c r="I20" s="39"/>
      <c r="J20" s="39"/>
      <c r="L20" s="1">
        <v>20</v>
      </c>
      <c r="M20" s="1">
        <f>SUM($L$5:L20)</f>
        <v>93</v>
      </c>
      <c r="N20" s="429">
        <f t="shared" si="17"/>
        <v>0.38750000000000001</v>
      </c>
      <c r="O20" s="1">
        <v>0.96</v>
      </c>
      <c r="P20" s="1">
        <f t="shared" si="0"/>
        <v>345.59999999999997</v>
      </c>
      <c r="Q20" s="1">
        <f t="shared" si="18"/>
        <v>6910</v>
      </c>
      <c r="T20" s="6" t="s">
        <v>1107</v>
      </c>
      <c r="U20" s="70">
        <f t="shared" si="1"/>
        <v>1</v>
      </c>
      <c r="V20" s="70">
        <f t="shared" si="2"/>
        <v>1</v>
      </c>
      <c r="W20" s="435">
        <v>2</v>
      </c>
      <c r="X20" s="68" t="s">
        <v>1140</v>
      </c>
      <c r="Y20" s="6">
        <f t="shared" si="3"/>
        <v>2</v>
      </c>
      <c r="Z20" s="6">
        <f t="shared" si="4"/>
        <v>1002</v>
      </c>
      <c r="AA20" s="6">
        <v>1</v>
      </c>
      <c r="AB20" s="68" t="s">
        <v>1143</v>
      </c>
      <c r="AC20" s="6">
        <f t="shared" si="5"/>
        <v>2</v>
      </c>
      <c r="AD20" s="6">
        <f t="shared" si="6"/>
        <v>1004</v>
      </c>
      <c r="AE20" s="6">
        <v>1</v>
      </c>
      <c r="AG20" s="83">
        <v>16</v>
      </c>
      <c r="AI20" s="11" t="str">
        <f t="shared" si="7"/>
        <v>物品类型</v>
      </c>
      <c r="AJ20" s="11" t="str">
        <f t="shared" si="8"/>
        <v>id</v>
      </c>
      <c r="AK20" s="83" t="s">
        <v>1141</v>
      </c>
      <c r="AL20" s="83">
        <f t="shared" si="19"/>
        <v>0</v>
      </c>
      <c r="AM20" s="1">
        <f t="shared" si="20"/>
        <v>0</v>
      </c>
      <c r="AN20" s="1" t="str">
        <f t="shared" si="9"/>
        <v>物品类型</v>
      </c>
      <c r="AO20" s="1" t="str">
        <f t="shared" si="10"/>
        <v>id</v>
      </c>
      <c r="AP20" s="469"/>
      <c r="AQ20" s="1">
        <f t="shared" si="21"/>
        <v>0</v>
      </c>
      <c r="AU20" s="1" t="str">
        <f>'抽奖|MoonBless'!DN20</f>
        <v>30元话费卡</v>
      </c>
      <c r="AV20" s="1">
        <f>'抽奖|MoonBless'!DO20</f>
        <v>30</v>
      </c>
      <c r="AW20" s="1">
        <f>'抽奖|MoonBless'!DP20</f>
        <v>300</v>
      </c>
      <c r="AX20" s="1">
        <f>'抽奖|MoonBless'!DQ20</f>
        <v>2</v>
      </c>
      <c r="AY20" s="1">
        <f>'抽奖|MoonBless'!DR20</f>
        <v>1209</v>
      </c>
      <c r="AZ20" s="1">
        <f>'抽奖|MoonBless'!DS20</f>
        <v>1</v>
      </c>
      <c r="BA20" s="1">
        <f t="shared" si="22"/>
        <v>5999999.9999999991</v>
      </c>
    </row>
    <row r="21" spans="1:53" ht="16.2" x14ac:dyDescent="0.35">
      <c r="A21" s="1">
        <v>17</v>
      </c>
      <c r="B21" s="83">
        <f t="shared" si="11"/>
        <v>10370</v>
      </c>
      <c r="C21" s="39" t="str">
        <f t="shared" si="12"/>
        <v>1|1|2</v>
      </c>
      <c r="D21" s="39" t="str">
        <f t="shared" si="13"/>
        <v>2|1001|1</v>
      </c>
      <c r="E21" s="39" t="str">
        <f t="shared" si="14"/>
        <v>2|1004|1</v>
      </c>
      <c r="F21" s="39" t="str">
        <f t="shared" si="15"/>
        <v/>
      </c>
      <c r="G21" s="39" t="str">
        <f t="shared" si="16"/>
        <v/>
      </c>
      <c r="H21" s="39"/>
      <c r="I21" s="39"/>
      <c r="J21" s="39"/>
      <c r="L21" s="1">
        <v>30</v>
      </c>
      <c r="M21" s="1">
        <f>SUM($L$5:L21)</f>
        <v>123</v>
      </c>
      <c r="N21" s="429">
        <f t="shared" si="17"/>
        <v>0.51249999999999996</v>
      </c>
      <c r="O21" s="1">
        <v>0.96</v>
      </c>
      <c r="P21" s="1">
        <f t="shared" si="0"/>
        <v>345.59999999999997</v>
      </c>
      <c r="Q21" s="1">
        <f t="shared" si="18"/>
        <v>10370</v>
      </c>
      <c r="T21" s="6" t="s">
        <v>1107</v>
      </c>
      <c r="U21" s="70">
        <f t="shared" si="1"/>
        <v>1</v>
      </c>
      <c r="V21" s="70">
        <f t="shared" si="2"/>
        <v>1</v>
      </c>
      <c r="W21" s="435">
        <v>2</v>
      </c>
      <c r="X21" s="68" t="s">
        <v>1139</v>
      </c>
      <c r="Y21" s="6">
        <f t="shared" si="3"/>
        <v>2</v>
      </c>
      <c r="Z21" s="6">
        <f t="shared" si="4"/>
        <v>1001</v>
      </c>
      <c r="AA21" s="6">
        <v>1</v>
      </c>
      <c r="AB21" s="68" t="s">
        <v>1143</v>
      </c>
      <c r="AC21" s="6">
        <f t="shared" si="5"/>
        <v>2</v>
      </c>
      <c r="AD21" s="6">
        <f t="shared" si="6"/>
        <v>1004</v>
      </c>
      <c r="AE21" s="6">
        <v>1</v>
      </c>
      <c r="AG21" s="83">
        <v>17</v>
      </c>
      <c r="AI21" s="11" t="str">
        <f t="shared" si="7"/>
        <v>物品类型</v>
      </c>
      <c r="AJ21" s="11" t="str">
        <f t="shared" si="8"/>
        <v>id</v>
      </c>
      <c r="AK21" s="83" t="s">
        <v>1141</v>
      </c>
      <c r="AL21" s="83">
        <f t="shared" si="19"/>
        <v>0</v>
      </c>
      <c r="AM21" s="1">
        <f t="shared" si="20"/>
        <v>0</v>
      </c>
      <c r="AN21" s="1" t="str">
        <f t="shared" si="9"/>
        <v>物品类型</v>
      </c>
      <c r="AO21" s="1" t="str">
        <f t="shared" si="10"/>
        <v>id</v>
      </c>
      <c r="AP21" s="469"/>
      <c r="AQ21" s="1">
        <f t="shared" si="21"/>
        <v>0</v>
      </c>
      <c r="AU21" s="1" t="str">
        <f>'抽奖|MoonBless'!DN21</f>
        <v>50元话费卡</v>
      </c>
      <c r="AV21" s="1">
        <f>'抽奖|MoonBless'!DO21</f>
        <v>50</v>
      </c>
      <c r="AW21" s="1">
        <f>'抽奖|MoonBless'!DP21</f>
        <v>500</v>
      </c>
      <c r="AX21" s="1">
        <f>'抽奖|MoonBless'!DQ21</f>
        <v>2</v>
      </c>
      <c r="AY21" s="1">
        <f>'抽奖|MoonBless'!DR21</f>
        <v>1210</v>
      </c>
      <c r="AZ21" s="1">
        <f>'抽奖|MoonBless'!DS21</f>
        <v>1</v>
      </c>
      <c r="BA21" s="1">
        <f t="shared" si="22"/>
        <v>10000000</v>
      </c>
    </row>
    <row r="22" spans="1:53" ht="16.2" x14ac:dyDescent="0.35">
      <c r="A22" s="1">
        <v>18</v>
      </c>
      <c r="B22" s="83">
        <f t="shared" si="11"/>
        <v>12100</v>
      </c>
      <c r="C22" s="39" t="str">
        <f t="shared" si="12"/>
        <v>1|1|2</v>
      </c>
      <c r="D22" s="39" t="str">
        <f t="shared" si="13"/>
        <v>2|1002|1</v>
      </c>
      <c r="E22" s="39" t="str">
        <f t="shared" si="14"/>
        <v>2|1004|1</v>
      </c>
      <c r="F22" s="39" t="str">
        <f t="shared" si="15"/>
        <v>1|2|50000</v>
      </c>
      <c r="G22" s="39" t="str">
        <f t="shared" si="16"/>
        <v>1|2|4000000</v>
      </c>
      <c r="H22" s="39"/>
      <c r="I22" s="39"/>
      <c r="J22" s="39"/>
      <c r="L22" s="1">
        <v>35</v>
      </c>
      <c r="M22" s="1">
        <f>SUM($L$5:L22)</f>
        <v>158</v>
      </c>
      <c r="N22" s="429">
        <f t="shared" si="17"/>
        <v>0.65833333333333333</v>
      </c>
      <c r="O22" s="1">
        <v>0.96</v>
      </c>
      <c r="P22" s="1">
        <f t="shared" si="0"/>
        <v>345.59999999999997</v>
      </c>
      <c r="Q22" s="1">
        <f t="shared" si="18"/>
        <v>12100</v>
      </c>
      <c r="T22" s="6" t="s">
        <v>1107</v>
      </c>
      <c r="U22" s="70">
        <f t="shared" si="1"/>
        <v>1</v>
      </c>
      <c r="V22" s="70">
        <f t="shared" si="2"/>
        <v>1</v>
      </c>
      <c r="W22" s="435">
        <v>2</v>
      </c>
      <c r="X22" s="68" t="s">
        <v>1140</v>
      </c>
      <c r="Y22" s="6">
        <f t="shared" si="3"/>
        <v>2</v>
      </c>
      <c r="Z22" s="6">
        <f t="shared" si="4"/>
        <v>1002</v>
      </c>
      <c r="AA22" s="6">
        <v>1</v>
      </c>
      <c r="AB22" s="68" t="s">
        <v>1143</v>
      </c>
      <c r="AC22" s="6">
        <f t="shared" si="5"/>
        <v>2</v>
      </c>
      <c r="AD22" s="6">
        <f t="shared" si="6"/>
        <v>1004</v>
      </c>
      <c r="AE22" s="6">
        <v>1</v>
      </c>
      <c r="AG22" s="59">
        <v>18</v>
      </c>
      <c r="AH22" s="1" t="s">
        <v>169</v>
      </c>
      <c r="AI22" s="11">
        <f t="shared" si="7"/>
        <v>1</v>
      </c>
      <c r="AJ22" s="11">
        <f t="shared" si="8"/>
        <v>2</v>
      </c>
      <c r="AK22" s="83">
        <v>50000</v>
      </c>
      <c r="AL22" s="83">
        <f t="shared" si="19"/>
        <v>50000</v>
      </c>
      <c r="AM22" s="1" t="str">
        <f t="shared" si="20"/>
        <v>金币</v>
      </c>
      <c r="AN22" s="1">
        <f t="shared" si="9"/>
        <v>1</v>
      </c>
      <c r="AO22" s="1">
        <f t="shared" si="10"/>
        <v>2</v>
      </c>
      <c r="AP22" s="469">
        <v>4000000</v>
      </c>
      <c r="AQ22" s="1">
        <f t="shared" si="21"/>
        <v>4000000</v>
      </c>
      <c r="AU22" s="1" t="str">
        <f>'抽奖|MoonBless'!DN22</f>
        <v>活跃度</v>
      </c>
      <c r="AV22" s="1">
        <f>'抽奖|MoonBless'!DO22</f>
        <v>1</v>
      </c>
      <c r="AW22" s="1">
        <f>'抽奖|MoonBless'!DP22</f>
        <v>10</v>
      </c>
      <c r="AX22" s="1">
        <f>'抽奖|MoonBless'!DQ22</f>
        <v>1</v>
      </c>
      <c r="AY22" s="1">
        <f>'抽奖|MoonBless'!DR22</f>
        <v>6</v>
      </c>
      <c r="AZ22" s="1">
        <f>'抽奖|MoonBless'!DS22</f>
        <v>1</v>
      </c>
      <c r="BA22" s="1">
        <f t="shared" si="22"/>
        <v>199999.99999999997</v>
      </c>
    </row>
    <row r="23" spans="1:53" ht="16.2" x14ac:dyDescent="0.35">
      <c r="A23" s="1">
        <v>19</v>
      </c>
      <c r="B23" s="83">
        <f t="shared" si="11"/>
        <v>13820</v>
      </c>
      <c r="C23" s="39" t="str">
        <f t="shared" si="12"/>
        <v>1|1|2</v>
      </c>
      <c r="D23" s="39" t="str">
        <f t="shared" si="13"/>
        <v>2|1001|1</v>
      </c>
      <c r="E23" s="39" t="str">
        <f t="shared" si="14"/>
        <v>2|1003|1</v>
      </c>
      <c r="F23" s="39" t="str">
        <f t="shared" si="15"/>
        <v/>
      </c>
      <c r="G23" s="39" t="str">
        <f t="shared" si="16"/>
        <v/>
      </c>
      <c r="H23" s="39"/>
      <c r="I23" s="39"/>
      <c r="J23" s="39"/>
      <c r="L23" s="1">
        <v>40</v>
      </c>
      <c r="M23" s="1">
        <f>SUM($L$5:L23)</f>
        <v>198</v>
      </c>
      <c r="N23" s="429">
        <f t="shared" si="17"/>
        <v>0.82499999999999996</v>
      </c>
      <c r="O23" s="1">
        <v>0.96</v>
      </c>
      <c r="P23" s="1">
        <f t="shared" si="0"/>
        <v>345.59999999999997</v>
      </c>
      <c r="Q23" s="1">
        <f t="shared" si="18"/>
        <v>13820</v>
      </c>
      <c r="T23" s="6" t="s">
        <v>1107</v>
      </c>
      <c r="U23" s="70">
        <f t="shared" si="1"/>
        <v>1</v>
      </c>
      <c r="V23" s="70">
        <f t="shared" si="2"/>
        <v>1</v>
      </c>
      <c r="W23" s="435">
        <v>2</v>
      </c>
      <c r="X23" s="68" t="s">
        <v>1139</v>
      </c>
      <c r="Y23" s="6">
        <f t="shared" si="3"/>
        <v>2</v>
      </c>
      <c r="Z23" s="6">
        <f t="shared" si="4"/>
        <v>1001</v>
      </c>
      <c r="AA23" s="6">
        <v>1</v>
      </c>
      <c r="AB23" s="68" t="s">
        <v>1144</v>
      </c>
      <c r="AC23" s="6">
        <f t="shared" si="5"/>
        <v>2</v>
      </c>
      <c r="AD23" s="6">
        <f t="shared" si="6"/>
        <v>1003</v>
      </c>
      <c r="AE23" s="6">
        <v>1</v>
      </c>
      <c r="AG23" s="83">
        <v>19</v>
      </c>
      <c r="AI23" s="11" t="str">
        <f t="shared" si="7"/>
        <v>物品类型</v>
      </c>
      <c r="AJ23" s="11" t="str">
        <f t="shared" si="8"/>
        <v>id</v>
      </c>
      <c r="AK23" s="83" t="s">
        <v>1141</v>
      </c>
      <c r="AL23" s="83">
        <f t="shared" si="19"/>
        <v>0</v>
      </c>
      <c r="AM23" s="1">
        <f t="shared" si="20"/>
        <v>0</v>
      </c>
      <c r="AN23" s="1" t="str">
        <f t="shared" si="9"/>
        <v>物品类型</v>
      </c>
      <c r="AO23" s="1" t="str">
        <f t="shared" si="10"/>
        <v>id</v>
      </c>
      <c r="AP23" s="469"/>
      <c r="AQ23" s="1">
        <f t="shared" si="21"/>
        <v>0</v>
      </c>
      <c r="AU23" s="1" t="str">
        <f>'抽奖|MoonBless'!DN23</f>
        <v>红包【恭】</v>
      </c>
      <c r="AV23" s="1">
        <f>'抽奖|MoonBless'!DO23</f>
        <v>1</v>
      </c>
      <c r="AW23" s="1">
        <f>'抽奖|MoonBless'!DP23</f>
        <v>10</v>
      </c>
      <c r="AX23" s="1">
        <f>'抽奖|MoonBless'!DQ23</f>
        <v>2</v>
      </c>
      <c r="AY23" s="1">
        <f>'抽奖|MoonBless'!DR23</f>
        <v>1301</v>
      </c>
      <c r="AZ23" s="1">
        <f>'抽奖|MoonBless'!DS23</f>
        <v>1</v>
      </c>
      <c r="BA23" s="1">
        <f t="shared" si="22"/>
        <v>199999.99999999997</v>
      </c>
    </row>
    <row r="24" spans="1:53" ht="16.2" x14ac:dyDescent="0.35">
      <c r="A24" s="1">
        <v>20</v>
      </c>
      <c r="B24" s="83">
        <f t="shared" si="11"/>
        <v>15550</v>
      </c>
      <c r="C24" s="39" t="str">
        <f t="shared" si="12"/>
        <v>1|1|2</v>
      </c>
      <c r="D24" s="39" t="str">
        <f t="shared" si="13"/>
        <v>2|1002|1</v>
      </c>
      <c r="E24" s="39" t="str">
        <f t="shared" si="14"/>
        <v>2|1004|1</v>
      </c>
      <c r="F24" s="39" t="str">
        <f t="shared" si="15"/>
        <v>1|2|75000</v>
      </c>
      <c r="G24" s="39" t="str">
        <f t="shared" si="16"/>
        <v>2|1007|1</v>
      </c>
      <c r="H24" s="39"/>
      <c r="I24" s="39"/>
      <c r="J24" s="39"/>
      <c r="L24" s="1">
        <v>45</v>
      </c>
      <c r="M24" s="1">
        <f>SUM($L$5:L24)</f>
        <v>243</v>
      </c>
      <c r="N24" s="429">
        <f t="shared" si="17"/>
        <v>1.0125</v>
      </c>
      <c r="O24" s="1">
        <v>0.96</v>
      </c>
      <c r="P24" s="1">
        <f t="shared" si="0"/>
        <v>345.59999999999997</v>
      </c>
      <c r="Q24" s="1">
        <f t="shared" si="18"/>
        <v>15550</v>
      </c>
      <c r="T24" s="6" t="s">
        <v>1107</v>
      </c>
      <c r="U24" s="70">
        <f t="shared" si="1"/>
        <v>1</v>
      </c>
      <c r="V24" s="70">
        <f t="shared" si="2"/>
        <v>1</v>
      </c>
      <c r="W24" s="435">
        <v>2</v>
      </c>
      <c r="X24" s="68" t="s">
        <v>1140</v>
      </c>
      <c r="Y24" s="6">
        <f t="shared" si="3"/>
        <v>2</v>
      </c>
      <c r="Z24" s="6">
        <f t="shared" si="4"/>
        <v>1002</v>
      </c>
      <c r="AA24" s="6">
        <v>1</v>
      </c>
      <c r="AB24" s="68" t="s">
        <v>1143</v>
      </c>
      <c r="AC24" s="6">
        <f t="shared" si="5"/>
        <v>2</v>
      </c>
      <c r="AD24" s="6">
        <f t="shared" si="6"/>
        <v>1004</v>
      </c>
      <c r="AE24" s="6">
        <v>1</v>
      </c>
      <c r="AG24" s="59">
        <v>20</v>
      </c>
      <c r="AH24" s="1" t="s">
        <v>169</v>
      </c>
      <c r="AI24" s="11">
        <f t="shared" si="7"/>
        <v>1</v>
      </c>
      <c r="AJ24" s="11">
        <f t="shared" si="8"/>
        <v>2</v>
      </c>
      <c r="AK24" s="83">
        <v>75000</v>
      </c>
      <c r="AL24" s="83">
        <f t="shared" si="19"/>
        <v>75000</v>
      </c>
      <c r="AM24" s="1" t="s">
        <v>1119</v>
      </c>
      <c r="AN24" s="1">
        <f t="shared" si="9"/>
        <v>2</v>
      </c>
      <c r="AO24" s="1">
        <f t="shared" si="10"/>
        <v>1007</v>
      </c>
      <c r="AP24" s="470">
        <v>1</v>
      </c>
      <c r="AQ24" s="1">
        <f t="shared" si="21"/>
        <v>5000000</v>
      </c>
      <c r="AU24" s="1" t="str">
        <f>'抽奖|MoonBless'!DN24</f>
        <v>红包【喜】</v>
      </c>
      <c r="AV24" s="1">
        <f>'抽奖|MoonBless'!DO24</f>
        <v>1</v>
      </c>
      <c r="AW24" s="1">
        <f>'抽奖|MoonBless'!DP24</f>
        <v>10</v>
      </c>
      <c r="AX24" s="1">
        <f>'抽奖|MoonBless'!DQ24</f>
        <v>2</v>
      </c>
      <c r="AY24" s="1">
        <f>'抽奖|MoonBless'!DR24</f>
        <v>1302</v>
      </c>
      <c r="AZ24" s="1">
        <f>'抽奖|MoonBless'!DS24</f>
        <v>1</v>
      </c>
      <c r="BA24" s="1">
        <f t="shared" si="22"/>
        <v>199999.99999999997</v>
      </c>
    </row>
    <row r="25" spans="1:53" ht="16.2" x14ac:dyDescent="0.35">
      <c r="A25" s="1">
        <v>21</v>
      </c>
      <c r="B25" s="83">
        <f t="shared" si="11"/>
        <v>17280</v>
      </c>
      <c r="C25" s="39" t="str">
        <f t="shared" si="12"/>
        <v>1|1|2</v>
      </c>
      <c r="D25" s="39" t="str">
        <f t="shared" si="13"/>
        <v>2|1001|1</v>
      </c>
      <c r="E25" s="39" t="str">
        <f t="shared" si="14"/>
        <v>2|1002|1</v>
      </c>
      <c r="F25" s="39" t="str">
        <f t="shared" si="15"/>
        <v/>
      </c>
      <c r="G25" s="39" t="str">
        <f t="shared" si="16"/>
        <v/>
      </c>
      <c r="H25" s="39"/>
      <c r="I25" s="39"/>
      <c r="J25" s="39"/>
      <c r="L25" s="1">
        <v>50</v>
      </c>
      <c r="M25" s="1">
        <f>SUM($L$5:L25)</f>
        <v>293</v>
      </c>
      <c r="N25" s="429">
        <f t="shared" si="17"/>
        <v>1.2208333333333334</v>
      </c>
      <c r="O25" s="1">
        <v>0.96</v>
      </c>
      <c r="P25" s="1">
        <f t="shared" si="0"/>
        <v>345.59999999999997</v>
      </c>
      <c r="Q25" s="1">
        <f t="shared" si="18"/>
        <v>17280</v>
      </c>
      <c r="T25" s="6" t="s">
        <v>1107</v>
      </c>
      <c r="U25" s="70">
        <f t="shared" si="1"/>
        <v>1</v>
      </c>
      <c r="V25" s="70">
        <f t="shared" si="2"/>
        <v>1</v>
      </c>
      <c r="W25" s="435">
        <v>2</v>
      </c>
      <c r="X25" s="68" t="s">
        <v>1139</v>
      </c>
      <c r="Y25" s="6">
        <f t="shared" si="3"/>
        <v>2</v>
      </c>
      <c r="Z25" s="6">
        <f t="shared" si="4"/>
        <v>1001</v>
      </c>
      <c r="AA25" s="6">
        <v>1</v>
      </c>
      <c r="AB25" s="68" t="s">
        <v>1140</v>
      </c>
      <c r="AC25" s="6">
        <f t="shared" si="5"/>
        <v>2</v>
      </c>
      <c r="AD25" s="6">
        <f t="shared" si="6"/>
        <v>1002</v>
      </c>
      <c r="AE25" s="6">
        <v>1</v>
      </c>
      <c r="AG25" s="83">
        <v>21</v>
      </c>
      <c r="AI25" s="11" t="str">
        <f t="shared" si="7"/>
        <v>物品类型</v>
      </c>
      <c r="AJ25" s="11" t="str">
        <f t="shared" si="8"/>
        <v>id</v>
      </c>
      <c r="AK25" s="83" t="s">
        <v>1141</v>
      </c>
      <c r="AL25" s="83">
        <f t="shared" si="19"/>
        <v>0</v>
      </c>
      <c r="AM25" s="1">
        <f t="shared" si="20"/>
        <v>0</v>
      </c>
      <c r="AN25" s="1" t="str">
        <f t="shared" si="9"/>
        <v>物品类型</v>
      </c>
      <c r="AO25" s="1" t="str">
        <f t="shared" si="10"/>
        <v>id</v>
      </c>
      <c r="AP25" s="469"/>
      <c r="AQ25" s="1">
        <f t="shared" si="21"/>
        <v>0</v>
      </c>
      <c r="AU25" s="1" t="str">
        <f>'抽奖|MoonBless'!DN25</f>
        <v>红包【发】</v>
      </c>
      <c r="AV25" s="1">
        <f>'抽奖|MoonBless'!DO25</f>
        <v>1</v>
      </c>
      <c r="AW25" s="1">
        <f>'抽奖|MoonBless'!DP25</f>
        <v>10</v>
      </c>
      <c r="AX25" s="1">
        <f>'抽奖|MoonBless'!DQ25</f>
        <v>2</v>
      </c>
      <c r="AY25" s="1">
        <f>'抽奖|MoonBless'!DR25</f>
        <v>1303</v>
      </c>
      <c r="AZ25" s="1">
        <f>'抽奖|MoonBless'!DS25</f>
        <v>1</v>
      </c>
      <c r="BA25" s="1">
        <f t="shared" si="22"/>
        <v>199999.99999999997</v>
      </c>
    </row>
    <row r="26" spans="1:53" ht="16.2" x14ac:dyDescent="0.35">
      <c r="A26" s="1">
        <v>22</v>
      </c>
      <c r="B26" s="83">
        <f t="shared" si="11"/>
        <v>19010</v>
      </c>
      <c r="C26" s="39" t="str">
        <f t="shared" si="12"/>
        <v>1|1|2</v>
      </c>
      <c r="D26" s="39" t="str">
        <f t="shared" si="13"/>
        <v>2|1002|1</v>
      </c>
      <c r="E26" s="39" t="str">
        <f t="shared" si="14"/>
        <v>2|1004|1</v>
      </c>
      <c r="F26" s="39" t="str">
        <f t="shared" si="15"/>
        <v/>
      </c>
      <c r="G26" s="39" t="str">
        <f t="shared" si="16"/>
        <v/>
      </c>
      <c r="H26" s="39"/>
      <c r="I26" s="39"/>
      <c r="J26" s="39"/>
      <c r="L26" s="1">
        <v>55</v>
      </c>
      <c r="M26" s="1">
        <f>SUM($L$5:L26)</f>
        <v>348</v>
      </c>
      <c r="N26" s="429">
        <f t="shared" si="17"/>
        <v>1.45</v>
      </c>
      <c r="O26" s="1">
        <v>0.96</v>
      </c>
      <c r="P26" s="1">
        <f t="shared" si="0"/>
        <v>345.59999999999997</v>
      </c>
      <c r="Q26" s="1">
        <f t="shared" si="18"/>
        <v>19010</v>
      </c>
      <c r="T26" s="6" t="s">
        <v>1107</v>
      </c>
      <c r="U26" s="70">
        <f t="shared" si="1"/>
        <v>1</v>
      </c>
      <c r="V26" s="70">
        <f t="shared" si="2"/>
        <v>1</v>
      </c>
      <c r="W26" s="435">
        <v>2</v>
      </c>
      <c r="X26" s="68" t="s">
        <v>1140</v>
      </c>
      <c r="Y26" s="6">
        <f t="shared" si="3"/>
        <v>2</v>
      </c>
      <c r="Z26" s="6">
        <f t="shared" si="4"/>
        <v>1002</v>
      </c>
      <c r="AA26" s="6">
        <v>1</v>
      </c>
      <c r="AB26" s="68" t="s">
        <v>1143</v>
      </c>
      <c r="AC26" s="6">
        <f t="shared" si="5"/>
        <v>2</v>
      </c>
      <c r="AD26" s="6">
        <f t="shared" si="6"/>
        <v>1004</v>
      </c>
      <c r="AE26" s="6">
        <v>1</v>
      </c>
      <c r="AG26" s="83">
        <v>22</v>
      </c>
      <c r="AI26" s="11" t="str">
        <f t="shared" si="7"/>
        <v>物品类型</v>
      </c>
      <c r="AJ26" s="11" t="str">
        <f t="shared" si="8"/>
        <v>id</v>
      </c>
      <c r="AK26" s="83" t="s">
        <v>1141</v>
      </c>
      <c r="AL26" s="83">
        <f t="shared" si="19"/>
        <v>0</v>
      </c>
      <c r="AM26" s="1">
        <f t="shared" si="20"/>
        <v>0</v>
      </c>
      <c r="AN26" s="1" t="str">
        <f t="shared" si="9"/>
        <v>物品类型</v>
      </c>
      <c r="AO26" s="1" t="str">
        <f t="shared" si="10"/>
        <v>id</v>
      </c>
      <c r="AP26" s="469"/>
      <c r="AQ26" s="1">
        <f t="shared" si="21"/>
        <v>0</v>
      </c>
      <c r="AU26" s="1" t="str">
        <f>'抽奖|MoonBless'!DN26</f>
        <v>红包【财】</v>
      </c>
      <c r="AV26" s="1">
        <f>'抽奖|MoonBless'!DO26</f>
        <v>1</v>
      </c>
      <c r="AW26" s="1">
        <f>'抽奖|MoonBless'!DP26</f>
        <v>10</v>
      </c>
      <c r="AX26" s="1">
        <f>'抽奖|MoonBless'!DQ26</f>
        <v>2</v>
      </c>
      <c r="AY26" s="1">
        <f>'抽奖|MoonBless'!DR26</f>
        <v>1304</v>
      </c>
      <c r="AZ26" s="1">
        <f>'抽奖|MoonBless'!DS26</f>
        <v>1</v>
      </c>
      <c r="BA26" s="1">
        <f t="shared" si="22"/>
        <v>199999.99999999997</v>
      </c>
    </row>
    <row r="27" spans="1:53" ht="16.2" x14ac:dyDescent="0.35">
      <c r="A27" s="1">
        <v>23</v>
      </c>
      <c r="B27" s="83">
        <f t="shared" si="11"/>
        <v>20740</v>
      </c>
      <c r="C27" s="39" t="str">
        <f t="shared" si="12"/>
        <v>1|1|2</v>
      </c>
      <c r="D27" s="39" t="str">
        <f t="shared" si="13"/>
        <v>2|1001|1</v>
      </c>
      <c r="E27" s="39" t="str">
        <f t="shared" si="14"/>
        <v>2|1004|1</v>
      </c>
      <c r="F27" s="39" t="str">
        <f t="shared" si="15"/>
        <v>1|2|100000</v>
      </c>
      <c r="G27" s="39" t="str">
        <f t="shared" si="16"/>
        <v>1|2|6000000</v>
      </c>
      <c r="H27" s="39"/>
      <c r="I27" s="39"/>
      <c r="J27" s="39"/>
      <c r="L27" s="1">
        <v>60</v>
      </c>
      <c r="M27" s="1">
        <f>SUM($L$5:L27)</f>
        <v>408</v>
      </c>
      <c r="N27" s="429">
        <f t="shared" si="17"/>
        <v>1.7</v>
      </c>
      <c r="O27" s="1">
        <v>0.96</v>
      </c>
      <c r="P27" s="1">
        <f t="shared" si="0"/>
        <v>345.59999999999997</v>
      </c>
      <c r="Q27" s="1">
        <f t="shared" si="18"/>
        <v>20740</v>
      </c>
      <c r="T27" s="6" t="s">
        <v>1107</v>
      </c>
      <c r="U27" s="70">
        <f t="shared" si="1"/>
        <v>1</v>
      </c>
      <c r="V27" s="70">
        <f t="shared" si="2"/>
        <v>1</v>
      </c>
      <c r="W27" s="435">
        <v>2</v>
      </c>
      <c r="X27" s="68" t="s">
        <v>1139</v>
      </c>
      <c r="Y27" s="6">
        <f t="shared" si="3"/>
        <v>2</v>
      </c>
      <c r="Z27" s="6">
        <f t="shared" si="4"/>
        <v>1001</v>
      </c>
      <c r="AA27" s="6">
        <v>1</v>
      </c>
      <c r="AB27" s="68" t="s">
        <v>1143</v>
      </c>
      <c r="AC27" s="6">
        <f t="shared" si="5"/>
        <v>2</v>
      </c>
      <c r="AD27" s="6">
        <f t="shared" si="6"/>
        <v>1004</v>
      </c>
      <c r="AE27" s="6">
        <v>1</v>
      </c>
      <c r="AG27" s="59">
        <v>23</v>
      </c>
      <c r="AH27" s="1" t="s">
        <v>169</v>
      </c>
      <c r="AI27" s="11">
        <f t="shared" si="7"/>
        <v>1</v>
      </c>
      <c r="AJ27" s="11">
        <f t="shared" si="8"/>
        <v>2</v>
      </c>
      <c r="AK27" s="83">
        <v>100000</v>
      </c>
      <c r="AL27" s="83">
        <f t="shared" si="19"/>
        <v>100000</v>
      </c>
      <c r="AM27" s="1" t="str">
        <f t="shared" si="20"/>
        <v>金币</v>
      </c>
      <c r="AN27" s="1">
        <f t="shared" si="9"/>
        <v>1</v>
      </c>
      <c r="AO27" s="1">
        <f t="shared" si="10"/>
        <v>2</v>
      </c>
      <c r="AP27" s="469">
        <v>6000000</v>
      </c>
      <c r="AQ27" s="1">
        <f t="shared" si="21"/>
        <v>6000000</v>
      </c>
      <c r="AU27" s="1" t="str">
        <f>'抽奖|MoonBless'!DN27</f>
        <v>双轮</v>
      </c>
      <c r="AV27" s="1">
        <f>'抽奖|MoonBless'!DO27</f>
        <v>100</v>
      </c>
      <c r="AW27" s="1">
        <f>'抽奖|MoonBless'!DP27</f>
        <v>1000</v>
      </c>
      <c r="AX27" s="1">
        <f>'抽奖|MoonBless'!DQ27</f>
        <v>2</v>
      </c>
      <c r="AY27" s="1">
        <f>'抽奖|MoonBless'!DR27</f>
        <v>1500</v>
      </c>
      <c r="AZ27" s="1">
        <f>'抽奖|MoonBless'!DS27</f>
        <v>1</v>
      </c>
      <c r="BA27" s="1">
        <f t="shared" si="22"/>
        <v>20000000</v>
      </c>
    </row>
    <row r="28" spans="1:53" ht="16.2" x14ac:dyDescent="0.35">
      <c r="A28" s="1">
        <v>24</v>
      </c>
      <c r="B28" s="83">
        <f t="shared" si="11"/>
        <v>22460</v>
      </c>
      <c r="C28" s="39" t="str">
        <f t="shared" si="12"/>
        <v>1|1|2</v>
      </c>
      <c r="D28" s="39" t="str">
        <f t="shared" si="13"/>
        <v>2|1002|1</v>
      </c>
      <c r="E28" s="39" t="str">
        <f t="shared" si="14"/>
        <v>2|1003|1</v>
      </c>
      <c r="F28" s="39" t="str">
        <f t="shared" si="15"/>
        <v/>
      </c>
      <c r="G28" s="39" t="str">
        <f t="shared" si="16"/>
        <v/>
      </c>
      <c r="H28" s="39"/>
      <c r="I28" s="39"/>
      <c r="J28" s="39"/>
      <c r="L28" s="1">
        <v>65</v>
      </c>
      <c r="M28" s="1">
        <f>SUM($L$5:L28)</f>
        <v>473</v>
      </c>
      <c r="N28" s="429">
        <f t="shared" si="17"/>
        <v>1.9708333333333334</v>
      </c>
      <c r="O28" s="1">
        <v>0.96</v>
      </c>
      <c r="P28" s="1">
        <f t="shared" si="0"/>
        <v>345.59999999999997</v>
      </c>
      <c r="Q28" s="1">
        <f t="shared" si="18"/>
        <v>22460</v>
      </c>
      <c r="T28" s="6" t="s">
        <v>1107</v>
      </c>
      <c r="U28" s="70">
        <f t="shared" si="1"/>
        <v>1</v>
      </c>
      <c r="V28" s="70">
        <f t="shared" si="2"/>
        <v>1</v>
      </c>
      <c r="W28" s="435">
        <v>2</v>
      </c>
      <c r="X28" s="68" t="s">
        <v>1140</v>
      </c>
      <c r="Y28" s="6">
        <f t="shared" si="3"/>
        <v>2</v>
      </c>
      <c r="Z28" s="6">
        <f t="shared" si="4"/>
        <v>1002</v>
      </c>
      <c r="AA28" s="6">
        <v>1</v>
      </c>
      <c r="AB28" s="68" t="s">
        <v>1144</v>
      </c>
      <c r="AC28" s="6">
        <f t="shared" si="5"/>
        <v>2</v>
      </c>
      <c r="AD28" s="6">
        <f t="shared" si="6"/>
        <v>1003</v>
      </c>
      <c r="AE28" s="6">
        <v>1</v>
      </c>
      <c r="AG28" s="83">
        <v>24</v>
      </c>
      <c r="AI28" s="11" t="str">
        <f t="shared" si="7"/>
        <v>物品类型</v>
      </c>
      <c r="AJ28" s="11" t="str">
        <f t="shared" si="8"/>
        <v>id</v>
      </c>
      <c r="AK28" s="83" t="s">
        <v>1141</v>
      </c>
      <c r="AL28" s="83">
        <f t="shared" si="19"/>
        <v>0</v>
      </c>
      <c r="AM28" s="1">
        <f t="shared" si="20"/>
        <v>0</v>
      </c>
      <c r="AN28" s="1" t="str">
        <f t="shared" si="9"/>
        <v>物品类型</v>
      </c>
      <c r="AO28" s="1" t="str">
        <f t="shared" si="10"/>
        <v>id</v>
      </c>
      <c r="AP28" s="469"/>
      <c r="AQ28" s="1">
        <f t="shared" si="21"/>
        <v>0</v>
      </c>
      <c r="AU28" s="1" t="str">
        <f>'抽奖|MoonBless'!DN28</f>
        <v>橄榄油</v>
      </c>
      <c r="AV28" s="1">
        <f>'抽奖|MoonBless'!DO28</f>
        <v>200</v>
      </c>
      <c r="AW28" s="1">
        <f>'抽奖|MoonBless'!DP28</f>
        <v>2000</v>
      </c>
      <c r="AX28" s="1">
        <f>'抽奖|MoonBless'!DQ28</f>
        <v>2</v>
      </c>
      <c r="AY28" s="1">
        <f>'抽奖|MoonBless'!DR28</f>
        <v>1503</v>
      </c>
      <c r="AZ28" s="1">
        <f>'抽奖|MoonBless'!DS28</f>
        <v>1</v>
      </c>
      <c r="BA28" s="1">
        <f t="shared" si="22"/>
        <v>40000000</v>
      </c>
    </row>
    <row r="29" spans="1:53" ht="16.2" x14ac:dyDescent="0.35">
      <c r="A29" s="1">
        <v>25</v>
      </c>
      <c r="B29" s="83">
        <f t="shared" si="11"/>
        <v>24190</v>
      </c>
      <c r="C29" s="39" t="str">
        <f t="shared" si="12"/>
        <v>1|1|2</v>
      </c>
      <c r="D29" s="39" t="str">
        <f t="shared" si="13"/>
        <v>2|1001|1</v>
      </c>
      <c r="E29" s="39" t="str">
        <f t="shared" si="14"/>
        <v>2|1002|1</v>
      </c>
      <c r="F29" s="39" t="str">
        <f t="shared" si="15"/>
        <v>1|1|5</v>
      </c>
      <c r="G29" s="39" t="str">
        <f t="shared" si="16"/>
        <v>1|1|350</v>
      </c>
      <c r="H29" s="39"/>
      <c r="I29" s="39"/>
      <c r="J29" s="39"/>
      <c r="L29" s="1">
        <v>70</v>
      </c>
      <c r="M29" s="1">
        <f>SUM($L$5:L29)</f>
        <v>543</v>
      </c>
      <c r="N29" s="429">
        <f t="shared" si="17"/>
        <v>2.2625000000000002</v>
      </c>
      <c r="O29" s="1">
        <v>0.96</v>
      </c>
      <c r="P29" s="1">
        <f t="shared" si="0"/>
        <v>345.59999999999997</v>
      </c>
      <c r="Q29" s="1">
        <f t="shared" si="18"/>
        <v>24190</v>
      </c>
      <c r="T29" s="6" t="s">
        <v>1107</v>
      </c>
      <c r="U29" s="70">
        <f t="shared" si="1"/>
        <v>1</v>
      </c>
      <c r="V29" s="70">
        <f t="shared" si="2"/>
        <v>1</v>
      </c>
      <c r="W29" s="435">
        <v>2</v>
      </c>
      <c r="X29" s="68" t="s">
        <v>1139</v>
      </c>
      <c r="Y29" s="6">
        <f t="shared" si="3"/>
        <v>2</v>
      </c>
      <c r="Z29" s="6">
        <f t="shared" si="4"/>
        <v>1001</v>
      </c>
      <c r="AA29" s="6">
        <v>1</v>
      </c>
      <c r="AB29" s="68" t="s">
        <v>1140</v>
      </c>
      <c r="AC29" s="6">
        <f t="shared" si="5"/>
        <v>2</v>
      </c>
      <c r="AD29" s="6">
        <f t="shared" si="6"/>
        <v>1002</v>
      </c>
      <c r="AE29" s="6">
        <v>1</v>
      </c>
      <c r="AG29" s="59">
        <v>25</v>
      </c>
      <c r="AH29" s="1" t="s">
        <v>1107</v>
      </c>
      <c r="AI29" s="11">
        <f t="shared" si="7"/>
        <v>1</v>
      </c>
      <c r="AJ29" s="11">
        <f t="shared" si="8"/>
        <v>1</v>
      </c>
      <c r="AK29" s="83">
        <v>5</v>
      </c>
      <c r="AL29" s="83">
        <f t="shared" si="19"/>
        <v>100000</v>
      </c>
      <c r="AM29" s="1" t="str">
        <f t="shared" si="20"/>
        <v>钻石</v>
      </c>
      <c r="AN29" s="1">
        <f t="shared" si="9"/>
        <v>1</v>
      </c>
      <c r="AO29" s="1">
        <f t="shared" si="10"/>
        <v>1</v>
      </c>
      <c r="AP29" s="469">
        <v>350</v>
      </c>
      <c r="AQ29" s="1">
        <f t="shared" si="21"/>
        <v>7000000</v>
      </c>
      <c r="AU29" s="1" t="str">
        <f>'抽奖|MoonBless'!DN29</f>
        <v>米面礼包</v>
      </c>
      <c r="AV29" s="1">
        <f>'抽奖|MoonBless'!DO29</f>
        <v>275</v>
      </c>
      <c r="AW29" s="1">
        <f>'抽奖|MoonBless'!DP29</f>
        <v>2750</v>
      </c>
      <c r="AX29" s="1">
        <f>'抽奖|MoonBless'!DQ29</f>
        <v>2</v>
      </c>
      <c r="AY29" s="1">
        <f>'抽奖|MoonBless'!DR29</f>
        <v>1504</v>
      </c>
      <c r="AZ29" s="1">
        <f>'抽奖|MoonBless'!DS29</f>
        <v>1</v>
      </c>
      <c r="BA29" s="1">
        <f t="shared" si="22"/>
        <v>54999999.999999993</v>
      </c>
    </row>
    <row r="30" spans="1:53" ht="16.2" x14ac:dyDescent="0.35">
      <c r="A30" s="1">
        <v>26</v>
      </c>
      <c r="B30" s="83">
        <f t="shared" si="11"/>
        <v>25920</v>
      </c>
      <c r="C30" s="39" t="str">
        <f t="shared" si="12"/>
        <v>1|1|2</v>
      </c>
      <c r="D30" s="39" t="str">
        <f t="shared" si="13"/>
        <v>2|1002|1</v>
      </c>
      <c r="E30" s="39" t="str">
        <f t="shared" si="14"/>
        <v>2|1004|1</v>
      </c>
      <c r="F30" s="39" t="str">
        <f t="shared" si="15"/>
        <v/>
      </c>
      <c r="G30" s="39" t="str">
        <f t="shared" si="16"/>
        <v/>
      </c>
      <c r="H30" s="39"/>
      <c r="I30" s="39"/>
      <c r="J30" s="39"/>
      <c r="L30" s="1">
        <v>75</v>
      </c>
      <c r="M30" s="1">
        <f>SUM($L$5:L30)</f>
        <v>618</v>
      </c>
      <c r="N30" s="429">
        <f t="shared" si="17"/>
        <v>2.5750000000000002</v>
      </c>
      <c r="O30" s="1">
        <v>0.96</v>
      </c>
      <c r="P30" s="1">
        <f t="shared" si="0"/>
        <v>345.59999999999997</v>
      </c>
      <c r="Q30" s="1">
        <f t="shared" si="18"/>
        <v>25920</v>
      </c>
      <c r="T30" s="6" t="s">
        <v>1107</v>
      </c>
      <c r="U30" s="70">
        <f t="shared" si="1"/>
        <v>1</v>
      </c>
      <c r="V30" s="70">
        <f t="shared" si="2"/>
        <v>1</v>
      </c>
      <c r="W30" s="435">
        <v>2</v>
      </c>
      <c r="X30" s="68" t="s">
        <v>1140</v>
      </c>
      <c r="Y30" s="6">
        <f t="shared" si="3"/>
        <v>2</v>
      </c>
      <c r="Z30" s="6">
        <f t="shared" si="4"/>
        <v>1002</v>
      </c>
      <c r="AA30" s="6">
        <v>1</v>
      </c>
      <c r="AB30" s="68" t="s">
        <v>1143</v>
      </c>
      <c r="AC30" s="6">
        <f t="shared" si="5"/>
        <v>2</v>
      </c>
      <c r="AD30" s="6">
        <f t="shared" si="6"/>
        <v>1004</v>
      </c>
      <c r="AE30" s="6">
        <v>1</v>
      </c>
      <c r="AG30" s="83">
        <v>26</v>
      </c>
      <c r="AI30" s="11" t="str">
        <f t="shared" si="7"/>
        <v>物品类型</v>
      </c>
      <c r="AJ30" s="11" t="str">
        <f t="shared" si="8"/>
        <v>id</v>
      </c>
      <c r="AK30" s="83" t="s">
        <v>1141</v>
      </c>
      <c r="AL30" s="83">
        <f t="shared" si="19"/>
        <v>0</v>
      </c>
      <c r="AM30" s="1">
        <f t="shared" si="20"/>
        <v>0</v>
      </c>
      <c r="AN30" s="1" t="str">
        <f t="shared" si="9"/>
        <v>物品类型</v>
      </c>
      <c r="AO30" s="1" t="str">
        <f t="shared" si="10"/>
        <v>id</v>
      </c>
      <c r="AP30" s="469"/>
      <c r="AQ30" s="1">
        <f t="shared" si="21"/>
        <v>0</v>
      </c>
      <c r="AU30" s="1" t="str">
        <f>'抽奖|MoonBless'!DN30</f>
        <v>买单券</v>
      </c>
      <c r="AV30" s="1">
        <f>'抽奖|MoonBless'!DO30</f>
        <v>2.5</v>
      </c>
      <c r="AW30" s="1">
        <f>'抽奖|MoonBless'!DP30</f>
        <v>25</v>
      </c>
      <c r="AX30" s="1">
        <f>'抽奖|MoonBless'!DQ30</f>
        <v>2</v>
      </c>
      <c r="AY30" s="1">
        <f>'抽奖|MoonBless'!DR30</f>
        <v>1213</v>
      </c>
      <c r="AZ30" s="1">
        <f>'抽奖|MoonBless'!DS30</f>
        <v>1</v>
      </c>
      <c r="BA30" s="1">
        <f t="shared" si="22"/>
        <v>499999.99999999994</v>
      </c>
    </row>
    <row r="31" spans="1:53" ht="16.2" x14ac:dyDescent="0.35">
      <c r="A31" s="1">
        <v>27</v>
      </c>
      <c r="B31" s="83">
        <f t="shared" si="11"/>
        <v>27650</v>
      </c>
      <c r="C31" s="39" t="str">
        <f t="shared" si="12"/>
        <v>1|1|2</v>
      </c>
      <c r="D31" s="39" t="str">
        <f t="shared" si="13"/>
        <v>2|1001|1</v>
      </c>
      <c r="E31" s="39" t="str">
        <f t="shared" si="14"/>
        <v>2|1004|1</v>
      </c>
      <c r="F31" s="39" t="str">
        <f t="shared" si="15"/>
        <v/>
      </c>
      <c r="G31" s="39" t="str">
        <f t="shared" si="16"/>
        <v/>
      </c>
      <c r="H31" s="39"/>
      <c r="I31" s="39"/>
      <c r="J31" s="39"/>
      <c r="L31" s="1">
        <v>80</v>
      </c>
      <c r="M31" s="1">
        <f>SUM($L$5:L31)</f>
        <v>698</v>
      </c>
      <c r="N31" s="429">
        <f t="shared" si="17"/>
        <v>2.9083333333333332</v>
      </c>
      <c r="O31" s="1">
        <v>0.96</v>
      </c>
      <c r="P31" s="1">
        <f t="shared" si="0"/>
        <v>345.59999999999997</v>
      </c>
      <c r="Q31" s="1">
        <f t="shared" si="18"/>
        <v>27650</v>
      </c>
      <c r="T31" s="6" t="s">
        <v>1107</v>
      </c>
      <c r="U31" s="70">
        <f t="shared" si="1"/>
        <v>1</v>
      </c>
      <c r="V31" s="70">
        <f t="shared" si="2"/>
        <v>1</v>
      </c>
      <c r="W31" s="435">
        <v>2</v>
      </c>
      <c r="X31" s="68" t="s">
        <v>1139</v>
      </c>
      <c r="Y31" s="6">
        <f t="shared" si="3"/>
        <v>2</v>
      </c>
      <c r="Z31" s="6">
        <f t="shared" si="4"/>
        <v>1001</v>
      </c>
      <c r="AA31" s="6">
        <v>1</v>
      </c>
      <c r="AB31" s="68" t="s">
        <v>1143</v>
      </c>
      <c r="AC31" s="6">
        <f t="shared" si="5"/>
        <v>2</v>
      </c>
      <c r="AD31" s="6">
        <f t="shared" si="6"/>
        <v>1004</v>
      </c>
      <c r="AE31" s="6">
        <v>1</v>
      </c>
      <c r="AG31" s="83">
        <v>27</v>
      </c>
      <c r="AI31" s="11" t="str">
        <f t="shared" si="7"/>
        <v>物品类型</v>
      </c>
      <c r="AJ31" s="11" t="str">
        <f t="shared" si="8"/>
        <v>id</v>
      </c>
      <c r="AK31" s="83" t="s">
        <v>1141</v>
      </c>
      <c r="AL31" s="83">
        <f t="shared" si="19"/>
        <v>0</v>
      </c>
      <c r="AM31" s="1">
        <f t="shared" si="20"/>
        <v>0</v>
      </c>
      <c r="AN31" s="1" t="str">
        <f t="shared" si="9"/>
        <v>物品类型</v>
      </c>
      <c r="AO31" s="1" t="str">
        <f t="shared" si="10"/>
        <v>id</v>
      </c>
      <c r="AP31" s="469"/>
      <c r="AQ31" s="1">
        <f t="shared" si="21"/>
        <v>0</v>
      </c>
    </row>
    <row r="32" spans="1:53" ht="16.2" x14ac:dyDescent="0.35">
      <c r="A32" s="1">
        <v>28</v>
      </c>
      <c r="B32" s="83">
        <f t="shared" si="11"/>
        <v>29380</v>
      </c>
      <c r="C32" s="39" t="str">
        <f t="shared" si="12"/>
        <v>1|1|2</v>
      </c>
      <c r="D32" s="39" t="str">
        <f t="shared" si="13"/>
        <v>2|1002|1</v>
      </c>
      <c r="E32" s="39" t="str">
        <f t="shared" si="14"/>
        <v>2|1004|1</v>
      </c>
      <c r="F32" s="39" t="str">
        <f t="shared" si="15"/>
        <v>1|2|120000</v>
      </c>
      <c r="G32" s="39" t="str">
        <f t="shared" si="16"/>
        <v>1|2|8000000</v>
      </c>
      <c r="H32" s="39"/>
      <c r="I32" s="39"/>
      <c r="J32" s="39"/>
      <c r="L32" s="1">
        <v>85</v>
      </c>
      <c r="M32" s="1">
        <f>SUM($L$5:L32)</f>
        <v>783</v>
      </c>
      <c r="N32" s="429">
        <f t="shared" si="17"/>
        <v>3.2625000000000002</v>
      </c>
      <c r="O32" s="1">
        <v>0.96</v>
      </c>
      <c r="P32" s="1">
        <f t="shared" si="0"/>
        <v>345.59999999999997</v>
      </c>
      <c r="Q32" s="1">
        <f t="shared" si="18"/>
        <v>29380</v>
      </c>
      <c r="T32" s="6" t="s">
        <v>1107</v>
      </c>
      <c r="U32" s="70">
        <f t="shared" si="1"/>
        <v>1</v>
      </c>
      <c r="V32" s="70">
        <f t="shared" si="2"/>
        <v>1</v>
      </c>
      <c r="W32" s="435">
        <v>2</v>
      </c>
      <c r="X32" s="68" t="s">
        <v>1140</v>
      </c>
      <c r="Y32" s="6">
        <f t="shared" si="3"/>
        <v>2</v>
      </c>
      <c r="Z32" s="6">
        <f t="shared" si="4"/>
        <v>1002</v>
      </c>
      <c r="AA32" s="6">
        <v>1</v>
      </c>
      <c r="AB32" s="68" t="s">
        <v>1143</v>
      </c>
      <c r="AC32" s="6">
        <f t="shared" si="5"/>
        <v>2</v>
      </c>
      <c r="AD32" s="6">
        <f t="shared" si="6"/>
        <v>1004</v>
      </c>
      <c r="AE32" s="6">
        <v>1</v>
      </c>
      <c r="AG32" s="59">
        <v>28</v>
      </c>
      <c r="AH32" s="1" t="s">
        <v>169</v>
      </c>
      <c r="AI32" s="11">
        <f t="shared" si="7"/>
        <v>1</v>
      </c>
      <c r="AJ32" s="11">
        <f t="shared" si="8"/>
        <v>2</v>
      </c>
      <c r="AK32" s="83">
        <v>120000</v>
      </c>
      <c r="AL32" s="83">
        <f t="shared" si="19"/>
        <v>120000</v>
      </c>
      <c r="AM32" s="1" t="str">
        <f t="shared" si="20"/>
        <v>金币</v>
      </c>
      <c r="AN32" s="1">
        <f t="shared" si="9"/>
        <v>1</v>
      </c>
      <c r="AO32" s="1">
        <f t="shared" si="10"/>
        <v>2</v>
      </c>
      <c r="AP32" s="469">
        <v>8000000</v>
      </c>
      <c r="AQ32" s="1">
        <f t="shared" si="21"/>
        <v>8000000</v>
      </c>
    </row>
    <row r="33" spans="1:43" ht="16.2" x14ac:dyDescent="0.35">
      <c r="A33" s="1">
        <v>29</v>
      </c>
      <c r="B33" s="83">
        <f t="shared" si="11"/>
        <v>31100</v>
      </c>
      <c r="C33" s="39" t="str">
        <f t="shared" si="12"/>
        <v>1|1|2</v>
      </c>
      <c r="D33" s="39" t="str">
        <f t="shared" si="13"/>
        <v>2|1001|1</v>
      </c>
      <c r="E33" s="39" t="str">
        <f t="shared" si="14"/>
        <v>2|1003|1</v>
      </c>
      <c r="F33" s="39" t="str">
        <f t="shared" si="15"/>
        <v/>
      </c>
      <c r="G33" s="39" t="str">
        <f t="shared" si="16"/>
        <v/>
      </c>
      <c r="H33" s="39"/>
      <c r="I33" s="39"/>
      <c r="J33" s="39"/>
      <c r="L33" s="1">
        <v>90</v>
      </c>
      <c r="M33" s="1">
        <f>SUM($L$5:L33)</f>
        <v>873</v>
      </c>
      <c r="N33" s="429">
        <f t="shared" si="17"/>
        <v>3.6375000000000002</v>
      </c>
      <c r="O33" s="1">
        <v>0.96</v>
      </c>
      <c r="P33" s="1">
        <f t="shared" si="0"/>
        <v>345.59999999999997</v>
      </c>
      <c r="Q33" s="1">
        <f t="shared" si="18"/>
        <v>31100</v>
      </c>
      <c r="T33" s="6" t="s">
        <v>1107</v>
      </c>
      <c r="U33" s="70">
        <f t="shared" si="1"/>
        <v>1</v>
      </c>
      <c r="V33" s="70">
        <f t="shared" si="2"/>
        <v>1</v>
      </c>
      <c r="W33" s="435">
        <v>2</v>
      </c>
      <c r="X33" s="68" t="s">
        <v>1139</v>
      </c>
      <c r="Y33" s="6">
        <f t="shared" si="3"/>
        <v>2</v>
      </c>
      <c r="Z33" s="6">
        <f t="shared" si="4"/>
        <v>1001</v>
      </c>
      <c r="AA33" s="6">
        <v>1</v>
      </c>
      <c r="AB33" s="68" t="s">
        <v>1144</v>
      </c>
      <c r="AC33" s="6">
        <f t="shared" si="5"/>
        <v>2</v>
      </c>
      <c r="AD33" s="6">
        <f t="shared" si="6"/>
        <v>1003</v>
      </c>
      <c r="AE33" s="6">
        <v>1</v>
      </c>
      <c r="AG33" s="83">
        <v>29</v>
      </c>
      <c r="AI33" s="11" t="str">
        <f t="shared" si="7"/>
        <v>物品类型</v>
      </c>
      <c r="AJ33" s="11" t="str">
        <f t="shared" si="8"/>
        <v>id</v>
      </c>
      <c r="AK33" s="83" t="s">
        <v>1141</v>
      </c>
      <c r="AL33" s="83">
        <f t="shared" si="19"/>
        <v>0</v>
      </c>
      <c r="AM33" s="1">
        <f t="shared" si="20"/>
        <v>0</v>
      </c>
      <c r="AN33" s="1" t="str">
        <f t="shared" si="9"/>
        <v>物品类型</v>
      </c>
      <c r="AO33" s="1" t="str">
        <f t="shared" si="10"/>
        <v>id</v>
      </c>
      <c r="AP33" s="469"/>
      <c r="AQ33" s="1">
        <f t="shared" si="21"/>
        <v>0</v>
      </c>
    </row>
    <row r="34" spans="1:43" ht="16.2" x14ac:dyDescent="0.35">
      <c r="A34" s="1">
        <v>30</v>
      </c>
      <c r="B34" s="83">
        <f t="shared" si="11"/>
        <v>32830</v>
      </c>
      <c r="C34" s="39" t="str">
        <f t="shared" si="12"/>
        <v>1|1|3</v>
      </c>
      <c r="D34" s="39" t="str">
        <f t="shared" si="13"/>
        <v>2|1002|1</v>
      </c>
      <c r="E34" s="39" t="str">
        <f t="shared" si="14"/>
        <v>2|1004|1</v>
      </c>
      <c r="F34" s="39" t="str">
        <f t="shared" si="15"/>
        <v>1|2|150000</v>
      </c>
      <c r="G34" s="39" t="str">
        <f t="shared" si="16"/>
        <v>2|1007|2</v>
      </c>
      <c r="H34" s="39"/>
      <c r="I34" s="39"/>
      <c r="J34" s="39"/>
      <c r="L34" s="1">
        <v>95</v>
      </c>
      <c r="M34" s="1">
        <f>SUM($L$5:L34)</f>
        <v>968</v>
      </c>
      <c r="N34" s="429">
        <f t="shared" si="17"/>
        <v>4.0333333333333332</v>
      </c>
      <c r="O34" s="1">
        <v>0.96</v>
      </c>
      <c r="P34" s="1">
        <f t="shared" si="0"/>
        <v>345.59999999999997</v>
      </c>
      <c r="Q34" s="1">
        <f t="shared" si="18"/>
        <v>32830</v>
      </c>
      <c r="T34" s="6" t="s">
        <v>1107</v>
      </c>
      <c r="U34" s="70">
        <f t="shared" si="1"/>
        <v>1</v>
      </c>
      <c r="V34" s="70">
        <f t="shared" si="2"/>
        <v>1</v>
      </c>
      <c r="W34" s="435">
        <v>3</v>
      </c>
      <c r="X34" s="68" t="s">
        <v>1140</v>
      </c>
      <c r="Y34" s="6">
        <f t="shared" si="3"/>
        <v>2</v>
      </c>
      <c r="Z34" s="6">
        <f t="shared" si="4"/>
        <v>1002</v>
      </c>
      <c r="AA34" s="6">
        <v>1</v>
      </c>
      <c r="AB34" s="68" t="s">
        <v>1143</v>
      </c>
      <c r="AC34" s="6">
        <f t="shared" si="5"/>
        <v>2</v>
      </c>
      <c r="AD34" s="6">
        <f t="shared" si="6"/>
        <v>1004</v>
      </c>
      <c r="AE34" s="6">
        <v>1</v>
      </c>
      <c r="AG34" s="59">
        <v>30</v>
      </c>
      <c r="AH34" s="1" t="s">
        <v>169</v>
      </c>
      <c r="AI34" s="11">
        <f t="shared" si="7"/>
        <v>1</v>
      </c>
      <c r="AJ34" s="11">
        <f t="shared" si="8"/>
        <v>2</v>
      </c>
      <c r="AK34" s="83">
        <v>150000</v>
      </c>
      <c r="AL34" s="83">
        <f t="shared" si="19"/>
        <v>150000</v>
      </c>
      <c r="AM34" s="1" t="s">
        <v>1119</v>
      </c>
      <c r="AN34" s="1">
        <f t="shared" si="9"/>
        <v>2</v>
      </c>
      <c r="AO34" s="1">
        <f t="shared" si="10"/>
        <v>1007</v>
      </c>
      <c r="AP34" s="470">
        <v>2</v>
      </c>
      <c r="AQ34" s="1">
        <f t="shared" si="21"/>
        <v>10000000</v>
      </c>
    </row>
    <row r="35" spans="1:43" ht="16.2" x14ac:dyDescent="0.35">
      <c r="A35" s="1">
        <v>31</v>
      </c>
      <c r="B35" s="83">
        <f t="shared" si="11"/>
        <v>34560</v>
      </c>
      <c r="C35" s="39" t="str">
        <f t="shared" si="12"/>
        <v>1|1|3</v>
      </c>
      <c r="D35" s="39" t="str">
        <f t="shared" si="13"/>
        <v>2|1001|1</v>
      </c>
      <c r="E35" s="39" t="str">
        <f t="shared" si="14"/>
        <v>2|1002|1</v>
      </c>
      <c r="F35" s="39" t="str">
        <f t="shared" si="15"/>
        <v/>
      </c>
      <c r="G35" s="39" t="str">
        <f t="shared" si="16"/>
        <v/>
      </c>
      <c r="H35" s="39"/>
      <c r="I35" s="39"/>
      <c r="J35" s="39"/>
      <c r="L35" s="1">
        <v>100</v>
      </c>
      <c r="M35" s="1">
        <f>SUM($L$5:L35)</f>
        <v>1068</v>
      </c>
      <c r="N35" s="429">
        <f t="shared" si="17"/>
        <v>4.45</v>
      </c>
      <c r="O35" s="1">
        <v>0.96</v>
      </c>
      <c r="P35" s="1">
        <f t="shared" si="0"/>
        <v>345.59999999999997</v>
      </c>
      <c r="Q35" s="1">
        <f t="shared" si="18"/>
        <v>34560</v>
      </c>
      <c r="T35" s="6" t="s">
        <v>1107</v>
      </c>
      <c r="U35" s="70">
        <f t="shared" si="1"/>
        <v>1</v>
      </c>
      <c r="V35" s="70">
        <f t="shared" si="2"/>
        <v>1</v>
      </c>
      <c r="W35" s="435">
        <v>3</v>
      </c>
      <c r="X35" s="68" t="s">
        <v>1139</v>
      </c>
      <c r="Y35" s="6">
        <f t="shared" si="3"/>
        <v>2</v>
      </c>
      <c r="Z35" s="6">
        <f t="shared" si="4"/>
        <v>1001</v>
      </c>
      <c r="AA35" s="6">
        <v>1</v>
      </c>
      <c r="AB35" s="68" t="s">
        <v>1140</v>
      </c>
      <c r="AC35" s="6">
        <f t="shared" si="5"/>
        <v>2</v>
      </c>
      <c r="AD35" s="6">
        <f t="shared" si="6"/>
        <v>1002</v>
      </c>
      <c r="AE35" s="6">
        <v>1</v>
      </c>
      <c r="AG35" s="83">
        <v>31</v>
      </c>
      <c r="AI35" s="11" t="str">
        <f t="shared" si="7"/>
        <v>物品类型</v>
      </c>
      <c r="AJ35" s="11" t="str">
        <f t="shared" si="8"/>
        <v>id</v>
      </c>
      <c r="AK35" s="83" t="s">
        <v>1141</v>
      </c>
      <c r="AL35" s="83">
        <f t="shared" si="19"/>
        <v>0</v>
      </c>
      <c r="AM35" s="1">
        <f t="shared" si="20"/>
        <v>0</v>
      </c>
      <c r="AN35" s="1" t="str">
        <f t="shared" si="9"/>
        <v>物品类型</v>
      </c>
      <c r="AO35" s="1" t="str">
        <f t="shared" si="10"/>
        <v>id</v>
      </c>
      <c r="AP35" s="469"/>
      <c r="AQ35" s="1">
        <f t="shared" si="21"/>
        <v>0</v>
      </c>
    </row>
    <row r="36" spans="1:43" ht="16.2" x14ac:dyDescent="0.35">
      <c r="A36" s="1">
        <v>32</v>
      </c>
      <c r="B36" s="83">
        <f t="shared" si="11"/>
        <v>36290</v>
      </c>
      <c r="C36" s="39" t="str">
        <f t="shared" si="12"/>
        <v>1|1|3</v>
      </c>
      <c r="D36" s="39" t="str">
        <f t="shared" si="13"/>
        <v>2|1002|1</v>
      </c>
      <c r="E36" s="39" t="str">
        <f t="shared" si="14"/>
        <v>2|1004|1</v>
      </c>
      <c r="F36" s="39" t="str">
        <f t="shared" si="15"/>
        <v/>
      </c>
      <c r="G36" s="39" t="str">
        <f t="shared" si="16"/>
        <v/>
      </c>
      <c r="H36" s="39"/>
      <c r="I36" s="39"/>
      <c r="J36" s="39"/>
      <c r="L36" s="1">
        <v>105</v>
      </c>
      <c r="M36" s="1">
        <f>SUM($L$5:L36)</f>
        <v>1173</v>
      </c>
      <c r="N36" s="429">
        <f t="shared" si="17"/>
        <v>4.8875000000000002</v>
      </c>
      <c r="O36" s="1">
        <v>0.96</v>
      </c>
      <c r="P36" s="1">
        <f t="shared" si="0"/>
        <v>345.59999999999997</v>
      </c>
      <c r="Q36" s="1">
        <f t="shared" si="18"/>
        <v>36290</v>
      </c>
      <c r="T36" s="6" t="s">
        <v>1107</v>
      </c>
      <c r="U36" s="70">
        <f t="shared" si="1"/>
        <v>1</v>
      </c>
      <c r="V36" s="70">
        <f t="shared" si="2"/>
        <v>1</v>
      </c>
      <c r="W36" s="435">
        <v>3</v>
      </c>
      <c r="X36" s="68" t="s">
        <v>1140</v>
      </c>
      <c r="Y36" s="6">
        <f t="shared" si="3"/>
        <v>2</v>
      </c>
      <c r="Z36" s="6">
        <f t="shared" si="4"/>
        <v>1002</v>
      </c>
      <c r="AA36" s="6">
        <v>1</v>
      </c>
      <c r="AB36" s="68" t="s">
        <v>1143</v>
      </c>
      <c r="AC36" s="6">
        <f t="shared" si="5"/>
        <v>2</v>
      </c>
      <c r="AD36" s="6">
        <f t="shared" si="6"/>
        <v>1004</v>
      </c>
      <c r="AE36" s="6">
        <v>1</v>
      </c>
      <c r="AG36" s="83">
        <v>32</v>
      </c>
      <c r="AI36" s="11" t="str">
        <f t="shared" si="7"/>
        <v>物品类型</v>
      </c>
      <c r="AJ36" s="11" t="str">
        <f t="shared" si="8"/>
        <v>id</v>
      </c>
      <c r="AK36" s="83" t="s">
        <v>1141</v>
      </c>
      <c r="AL36" s="83">
        <f t="shared" si="19"/>
        <v>0</v>
      </c>
      <c r="AM36" s="1">
        <f t="shared" si="20"/>
        <v>0</v>
      </c>
      <c r="AN36" s="1" t="str">
        <f t="shared" si="9"/>
        <v>物品类型</v>
      </c>
      <c r="AO36" s="1" t="str">
        <f t="shared" si="10"/>
        <v>id</v>
      </c>
      <c r="AP36" s="469"/>
      <c r="AQ36" s="1">
        <f t="shared" si="21"/>
        <v>0</v>
      </c>
    </row>
    <row r="37" spans="1:43" ht="16.2" x14ac:dyDescent="0.35">
      <c r="A37" s="1">
        <v>33</v>
      </c>
      <c r="B37" s="83">
        <f t="shared" si="11"/>
        <v>38020</v>
      </c>
      <c r="C37" s="39" t="str">
        <f t="shared" si="12"/>
        <v>1|1|3</v>
      </c>
      <c r="D37" s="39" t="str">
        <f t="shared" si="13"/>
        <v>2|1001|1</v>
      </c>
      <c r="E37" s="39" t="str">
        <f t="shared" si="14"/>
        <v>2|1004|1</v>
      </c>
      <c r="F37" s="39" t="str">
        <f t="shared" si="15"/>
        <v>1|2|200000</v>
      </c>
      <c r="G37" s="39" t="str">
        <f t="shared" si="16"/>
        <v>1|2|15000000</v>
      </c>
      <c r="H37" s="39"/>
      <c r="I37" s="39"/>
      <c r="J37" s="39"/>
      <c r="L37" s="1">
        <v>110</v>
      </c>
      <c r="M37" s="1">
        <f>SUM($L$5:L37)</f>
        <v>1283</v>
      </c>
      <c r="N37" s="429">
        <f t="shared" si="17"/>
        <v>5.3458333333333332</v>
      </c>
      <c r="O37" s="1">
        <v>0.96</v>
      </c>
      <c r="P37" s="1">
        <f t="shared" ref="P37:P68" si="23">$M$3*O37*60</f>
        <v>345.59999999999997</v>
      </c>
      <c r="Q37" s="1">
        <f t="shared" si="18"/>
        <v>38020</v>
      </c>
      <c r="T37" s="6" t="s">
        <v>1107</v>
      </c>
      <c r="U37" s="70">
        <f t="shared" si="1"/>
        <v>1</v>
      </c>
      <c r="V37" s="70">
        <f t="shared" si="2"/>
        <v>1</v>
      </c>
      <c r="W37" s="435">
        <v>3</v>
      </c>
      <c r="X37" s="68" t="s">
        <v>1139</v>
      </c>
      <c r="Y37" s="6">
        <f t="shared" si="3"/>
        <v>2</v>
      </c>
      <c r="Z37" s="6">
        <f t="shared" si="4"/>
        <v>1001</v>
      </c>
      <c r="AA37" s="6">
        <v>1</v>
      </c>
      <c r="AB37" s="68" t="s">
        <v>1143</v>
      </c>
      <c r="AC37" s="6">
        <f t="shared" si="5"/>
        <v>2</v>
      </c>
      <c r="AD37" s="6">
        <f t="shared" si="6"/>
        <v>1004</v>
      </c>
      <c r="AE37" s="6">
        <v>1</v>
      </c>
      <c r="AG37" s="59">
        <v>33</v>
      </c>
      <c r="AH37" s="1" t="s">
        <v>169</v>
      </c>
      <c r="AI37" s="11">
        <f t="shared" si="7"/>
        <v>1</v>
      </c>
      <c r="AJ37" s="11">
        <f t="shared" si="8"/>
        <v>2</v>
      </c>
      <c r="AK37" s="83">
        <v>200000</v>
      </c>
      <c r="AL37" s="83">
        <f t="shared" si="19"/>
        <v>200000</v>
      </c>
      <c r="AM37" s="1" t="str">
        <f t="shared" si="20"/>
        <v>金币</v>
      </c>
      <c r="AN37" s="1">
        <f t="shared" si="9"/>
        <v>1</v>
      </c>
      <c r="AO37" s="1">
        <f t="shared" si="10"/>
        <v>2</v>
      </c>
      <c r="AP37" s="469">
        <v>15000000</v>
      </c>
      <c r="AQ37" s="1">
        <f t="shared" si="21"/>
        <v>15000000</v>
      </c>
    </row>
    <row r="38" spans="1:43" ht="16.2" x14ac:dyDescent="0.35">
      <c r="A38" s="1">
        <v>34</v>
      </c>
      <c r="B38" s="83">
        <f t="shared" si="11"/>
        <v>39740</v>
      </c>
      <c r="C38" s="39" t="str">
        <f t="shared" si="12"/>
        <v>1|1|3</v>
      </c>
      <c r="D38" s="39" t="str">
        <f t="shared" si="13"/>
        <v>2|1002|1</v>
      </c>
      <c r="E38" s="39" t="str">
        <f t="shared" si="14"/>
        <v>2|1003|1</v>
      </c>
      <c r="F38" s="39" t="str">
        <f t="shared" si="15"/>
        <v/>
      </c>
      <c r="G38" s="39" t="str">
        <f t="shared" si="16"/>
        <v/>
      </c>
      <c r="H38" s="39"/>
      <c r="I38" s="39"/>
      <c r="J38" s="39"/>
      <c r="L38" s="1">
        <v>115</v>
      </c>
      <c r="M38" s="1">
        <f>SUM($L$5:L38)</f>
        <v>1398</v>
      </c>
      <c r="N38" s="429">
        <f t="shared" si="17"/>
        <v>5.8250000000000002</v>
      </c>
      <c r="O38" s="1">
        <v>0.96</v>
      </c>
      <c r="P38" s="1">
        <f t="shared" si="23"/>
        <v>345.59999999999997</v>
      </c>
      <c r="Q38" s="1">
        <f t="shared" si="18"/>
        <v>39740</v>
      </c>
      <c r="T38" s="6" t="s">
        <v>1107</v>
      </c>
      <c r="U38" s="70">
        <f t="shared" si="1"/>
        <v>1</v>
      </c>
      <c r="V38" s="70">
        <f t="shared" si="2"/>
        <v>1</v>
      </c>
      <c r="W38" s="435">
        <v>3</v>
      </c>
      <c r="X38" s="68" t="s">
        <v>1140</v>
      </c>
      <c r="Y38" s="6">
        <f t="shared" si="3"/>
        <v>2</v>
      </c>
      <c r="Z38" s="6">
        <f t="shared" si="4"/>
        <v>1002</v>
      </c>
      <c r="AA38" s="6">
        <v>1</v>
      </c>
      <c r="AB38" s="68" t="s">
        <v>1144</v>
      </c>
      <c r="AC38" s="6">
        <f t="shared" si="5"/>
        <v>2</v>
      </c>
      <c r="AD38" s="6">
        <f t="shared" si="6"/>
        <v>1003</v>
      </c>
      <c r="AE38" s="6">
        <v>1</v>
      </c>
      <c r="AG38" s="83">
        <v>34</v>
      </c>
      <c r="AI38" s="11" t="str">
        <f t="shared" si="7"/>
        <v>物品类型</v>
      </c>
      <c r="AJ38" s="11" t="str">
        <f t="shared" si="8"/>
        <v>id</v>
      </c>
      <c r="AK38" s="83" t="s">
        <v>1141</v>
      </c>
      <c r="AL38" s="83">
        <f t="shared" si="19"/>
        <v>0</v>
      </c>
      <c r="AN38" s="1" t="str">
        <f t="shared" si="9"/>
        <v>物品类型</v>
      </c>
      <c r="AO38" s="1" t="str">
        <f t="shared" si="10"/>
        <v>id</v>
      </c>
      <c r="AP38" s="469"/>
      <c r="AQ38" s="1">
        <f t="shared" si="21"/>
        <v>0</v>
      </c>
    </row>
    <row r="39" spans="1:43" ht="16.2" x14ac:dyDescent="0.35">
      <c r="A39" s="1">
        <v>35</v>
      </c>
      <c r="B39" s="83">
        <f t="shared" si="11"/>
        <v>41470</v>
      </c>
      <c r="C39" s="39" t="str">
        <f t="shared" si="12"/>
        <v>1|1|3</v>
      </c>
      <c r="D39" s="39" t="str">
        <f t="shared" si="13"/>
        <v>2|1001|2</v>
      </c>
      <c r="E39" s="39" t="str">
        <f t="shared" si="14"/>
        <v>2|1002|2</v>
      </c>
      <c r="F39" s="39" t="str">
        <f t="shared" si="15"/>
        <v>1|1|10</v>
      </c>
      <c r="G39" s="39" t="str">
        <f t="shared" si="16"/>
        <v>2|1003|50</v>
      </c>
      <c r="H39" s="39"/>
      <c r="I39" s="39"/>
      <c r="J39" s="39"/>
      <c r="L39" s="1">
        <v>120</v>
      </c>
      <c r="M39" s="1">
        <f>SUM($L$5:L39)</f>
        <v>1518</v>
      </c>
      <c r="N39" s="429">
        <f t="shared" si="17"/>
        <v>6.3250000000000002</v>
      </c>
      <c r="O39" s="1">
        <v>0.96</v>
      </c>
      <c r="P39" s="1">
        <f t="shared" si="23"/>
        <v>345.59999999999997</v>
      </c>
      <c r="Q39" s="1">
        <f t="shared" si="18"/>
        <v>41470</v>
      </c>
      <c r="T39" s="6" t="s">
        <v>1107</v>
      </c>
      <c r="U39" s="70">
        <f t="shared" si="1"/>
        <v>1</v>
      </c>
      <c r="V39" s="70">
        <f t="shared" si="2"/>
        <v>1</v>
      </c>
      <c r="W39" s="435">
        <v>3</v>
      </c>
      <c r="X39" s="68" t="s">
        <v>1139</v>
      </c>
      <c r="Y39" s="6">
        <f t="shared" si="3"/>
        <v>2</v>
      </c>
      <c r="Z39" s="6">
        <f t="shared" si="4"/>
        <v>1001</v>
      </c>
      <c r="AA39" s="6">
        <v>2</v>
      </c>
      <c r="AB39" s="68" t="s">
        <v>1140</v>
      </c>
      <c r="AC39" s="6">
        <f t="shared" si="5"/>
        <v>2</v>
      </c>
      <c r="AD39" s="6">
        <f t="shared" si="6"/>
        <v>1002</v>
      </c>
      <c r="AE39" s="6">
        <v>2</v>
      </c>
      <c r="AG39" s="59">
        <v>35</v>
      </c>
      <c r="AH39" s="1" t="s">
        <v>1107</v>
      </c>
      <c r="AI39" s="11">
        <f t="shared" si="7"/>
        <v>1</v>
      </c>
      <c r="AJ39" s="11">
        <f t="shared" si="8"/>
        <v>1</v>
      </c>
      <c r="AK39" s="83">
        <v>10</v>
      </c>
      <c r="AL39" s="83">
        <f t="shared" si="19"/>
        <v>200000</v>
      </c>
      <c r="AM39" s="1" t="s">
        <v>1144</v>
      </c>
      <c r="AN39" s="1">
        <f t="shared" si="9"/>
        <v>2</v>
      </c>
      <c r="AO39" s="1">
        <f t="shared" si="10"/>
        <v>1003</v>
      </c>
      <c r="AP39" s="470">
        <v>50</v>
      </c>
      <c r="AQ39" s="1">
        <f t="shared" si="21"/>
        <v>9999999.9999999981</v>
      </c>
    </row>
    <row r="40" spans="1:43" ht="16.2" x14ac:dyDescent="0.35">
      <c r="A40" s="1">
        <v>36</v>
      </c>
      <c r="B40" s="83">
        <f t="shared" si="11"/>
        <v>43200</v>
      </c>
      <c r="C40" s="39" t="str">
        <f t="shared" si="12"/>
        <v>1|1|3</v>
      </c>
      <c r="D40" s="39" t="str">
        <f t="shared" si="13"/>
        <v>2|1002|2</v>
      </c>
      <c r="E40" s="39" t="str">
        <f t="shared" si="14"/>
        <v>2|1004|2</v>
      </c>
      <c r="F40" s="39" t="str">
        <f t="shared" si="15"/>
        <v/>
      </c>
      <c r="G40" s="39" t="str">
        <f t="shared" si="16"/>
        <v/>
      </c>
      <c r="H40" s="39"/>
      <c r="I40" s="39"/>
      <c r="J40" s="39"/>
      <c r="L40" s="1">
        <v>125</v>
      </c>
      <c r="M40" s="1">
        <f>SUM($L$5:L40)</f>
        <v>1643</v>
      </c>
      <c r="N40" s="429">
        <f t="shared" si="17"/>
        <v>6.8458333333333332</v>
      </c>
      <c r="O40" s="1">
        <v>0.96</v>
      </c>
      <c r="P40" s="1">
        <f t="shared" si="23"/>
        <v>345.59999999999997</v>
      </c>
      <c r="Q40" s="1">
        <f t="shared" si="18"/>
        <v>43200</v>
      </c>
      <c r="T40" s="6" t="s">
        <v>1107</v>
      </c>
      <c r="U40" s="70">
        <f t="shared" si="1"/>
        <v>1</v>
      </c>
      <c r="V40" s="70">
        <f t="shared" si="2"/>
        <v>1</v>
      </c>
      <c r="W40" s="435">
        <v>3</v>
      </c>
      <c r="X40" s="68" t="s">
        <v>1140</v>
      </c>
      <c r="Y40" s="6">
        <f t="shared" si="3"/>
        <v>2</v>
      </c>
      <c r="Z40" s="6">
        <f t="shared" si="4"/>
        <v>1002</v>
      </c>
      <c r="AA40" s="6">
        <v>2</v>
      </c>
      <c r="AB40" s="68" t="s">
        <v>1143</v>
      </c>
      <c r="AC40" s="6">
        <f t="shared" si="5"/>
        <v>2</v>
      </c>
      <c r="AD40" s="6">
        <f t="shared" si="6"/>
        <v>1004</v>
      </c>
      <c r="AE40" s="6">
        <v>2</v>
      </c>
      <c r="AG40" s="83">
        <v>36</v>
      </c>
      <c r="AI40" s="11" t="str">
        <f t="shared" si="7"/>
        <v>物品类型</v>
      </c>
      <c r="AJ40" s="11" t="str">
        <f t="shared" si="8"/>
        <v>id</v>
      </c>
      <c r="AK40" s="83" t="s">
        <v>1141</v>
      </c>
      <c r="AL40" s="83">
        <f t="shared" si="19"/>
        <v>0</v>
      </c>
      <c r="AM40" s="1">
        <f t="shared" si="20"/>
        <v>0</v>
      </c>
      <c r="AN40" s="1" t="str">
        <f t="shared" si="9"/>
        <v>物品类型</v>
      </c>
      <c r="AO40" s="1" t="str">
        <f t="shared" si="10"/>
        <v>id</v>
      </c>
      <c r="AP40" s="469"/>
      <c r="AQ40" s="1">
        <f t="shared" si="21"/>
        <v>0</v>
      </c>
    </row>
    <row r="41" spans="1:43" ht="16.2" x14ac:dyDescent="0.35">
      <c r="A41" s="1">
        <v>37</v>
      </c>
      <c r="B41" s="83">
        <f t="shared" si="11"/>
        <v>44930</v>
      </c>
      <c r="C41" s="39" t="str">
        <f t="shared" si="12"/>
        <v>1|1|3</v>
      </c>
      <c r="D41" s="39" t="str">
        <f t="shared" si="13"/>
        <v>2|1001|2</v>
      </c>
      <c r="E41" s="39" t="str">
        <f t="shared" si="14"/>
        <v>2|1004|2</v>
      </c>
      <c r="F41" s="39" t="str">
        <f t="shared" si="15"/>
        <v/>
      </c>
      <c r="G41" s="39" t="str">
        <f t="shared" si="16"/>
        <v/>
      </c>
      <c r="H41" s="39"/>
      <c r="I41" s="39"/>
      <c r="J41" s="39"/>
      <c r="L41" s="1">
        <v>130</v>
      </c>
      <c r="M41" s="1">
        <f>SUM($L$5:L41)</f>
        <v>1773</v>
      </c>
      <c r="N41" s="429">
        <f t="shared" si="17"/>
        <v>7.3875000000000002</v>
      </c>
      <c r="O41" s="1">
        <v>0.96</v>
      </c>
      <c r="P41" s="1">
        <f t="shared" si="23"/>
        <v>345.59999999999997</v>
      </c>
      <c r="Q41" s="1">
        <f t="shared" si="18"/>
        <v>44930</v>
      </c>
      <c r="T41" s="6" t="s">
        <v>1107</v>
      </c>
      <c r="U41" s="70">
        <f t="shared" si="1"/>
        <v>1</v>
      </c>
      <c r="V41" s="70">
        <f t="shared" si="2"/>
        <v>1</v>
      </c>
      <c r="W41" s="435">
        <v>3</v>
      </c>
      <c r="X41" s="68" t="s">
        <v>1139</v>
      </c>
      <c r="Y41" s="6">
        <f t="shared" si="3"/>
        <v>2</v>
      </c>
      <c r="Z41" s="6">
        <f t="shared" si="4"/>
        <v>1001</v>
      </c>
      <c r="AA41" s="6">
        <v>2</v>
      </c>
      <c r="AB41" s="68" t="s">
        <v>1143</v>
      </c>
      <c r="AC41" s="6">
        <f t="shared" si="5"/>
        <v>2</v>
      </c>
      <c r="AD41" s="6">
        <f t="shared" si="6"/>
        <v>1004</v>
      </c>
      <c r="AE41" s="6">
        <v>2</v>
      </c>
      <c r="AG41" s="83">
        <v>37</v>
      </c>
      <c r="AI41" s="11" t="str">
        <f t="shared" si="7"/>
        <v>物品类型</v>
      </c>
      <c r="AJ41" s="11" t="str">
        <f t="shared" si="8"/>
        <v>id</v>
      </c>
      <c r="AK41" s="83" t="s">
        <v>1141</v>
      </c>
      <c r="AL41" s="83">
        <f t="shared" si="19"/>
        <v>0</v>
      </c>
      <c r="AN41" s="1" t="str">
        <f t="shared" si="9"/>
        <v>物品类型</v>
      </c>
      <c r="AO41" s="1" t="str">
        <f t="shared" si="10"/>
        <v>id</v>
      </c>
      <c r="AP41" s="469"/>
      <c r="AQ41" s="1">
        <f t="shared" si="21"/>
        <v>0</v>
      </c>
    </row>
    <row r="42" spans="1:43" ht="16.2" x14ac:dyDescent="0.35">
      <c r="A42" s="1">
        <v>38</v>
      </c>
      <c r="B42" s="83">
        <f t="shared" si="11"/>
        <v>46660</v>
      </c>
      <c r="C42" s="39" t="str">
        <f t="shared" si="12"/>
        <v>1|1|3</v>
      </c>
      <c r="D42" s="39" t="str">
        <f t="shared" si="13"/>
        <v>2|1002|2</v>
      </c>
      <c r="E42" s="39" t="str">
        <f t="shared" si="14"/>
        <v>2|1004|2</v>
      </c>
      <c r="F42" s="39" t="str">
        <f t="shared" si="15"/>
        <v>1|2|300000</v>
      </c>
      <c r="G42" s="39" t="str">
        <f t="shared" si="16"/>
        <v>1|2|30000000</v>
      </c>
      <c r="H42" s="39"/>
      <c r="I42" s="39"/>
      <c r="J42" s="39"/>
      <c r="L42" s="1">
        <v>135</v>
      </c>
      <c r="M42" s="1">
        <f>SUM($L$5:L42)</f>
        <v>1908</v>
      </c>
      <c r="N42" s="429">
        <f t="shared" si="17"/>
        <v>7.95</v>
      </c>
      <c r="O42" s="1">
        <v>0.96</v>
      </c>
      <c r="P42" s="1">
        <f t="shared" si="23"/>
        <v>345.59999999999997</v>
      </c>
      <c r="Q42" s="1">
        <f t="shared" si="18"/>
        <v>46660</v>
      </c>
      <c r="T42" s="6" t="s">
        <v>1107</v>
      </c>
      <c r="U42" s="70">
        <f t="shared" si="1"/>
        <v>1</v>
      </c>
      <c r="V42" s="70">
        <f t="shared" si="2"/>
        <v>1</v>
      </c>
      <c r="W42" s="435">
        <v>3</v>
      </c>
      <c r="X42" s="68" t="s">
        <v>1140</v>
      </c>
      <c r="Y42" s="6">
        <f t="shared" si="3"/>
        <v>2</v>
      </c>
      <c r="Z42" s="6">
        <f t="shared" si="4"/>
        <v>1002</v>
      </c>
      <c r="AA42" s="6">
        <v>2</v>
      </c>
      <c r="AB42" s="68" t="s">
        <v>1143</v>
      </c>
      <c r="AC42" s="6">
        <f t="shared" si="5"/>
        <v>2</v>
      </c>
      <c r="AD42" s="6">
        <f t="shared" si="6"/>
        <v>1004</v>
      </c>
      <c r="AE42" s="6">
        <v>2</v>
      </c>
      <c r="AG42" s="59">
        <v>38</v>
      </c>
      <c r="AH42" s="1" t="s">
        <v>169</v>
      </c>
      <c r="AI42" s="11">
        <f t="shared" si="7"/>
        <v>1</v>
      </c>
      <c r="AJ42" s="11">
        <f t="shared" si="8"/>
        <v>2</v>
      </c>
      <c r="AK42" s="83">
        <v>300000</v>
      </c>
      <c r="AL42" s="83">
        <f t="shared" si="19"/>
        <v>300000</v>
      </c>
      <c r="AM42" s="1" t="str">
        <f t="shared" si="20"/>
        <v>金币</v>
      </c>
      <c r="AN42" s="1">
        <f t="shared" si="9"/>
        <v>1</v>
      </c>
      <c r="AO42" s="1">
        <f t="shared" si="10"/>
        <v>2</v>
      </c>
      <c r="AP42" s="469">
        <v>30000000</v>
      </c>
      <c r="AQ42" s="1">
        <f t="shared" si="21"/>
        <v>30000000</v>
      </c>
    </row>
    <row r="43" spans="1:43" ht="16.2" x14ac:dyDescent="0.35">
      <c r="A43" s="1">
        <v>39</v>
      </c>
      <c r="B43" s="83">
        <f t="shared" si="11"/>
        <v>48380</v>
      </c>
      <c r="C43" s="39" t="str">
        <f t="shared" si="12"/>
        <v>1|1|3</v>
      </c>
      <c r="D43" s="39" t="str">
        <f t="shared" si="13"/>
        <v>2|1001|2</v>
      </c>
      <c r="E43" s="39" t="str">
        <f t="shared" si="14"/>
        <v>2|1003|1</v>
      </c>
      <c r="F43" s="39" t="str">
        <f t="shared" si="15"/>
        <v/>
      </c>
      <c r="G43" s="39" t="str">
        <f t="shared" si="16"/>
        <v/>
      </c>
      <c r="H43" s="39"/>
      <c r="I43" s="39"/>
      <c r="J43" s="39"/>
      <c r="L43" s="1">
        <v>140</v>
      </c>
      <c r="M43" s="1">
        <f>SUM($L$5:L43)</f>
        <v>2048</v>
      </c>
      <c r="N43" s="429">
        <f t="shared" si="17"/>
        <v>8.5333333333333332</v>
      </c>
      <c r="O43" s="1">
        <v>0.96</v>
      </c>
      <c r="P43" s="1">
        <f t="shared" si="23"/>
        <v>345.59999999999997</v>
      </c>
      <c r="Q43" s="1">
        <f t="shared" si="18"/>
        <v>48380</v>
      </c>
      <c r="T43" s="6" t="s">
        <v>1107</v>
      </c>
      <c r="U43" s="70">
        <f t="shared" si="1"/>
        <v>1</v>
      </c>
      <c r="V43" s="70">
        <f t="shared" si="2"/>
        <v>1</v>
      </c>
      <c r="W43" s="435">
        <v>3</v>
      </c>
      <c r="X43" s="68" t="s">
        <v>1139</v>
      </c>
      <c r="Y43" s="6">
        <f t="shared" si="3"/>
        <v>2</v>
      </c>
      <c r="Z43" s="6">
        <f t="shared" si="4"/>
        <v>1001</v>
      </c>
      <c r="AA43" s="6">
        <v>2</v>
      </c>
      <c r="AB43" s="68" t="s">
        <v>1144</v>
      </c>
      <c r="AC43" s="6">
        <f t="shared" si="5"/>
        <v>2</v>
      </c>
      <c r="AD43" s="6">
        <f t="shared" si="6"/>
        <v>1003</v>
      </c>
      <c r="AE43" s="6">
        <v>1</v>
      </c>
      <c r="AG43" s="83">
        <v>39</v>
      </c>
      <c r="AI43" s="11" t="str">
        <f t="shared" si="7"/>
        <v>物品类型</v>
      </c>
      <c r="AJ43" s="11" t="str">
        <f t="shared" si="8"/>
        <v>id</v>
      </c>
      <c r="AK43" s="83" t="s">
        <v>1141</v>
      </c>
      <c r="AL43" s="83">
        <f t="shared" si="19"/>
        <v>0</v>
      </c>
      <c r="AM43" s="1">
        <f t="shared" si="20"/>
        <v>0</v>
      </c>
      <c r="AN43" s="1" t="str">
        <f t="shared" si="9"/>
        <v>物品类型</v>
      </c>
      <c r="AO43" s="1" t="str">
        <f t="shared" si="10"/>
        <v>id</v>
      </c>
      <c r="AP43" s="469"/>
      <c r="AQ43" s="1">
        <f t="shared" si="21"/>
        <v>0</v>
      </c>
    </row>
    <row r="44" spans="1:43" ht="16.2" x14ac:dyDescent="0.35">
      <c r="A44" s="1">
        <v>40</v>
      </c>
      <c r="B44" s="83">
        <f t="shared" si="11"/>
        <v>50110</v>
      </c>
      <c r="C44" s="39" t="str">
        <f t="shared" si="12"/>
        <v>1|1|3</v>
      </c>
      <c r="D44" s="39" t="str">
        <f t="shared" si="13"/>
        <v>2|1002|2</v>
      </c>
      <c r="E44" s="39" t="str">
        <f t="shared" si="14"/>
        <v>2|1004|2</v>
      </c>
      <c r="F44" s="39" t="str">
        <f t="shared" si="15"/>
        <v>1|2|350000</v>
      </c>
      <c r="G44" s="39" t="str">
        <f t="shared" si="16"/>
        <v>2|1007|8</v>
      </c>
      <c r="H44" s="39"/>
      <c r="I44" s="39"/>
      <c r="J44" s="39"/>
      <c r="L44" s="1">
        <v>145</v>
      </c>
      <c r="M44" s="1">
        <f>SUM($L$5:L44)</f>
        <v>2193</v>
      </c>
      <c r="N44" s="429">
        <f t="shared" si="17"/>
        <v>9.1374999999999993</v>
      </c>
      <c r="O44" s="1">
        <v>0.96</v>
      </c>
      <c r="P44" s="1">
        <f t="shared" si="23"/>
        <v>345.59999999999997</v>
      </c>
      <c r="Q44" s="1">
        <f t="shared" si="18"/>
        <v>50110</v>
      </c>
      <c r="T44" s="6" t="s">
        <v>1107</v>
      </c>
      <c r="U44" s="70">
        <f t="shared" si="1"/>
        <v>1</v>
      </c>
      <c r="V44" s="70">
        <f t="shared" si="2"/>
        <v>1</v>
      </c>
      <c r="W44" s="435">
        <v>3</v>
      </c>
      <c r="X44" s="68" t="s">
        <v>1140</v>
      </c>
      <c r="Y44" s="6">
        <f t="shared" si="3"/>
        <v>2</v>
      </c>
      <c r="Z44" s="6">
        <f t="shared" si="4"/>
        <v>1002</v>
      </c>
      <c r="AA44" s="6">
        <v>2</v>
      </c>
      <c r="AB44" s="68" t="s">
        <v>1143</v>
      </c>
      <c r="AC44" s="6">
        <f t="shared" si="5"/>
        <v>2</v>
      </c>
      <c r="AD44" s="6">
        <f t="shared" si="6"/>
        <v>1004</v>
      </c>
      <c r="AE44" s="6">
        <v>2</v>
      </c>
      <c r="AG44" s="59">
        <v>40</v>
      </c>
      <c r="AH44" s="1" t="s">
        <v>169</v>
      </c>
      <c r="AI44" s="11">
        <f t="shared" si="7"/>
        <v>1</v>
      </c>
      <c r="AJ44" s="11">
        <f t="shared" si="8"/>
        <v>2</v>
      </c>
      <c r="AK44" s="83">
        <v>350000</v>
      </c>
      <c r="AL44" s="83">
        <f t="shared" si="19"/>
        <v>350000</v>
      </c>
      <c r="AM44" s="1" t="s">
        <v>1119</v>
      </c>
      <c r="AN44" s="1">
        <f t="shared" si="9"/>
        <v>2</v>
      </c>
      <c r="AO44" s="1">
        <f t="shared" si="10"/>
        <v>1007</v>
      </c>
      <c r="AP44" s="470">
        <v>8</v>
      </c>
      <c r="AQ44" s="1">
        <f t="shared" si="21"/>
        <v>40000000</v>
      </c>
    </row>
    <row r="45" spans="1:43" ht="16.2" x14ac:dyDescent="0.35">
      <c r="A45" s="1">
        <v>41</v>
      </c>
      <c r="B45" s="83">
        <f t="shared" si="11"/>
        <v>51840</v>
      </c>
      <c r="C45" s="39" t="str">
        <f t="shared" si="12"/>
        <v>1|1|3</v>
      </c>
      <c r="D45" s="39" t="str">
        <f t="shared" ref="D45:D103" si="24">Y45&amp;"|"&amp;Z45&amp;"|"&amp;AA45</f>
        <v>2|1001|2</v>
      </c>
      <c r="E45" s="39" t="str">
        <f t="shared" ref="E45:E103" si="25">AC45&amp;"|"&amp;AD45&amp;"|"&amp;AE45</f>
        <v>2|1002|2</v>
      </c>
      <c r="F45" s="39" t="str">
        <f t="shared" ref="F45:F54" si="26">TRIM(IF(AH45&lt;&gt;"",AI45&amp;"|"&amp;AJ45&amp;"|"&amp;AK45,""))</f>
        <v/>
      </c>
      <c r="G45" s="39" t="str">
        <f t="shared" si="16"/>
        <v/>
      </c>
      <c r="L45" s="1">
        <v>150</v>
      </c>
      <c r="M45" s="1">
        <f>SUM($L$5:L45)</f>
        <v>2343</v>
      </c>
      <c r="N45" s="429">
        <f t="shared" si="17"/>
        <v>9.7624999999999993</v>
      </c>
      <c r="O45" s="1">
        <v>0.96</v>
      </c>
      <c r="P45" s="1">
        <f t="shared" si="23"/>
        <v>345.59999999999997</v>
      </c>
      <c r="Q45" s="1">
        <f t="shared" si="18"/>
        <v>51840</v>
      </c>
      <c r="T45" s="6" t="s">
        <v>1107</v>
      </c>
      <c r="U45" s="70">
        <f t="shared" ref="U45:U84" si="27">VLOOKUP(T45,AU:AZ,4,0)</f>
        <v>1</v>
      </c>
      <c r="V45" s="70">
        <f t="shared" ref="V45:V84" si="28">VLOOKUP(T45,AU:AZ,5,0)</f>
        <v>1</v>
      </c>
      <c r="W45" s="435">
        <v>3</v>
      </c>
      <c r="X45" s="68" t="s">
        <v>1139</v>
      </c>
      <c r="Y45" s="6">
        <f t="shared" ref="Y45:Y84" si="29">VLOOKUP(X45,AU:AZ,4,0)</f>
        <v>2</v>
      </c>
      <c r="Z45" s="6">
        <f t="shared" ref="Z45:Z84" si="30">VLOOKUP(X45,AU:AZ,5,0)</f>
        <v>1001</v>
      </c>
      <c r="AA45" s="6">
        <v>2</v>
      </c>
      <c r="AB45" s="68" t="s">
        <v>1140</v>
      </c>
      <c r="AC45" s="6">
        <f t="shared" ref="AC45:AC84" si="31">VLOOKUP(AB45,AU:AZ,4,0)</f>
        <v>2</v>
      </c>
      <c r="AD45" s="6">
        <f t="shared" ref="AD45:AD84" si="32">VLOOKUP(AB45,AU:AZ,5,0)</f>
        <v>1002</v>
      </c>
      <c r="AE45" s="6">
        <v>2</v>
      </c>
      <c r="AG45" s="83">
        <v>41</v>
      </c>
      <c r="AI45" s="11" t="str">
        <f t="shared" si="7"/>
        <v>物品类型</v>
      </c>
      <c r="AJ45" s="11" t="str">
        <f t="shared" si="8"/>
        <v>id</v>
      </c>
      <c r="AK45" s="83" t="s">
        <v>1141</v>
      </c>
      <c r="AL45" s="83">
        <f t="shared" si="19"/>
        <v>0</v>
      </c>
      <c r="AM45" s="1">
        <f t="shared" ref="AM45:AM52" si="33">AH45</f>
        <v>0</v>
      </c>
      <c r="AN45" s="1" t="str">
        <f t="shared" si="9"/>
        <v>物品类型</v>
      </c>
      <c r="AO45" s="1" t="str">
        <f t="shared" si="10"/>
        <v>id</v>
      </c>
      <c r="AP45" s="469"/>
      <c r="AQ45" s="1">
        <f t="shared" si="21"/>
        <v>0</v>
      </c>
    </row>
    <row r="46" spans="1:43" ht="16.2" x14ac:dyDescent="0.35">
      <c r="A46" s="1">
        <v>42</v>
      </c>
      <c r="B46" s="83">
        <f t="shared" si="11"/>
        <v>53570</v>
      </c>
      <c r="C46" s="39" t="str">
        <f t="shared" si="12"/>
        <v>1|1|3</v>
      </c>
      <c r="D46" s="39" t="str">
        <f t="shared" si="24"/>
        <v>2|1002|2</v>
      </c>
      <c r="E46" s="39" t="str">
        <f t="shared" si="25"/>
        <v>2|1004|2</v>
      </c>
      <c r="F46" s="39" t="str">
        <f t="shared" si="26"/>
        <v/>
      </c>
      <c r="G46" s="39" t="str">
        <f t="shared" si="16"/>
        <v/>
      </c>
      <c r="L46" s="1">
        <v>155</v>
      </c>
      <c r="M46" s="1">
        <f>SUM($L$5:L46)</f>
        <v>2498</v>
      </c>
      <c r="N46" s="429">
        <f t="shared" si="17"/>
        <v>10.408333333333333</v>
      </c>
      <c r="O46" s="1">
        <v>0.96</v>
      </c>
      <c r="P46" s="1">
        <f t="shared" si="23"/>
        <v>345.59999999999997</v>
      </c>
      <c r="Q46" s="1">
        <f t="shared" si="18"/>
        <v>53570</v>
      </c>
      <c r="T46" s="6" t="s">
        <v>1107</v>
      </c>
      <c r="U46" s="70">
        <f t="shared" si="27"/>
        <v>1</v>
      </c>
      <c r="V46" s="70">
        <f t="shared" si="28"/>
        <v>1</v>
      </c>
      <c r="W46" s="435">
        <v>3</v>
      </c>
      <c r="X46" s="68" t="s">
        <v>1140</v>
      </c>
      <c r="Y46" s="6">
        <f t="shared" si="29"/>
        <v>2</v>
      </c>
      <c r="Z46" s="6">
        <f t="shared" si="30"/>
        <v>1002</v>
      </c>
      <c r="AA46" s="6">
        <v>2</v>
      </c>
      <c r="AB46" s="68" t="s">
        <v>1143</v>
      </c>
      <c r="AC46" s="6">
        <f t="shared" si="31"/>
        <v>2</v>
      </c>
      <c r="AD46" s="6">
        <f t="shared" si="32"/>
        <v>1004</v>
      </c>
      <c r="AE46" s="6">
        <v>2</v>
      </c>
      <c r="AG46" s="83">
        <v>42</v>
      </c>
      <c r="AI46" s="11" t="str">
        <f t="shared" si="7"/>
        <v>物品类型</v>
      </c>
      <c r="AJ46" s="11" t="str">
        <f t="shared" si="8"/>
        <v>id</v>
      </c>
      <c r="AK46" s="83" t="s">
        <v>1141</v>
      </c>
      <c r="AL46" s="83">
        <f t="shared" si="19"/>
        <v>0</v>
      </c>
      <c r="AM46" s="1">
        <f t="shared" si="33"/>
        <v>0</v>
      </c>
      <c r="AN46" s="1" t="str">
        <f t="shared" si="9"/>
        <v>物品类型</v>
      </c>
      <c r="AO46" s="1" t="str">
        <f t="shared" si="10"/>
        <v>id</v>
      </c>
      <c r="AP46" s="469"/>
      <c r="AQ46" s="1">
        <f t="shared" si="21"/>
        <v>0</v>
      </c>
    </row>
    <row r="47" spans="1:43" ht="16.2" x14ac:dyDescent="0.35">
      <c r="A47" s="1">
        <v>43</v>
      </c>
      <c r="B47" s="83">
        <f t="shared" si="11"/>
        <v>55300</v>
      </c>
      <c r="C47" s="39" t="str">
        <f t="shared" si="12"/>
        <v>1|1|3</v>
      </c>
      <c r="D47" s="39" t="str">
        <f t="shared" si="24"/>
        <v>2|1001|2</v>
      </c>
      <c r="E47" s="39" t="str">
        <f t="shared" si="25"/>
        <v>2|1004|2</v>
      </c>
      <c r="F47" s="39" t="str">
        <f t="shared" si="26"/>
        <v>1|2|400000</v>
      </c>
      <c r="G47" s="39" t="str">
        <f t="shared" si="16"/>
        <v>1|2|40000000</v>
      </c>
      <c r="L47" s="1">
        <v>160</v>
      </c>
      <c r="M47" s="1">
        <f>SUM($L$5:L47)</f>
        <v>2658</v>
      </c>
      <c r="N47" s="429">
        <f t="shared" si="17"/>
        <v>11.074999999999999</v>
      </c>
      <c r="O47" s="1">
        <v>0.96</v>
      </c>
      <c r="P47" s="1">
        <f t="shared" si="23"/>
        <v>345.59999999999997</v>
      </c>
      <c r="Q47" s="1">
        <f t="shared" si="18"/>
        <v>55300</v>
      </c>
      <c r="T47" s="6" t="s">
        <v>1107</v>
      </c>
      <c r="U47" s="70">
        <f t="shared" si="27"/>
        <v>1</v>
      </c>
      <c r="V47" s="70">
        <f t="shared" si="28"/>
        <v>1</v>
      </c>
      <c r="W47" s="435">
        <v>3</v>
      </c>
      <c r="X47" s="68" t="s">
        <v>1139</v>
      </c>
      <c r="Y47" s="6">
        <f t="shared" si="29"/>
        <v>2</v>
      </c>
      <c r="Z47" s="6">
        <f t="shared" si="30"/>
        <v>1001</v>
      </c>
      <c r="AA47" s="6">
        <v>2</v>
      </c>
      <c r="AB47" s="68" t="s">
        <v>1143</v>
      </c>
      <c r="AC47" s="6">
        <f t="shared" si="31"/>
        <v>2</v>
      </c>
      <c r="AD47" s="6">
        <f t="shared" si="32"/>
        <v>1004</v>
      </c>
      <c r="AE47" s="6">
        <v>2</v>
      </c>
      <c r="AG47" s="59">
        <v>43</v>
      </c>
      <c r="AH47" s="1" t="s">
        <v>169</v>
      </c>
      <c r="AI47" s="11">
        <f t="shared" si="7"/>
        <v>1</v>
      </c>
      <c r="AJ47" s="11">
        <f t="shared" si="8"/>
        <v>2</v>
      </c>
      <c r="AK47" s="83">
        <v>400000</v>
      </c>
      <c r="AL47" s="83">
        <f t="shared" si="19"/>
        <v>400000</v>
      </c>
      <c r="AM47" s="1" t="str">
        <f t="shared" si="33"/>
        <v>金币</v>
      </c>
      <c r="AN47" s="1">
        <f t="shared" si="9"/>
        <v>1</v>
      </c>
      <c r="AO47" s="1">
        <f t="shared" si="10"/>
        <v>2</v>
      </c>
      <c r="AP47" s="469">
        <v>40000000</v>
      </c>
      <c r="AQ47" s="1">
        <f t="shared" si="21"/>
        <v>40000000</v>
      </c>
    </row>
    <row r="48" spans="1:43" ht="16.2" x14ac:dyDescent="0.35">
      <c r="A48" s="1">
        <v>44</v>
      </c>
      <c r="B48" s="83">
        <f t="shared" si="11"/>
        <v>57020</v>
      </c>
      <c r="C48" s="39" t="str">
        <f t="shared" si="12"/>
        <v>1|1|3</v>
      </c>
      <c r="D48" s="39" t="str">
        <f t="shared" si="24"/>
        <v>2|1002|2</v>
      </c>
      <c r="E48" s="39" t="str">
        <f t="shared" si="25"/>
        <v>2|1003|1</v>
      </c>
      <c r="F48" s="39" t="str">
        <f t="shared" si="26"/>
        <v/>
      </c>
      <c r="G48" s="39" t="str">
        <f t="shared" si="16"/>
        <v/>
      </c>
      <c r="L48" s="1">
        <v>165</v>
      </c>
      <c r="M48" s="1">
        <f>SUM($L$5:L48)</f>
        <v>2823</v>
      </c>
      <c r="N48" s="429">
        <f t="shared" si="17"/>
        <v>11.762499999999999</v>
      </c>
      <c r="O48" s="1">
        <v>0.96</v>
      </c>
      <c r="P48" s="1">
        <f t="shared" si="23"/>
        <v>345.59999999999997</v>
      </c>
      <c r="Q48" s="1">
        <f t="shared" si="18"/>
        <v>57020</v>
      </c>
      <c r="T48" s="6" t="s">
        <v>1107</v>
      </c>
      <c r="U48" s="70">
        <f t="shared" si="27"/>
        <v>1</v>
      </c>
      <c r="V48" s="70">
        <f t="shared" si="28"/>
        <v>1</v>
      </c>
      <c r="W48" s="435">
        <v>3</v>
      </c>
      <c r="X48" s="68" t="s">
        <v>1140</v>
      </c>
      <c r="Y48" s="6">
        <f t="shared" si="29"/>
        <v>2</v>
      </c>
      <c r="Z48" s="6">
        <f t="shared" si="30"/>
        <v>1002</v>
      </c>
      <c r="AA48" s="6">
        <v>2</v>
      </c>
      <c r="AB48" s="68" t="s">
        <v>1144</v>
      </c>
      <c r="AC48" s="6">
        <f t="shared" si="31"/>
        <v>2</v>
      </c>
      <c r="AD48" s="6">
        <f t="shared" si="32"/>
        <v>1003</v>
      </c>
      <c r="AE48" s="6">
        <v>1</v>
      </c>
      <c r="AG48" s="83">
        <v>44</v>
      </c>
      <c r="AI48" s="11" t="str">
        <f t="shared" si="7"/>
        <v>物品类型</v>
      </c>
      <c r="AJ48" s="11" t="str">
        <f t="shared" si="8"/>
        <v>id</v>
      </c>
      <c r="AK48" s="83"/>
      <c r="AL48" s="83">
        <f t="shared" si="19"/>
        <v>0</v>
      </c>
      <c r="AM48" s="1">
        <f t="shared" si="33"/>
        <v>0</v>
      </c>
      <c r="AN48" s="1" t="str">
        <f t="shared" si="9"/>
        <v>物品类型</v>
      </c>
      <c r="AO48" s="1" t="str">
        <f t="shared" si="10"/>
        <v>id</v>
      </c>
      <c r="AP48" s="469"/>
      <c r="AQ48" s="1">
        <f t="shared" si="21"/>
        <v>0</v>
      </c>
    </row>
    <row r="49" spans="1:43" ht="16.2" x14ac:dyDescent="0.35">
      <c r="A49" s="1">
        <v>45</v>
      </c>
      <c r="B49" s="83">
        <f t="shared" si="11"/>
        <v>58750</v>
      </c>
      <c r="C49" s="39" t="str">
        <f t="shared" si="12"/>
        <v>1|1|3</v>
      </c>
      <c r="D49" s="39" t="str">
        <f t="shared" si="24"/>
        <v>2|1001|2</v>
      </c>
      <c r="E49" s="39" t="str">
        <f t="shared" si="25"/>
        <v>2|1002|2</v>
      </c>
      <c r="F49" s="39" t="str">
        <f t="shared" si="26"/>
        <v>2|1003|2</v>
      </c>
      <c r="G49" s="39" t="str">
        <f t="shared" si="16"/>
        <v>2|1003|100</v>
      </c>
      <c r="L49" s="1">
        <v>170</v>
      </c>
      <c r="M49" s="1">
        <f>SUM($L$5:L49)</f>
        <v>2993</v>
      </c>
      <c r="N49" s="429">
        <f t="shared" si="17"/>
        <v>12.470833333333333</v>
      </c>
      <c r="O49" s="1">
        <v>0.96</v>
      </c>
      <c r="P49" s="1">
        <f t="shared" si="23"/>
        <v>345.59999999999997</v>
      </c>
      <c r="Q49" s="1">
        <f t="shared" si="18"/>
        <v>58750</v>
      </c>
      <c r="T49" s="6" t="s">
        <v>1107</v>
      </c>
      <c r="U49" s="70">
        <f t="shared" si="27"/>
        <v>1</v>
      </c>
      <c r="V49" s="70">
        <f t="shared" si="28"/>
        <v>1</v>
      </c>
      <c r="W49" s="435">
        <v>3</v>
      </c>
      <c r="X49" s="68" t="s">
        <v>1139</v>
      </c>
      <c r="Y49" s="6">
        <f t="shared" si="29"/>
        <v>2</v>
      </c>
      <c r="Z49" s="6">
        <f t="shared" si="30"/>
        <v>1001</v>
      </c>
      <c r="AA49" s="6">
        <v>2</v>
      </c>
      <c r="AB49" s="68" t="s">
        <v>1140</v>
      </c>
      <c r="AC49" s="6">
        <f t="shared" si="31"/>
        <v>2</v>
      </c>
      <c r="AD49" s="6">
        <f t="shared" si="32"/>
        <v>1002</v>
      </c>
      <c r="AE49" s="6">
        <v>2</v>
      </c>
      <c r="AG49" s="59">
        <v>45</v>
      </c>
      <c r="AH49" s="1" t="s">
        <v>1144</v>
      </c>
      <c r="AI49" s="11">
        <f t="shared" si="7"/>
        <v>2</v>
      </c>
      <c r="AJ49" s="11">
        <f t="shared" si="8"/>
        <v>1003</v>
      </c>
      <c r="AK49" s="83">
        <v>2</v>
      </c>
      <c r="AL49" s="83">
        <f t="shared" si="19"/>
        <v>399999.99999999994</v>
      </c>
      <c r="AM49" s="1" t="str">
        <f t="shared" si="33"/>
        <v>狂暴</v>
      </c>
      <c r="AN49" s="1">
        <f t="shared" si="9"/>
        <v>2</v>
      </c>
      <c r="AO49" s="1">
        <f t="shared" si="10"/>
        <v>1003</v>
      </c>
      <c r="AP49" s="469">
        <v>100</v>
      </c>
      <c r="AQ49" s="1">
        <f t="shared" si="21"/>
        <v>19999999.999999996</v>
      </c>
    </row>
    <row r="50" spans="1:43" ht="16.2" x14ac:dyDescent="0.35">
      <c r="A50" s="1">
        <v>46</v>
      </c>
      <c r="B50" s="83">
        <f t="shared" si="11"/>
        <v>60480</v>
      </c>
      <c r="C50" s="39" t="str">
        <f t="shared" si="12"/>
        <v>1|1|3</v>
      </c>
      <c r="D50" s="39" t="str">
        <f t="shared" si="24"/>
        <v>2|1002|2</v>
      </c>
      <c r="E50" s="39" t="str">
        <f t="shared" si="25"/>
        <v>2|1004|2</v>
      </c>
      <c r="F50" s="39" t="str">
        <f t="shared" si="26"/>
        <v/>
      </c>
      <c r="G50" s="39" t="str">
        <f t="shared" si="16"/>
        <v/>
      </c>
      <c r="L50" s="1">
        <v>175</v>
      </c>
      <c r="M50" s="1">
        <f>SUM($L$5:L50)</f>
        <v>3168</v>
      </c>
      <c r="N50" s="429">
        <f t="shared" si="17"/>
        <v>13.2</v>
      </c>
      <c r="O50" s="1">
        <v>0.96</v>
      </c>
      <c r="P50" s="1">
        <f t="shared" si="23"/>
        <v>345.59999999999997</v>
      </c>
      <c r="Q50" s="1">
        <f t="shared" si="18"/>
        <v>60480</v>
      </c>
      <c r="T50" s="6" t="s">
        <v>1107</v>
      </c>
      <c r="U50" s="70">
        <f t="shared" si="27"/>
        <v>1</v>
      </c>
      <c r="V50" s="70">
        <f t="shared" si="28"/>
        <v>1</v>
      </c>
      <c r="W50" s="435">
        <v>3</v>
      </c>
      <c r="X50" s="68" t="s">
        <v>1140</v>
      </c>
      <c r="Y50" s="6">
        <f t="shared" si="29"/>
        <v>2</v>
      </c>
      <c r="Z50" s="6">
        <f t="shared" si="30"/>
        <v>1002</v>
      </c>
      <c r="AA50" s="6">
        <v>2</v>
      </c>
      <c r="AB50" s="68" t="s">
        <v>1143</v>
      </c>
      <c r="AC50" s="6">
        <f t="shared" si="31"/>
        <v>2</v>
      </c>
      <c r="AD50" s="6">
        <f t="shared" si="32"/>
        <v>1004</v>
      </c>
      <c r="AE50" s="6">
        <v>2</v>
      </c>
      <c r="AG50" s="83">
        <v>46</v>
      </c>
      <c r="AI50" s="11" t="str">
        <f t="shared" si="7"/>
        <v>物品类型</v>
      </c>
      <c r="AJ50" s="11" t="str">
        <f t="shared" si="8"/>
        <v>id</v>
      </c>
      <c r="AK50" s="83" t="s">
        <v>1141</v>
      </c>
      <c r="AL50" s="83">
        <f t="shared" si="19"/>
        <v>0</v>
      </c>
      <c r="AM50" s="1">
        <f t="shared" si="33"/>
        <v>0</v>
      </c>
      <c r="AN50" s="1" t="str">
        <f t="shared" si="9"/>
        <v>物品类型</v>
      </c>
      <c r="AO50" s="1" t="str">
        <f t="shared" si="10"/>
        <v>id</v>
      </c>
      <c r="AP50" s="469"/>
      <c r="AQ50" s="1">
        <f t="shared" si="21"/>
        <v>0</v>
      </c>
    </row>
    <row r="51" spans="1:43" ht="16.2" x14ac:dyDescent="0.35">
      <c r="A51" s="1">
        <v>47</v>
      </c>
      <c r="B51" s="83">
        <f t="shared" si="11"/>
        <v>62210</v>
      </c>
      <c r="C51" s="39" t="str">
        <f t="shared" si="12"/>
        <v>1|1|3</v>
      </c>
      <c r="D51" s="39" t="str">
        <f t="shared" si="24"/>
        <v>2|1001|2</v>
      </c>
      <c r="E51" s="39" t="str">
        <f t="shared" si="25"/>
        <v>2|1004|2</v>
      </c>
      <c r="F51" s="39" t="str">
        <f t="shared" si="26"/>
        <v/>
      </c>
      <c r="G51" s="39" t="str">
        <f t="shared" si="16"/>
        <v/>
      </c>
      <c r="L51" s="1">
        <v>180</v>
      </c>
      <c r="M51" s="1">
        <f>SUM($L$5:L51)</f>
        <v>3348</v>
      </c>
      <c r="N51" s="429">
        <f t="shared" si="17"/>
        <v>13.95</v>
      </c>
      <c r="O51" s="1">
        <v>0.96</v>
      </c>
      <c r="P51" s="1">
        <f t="shared" si="23"/>
        <v>345.59999999999997</v>
      </c>
      <c r="Q51" s="1">
        <f t="shared" si="18"/>
        <v>62210</v>
      </c>
      <c r="T51" s="6" t="s">
        <v>1107</v>
      </c>
      <c r="U51" s="70">
        <f t="shared" si="27"/>
        <v>1</v>
      </c>
      <c r="V51" s="70">
        <f t="shared" si="28"/>
        <v>1</v>
      </c>
      <c r="W51" s="435">
        <v>3</v>
      </c>
      <c r="X51" s="68" t="s">
        <v>1139</v>
      </c>
      <c r="Y51" s="6">
        <f t="shared" si="29"/>
        <v>2</v>
      </c>
      <c r="Z51" s="6">
        <f t="shared" si="30"/>
        <v>1001</v>
      </c>
      <c r="AA51" s="6">
        <v>2</v>
      </c>
      <c r="AB51" s="68" t="s">
        <v>1143</v>
      </c>
      <c r="AC51" s="6">
        <f t="shared" si="31"/>
        <v>2</v>
      </c>
      <c r="AD51" s="6">
        <f t="shared" si="32"/>
        <v>1004</v>
      </c>
      <c r="AE51" s="6">
        <v>2</v>
      </c>
      <c r="AG51" s="83">
        <v>47</v>
      </c>
      <c r="AI51" s="11" t="str">
        <f t="shared" si="7"/>
        <v>物品类型</v>
      </c>
      <c r="AJ51" s="11" t="str">
        <f t="shared" si="8"/>
        <v>id</v>
      </c>
      <c r="AK51" s="83" t="s">
        <v>1141</v>
      </c>
      <c r="AL51" s="83">
        <f t="shared" si="19"/>
        <v>0</v>
      </c>
      <c r="AM51" s="1">
        <f t="shared" si="33"/>
        <v>0</v>
      </c>
      <c r="AN51" s="1" t="str">
        <f t="shared" si="9"/>
        <v>物品类型</v>
      </c>
      <c r="AO51" s="1" t="str">
        <f t="shared" si="10"/>
        <v>id</v>
      </c>
      <c r="AP51" s="469"/>
      <c r="AQ51" s="1">
        <f t="shared" si="21"/>
        <v>0</v>
      </c>
    </row>
    <row r="52" spans="1:43" ht="16.2" x14ac:dyDescent="0.35">
      <c r="A52" s="1">
        <v>48</v>
      </c>
      <c r="B52" s="83">
        <f t="shared" si="11"/>
        <v>63940</v>
      </c>
      <c r="C52" s="39" t="str">
        <f t="shared" si="12"/>
        <v>1|1|3</v>
      </c>
      <c r="D52" s="39" t="str">
        <f t="shared" si="24"/>
        <v>2|1002|2</v>
      </c>
      <c r="E52" s="39" t="str">
        <f t="shared" si="25"/>
        <v>2|1004|2</v>
      </c>
      <c r="F52" s="39" t="str">
        <f t="shared" si="26"/>
        <v>1|2|450000</v>
      </c>
      <c r="G52" s="39" t="str">
        <f t="shared" si="16"/>
        <v>1|2|45000000</v>
      </c>
      <c r="L52" s="1">
        <v>185</v>
      </c>
      <c r="M52" s="1">
        <f>SUM($L$5:L52)</f>
        <v>3533</v>
      </c>
      <c r="N52" s="429">
        <f t="shared" si="17"/>
        <v>14.720833333333333</v>
      </c>
      <c r="O52" s="1">
        <v>0.96</v>
      </c>
      <c r="P52" s="1">
        <f t="shared" si="23"/>
        <v>345.59999999999997</v>
      </c>
      <c r="Q52" s="1">
        <f t="shared" si="18"/>
        <v>63940</v>
      </c>
      <c r="T52" s="6" t="s">
        <v>1107</v>
      </c>
      <c r="U52" s="70">
        <f t="shared" si="27"/>
        <v>1</v>
      </c>
      <c r="V52" s="70">
        <f t="shared" si="28"/>
        <v>1</v>
      </c>
      <c r="W52" s="435">
        <v>3</v>
      </c>
      <c r="X52" s="68" t="s">
        <v>1140</v>
      </c>
      <c r="Y52" s="6">
        <f t="shared" si="29"/>
        <v>2</v>
      </c>
      <c r="Z52" s="6">
        <f t="shared" si="30"/>
        <v>1002</v>
      </c>
      <c r="AA52" s="6">
        <v>2</v>
      </c>
      <c r="AB52" s="68" t="s">
        <v>1143</v>
      </c>
      <c r="AC52" s="6">
        <f t="shared" si="31"/>
        <v>2</v>
      </c>
      <c r="AD52" s="6">
        <f t="shared" si="32"/>
        <v>1004</v>
      </c>
      <c r="AE52" s="6">
        <v>2</v>
      </c>
      <c r="AG52" s="59">
        <v>48</v>
      </c>
      <c r="AH52" s="1" t="s">
        <v>169</v>
      </c>
      <c r="AI52" s="11">
        <f t="shared" si="7"/>
        <v>1</v>
      </c>
      <c r="AJ52" s="11">
        <f t="shared" si="8"/>
        <v>2</v>
      </c>
      <c r="AK52" s="83">
        <v>450000</v>
      </c>
      <c r="AL52" s="83">
        <f t="shared" si="19"/>
        <v>450000</v>
      </c>
      <c r="AM52" s="1" t="str">
        <f t="shared" si="33"/>
        <v>金币</v>
      </c>
      <c r="AN52" s="1">
        <f t="shared" si="9"/>
        <v>1</v>
      </c>
      <c r="AO52" s="1">
        <f t="shared" si="10"/>
        <v>2</v>
      </c>
      <c r="AP52" s="469">
        <v>45000000</v>
      </c>
      <c r="AQ52" s="1">
        <f t="shared" si="21"/>
        <v>45000000</v>
      </c>
    </row>
    <row r="53" spans="1:43" ht="16.2" x14ac:dyDescent="0.35">
      <c r="A53" s="1">
        <v>49</v>
      </c>
      <c r="B53" s="83">
        <f t="shared" si="11"/>
        <v>65660</v>
      </c>
      <c r="C53" s="39" t="str">
        <f t="shared" si="12"/>
        <v>1|1|3</v>
      </c>
      <c r="D53" s="39" t="str">
        <f t="shared" si="24"/>
        <v>2|1001|2</v>
      </c>
      <c r="E53" s="39" t="str">
        <f t="shared" si="25"/>
        <v>2|1003|1</v>
      </c>
      <c r="F53" s="39" t="str">
        <f t="shared" si="26"/>
        <v/>
      </c>
      <c r="G53" s="39" t="str">
        <f t="shared" si="16"/>
        <v/>
      </c>
      <c r="L53" s="1">
        <v>190</v>
      </c>
      <c r="M53" s="430">
        <f>SUM($L$5:L53)</f>
        <v>3723</v>
      </c>
      <c r="N53" s="429">
        <f t="shared" si="17"/>
        <v>15.512499999999999</v>
      </c>
      <c r="O53" s="1">
        <v>0.96</v>
      </c>
      <c r="P53" s="1">
        <f t="shared" si="23"/>
        <v>345.59999999999997</v>
      </c>
      <c r="Q53" s="1">
        <f t="shared" si="18"/>
        <v>65660</v>
      </c>
      <c r="T53" s="6" t="s">
        <v>1107</v>
      </c>
      <c r="U53" s="70">
        <f t="shared" si="27"/>
        <v>1</v>
      </c>
      <c r="V53" s="70">
        <f t="shared" si="28"/>
        <v>1</v>
      </c>
      <c r="W53" s="435">
        <v>3</v>
      </c>
      <c r="X53" s="68" t="s">
        <v>1139</v>
      </c>
      <c r="Y53" s="6">
        <f t="shared" si="29"/>
        <v>2</v>
      </c>
      <c r="Z53" s="6">
        <f t="shared" si="30"/>
        <v>1001</v>
      </c>
      <c r="AA53" s="6">
        <v>2</v>
      </c>
      <c r="AB53" s="68" t="s">
        <v>1144</v>
      </c>
      <c r="AC53" s="6">
        <f t="shared" si="31"/>
        <v>2</v>
      </c>
      <c r="AD53" s="6">
        <f t="shared" si="32"/>
        <v>1003</v>
      </c>
      <c r="AE53" s="6">
        <v>1</v>
      </c>
      <c r="AG53" s="83">
        <v>49</v>
      </c>
      <c r="AI53" s="11" t="str">
        <f t="shared" ref="AI53" si="34">VLOOKUP(AH53,AU:AZ,4,0)</f>
        <v>物品类型</v>
      </c>
      <c r="AJ53" s="11" t="str">
        <f t="shared" ref="AJ53" si="35">VLOOKUP(AH53,AU:AZ,5,0)</f>
        <v>id</v>
      </c>
      <c r="AK53" s="83"/>
      <c r="AL53" s="83">
        <f t="shared" ref="AL53" si="36">IF(AH53&lt;&gt;"",AK53*VLOOKUP(AH53,AU:BA,7,0),0)</f>
        <v>0</v>
      </c>
      <c r="AM53" s="1">
        <f t="shared" ref="AM53" si="37">AH53</f>
        <v>0</v>
      </c>
      <c r="AN53" s="1" t="str">
        <f t="shared" ref="AN53" si="38">VLOOKUP(AM53,AU:AZ,4,0)</f>
        <v>物品类型</v>
      </c>
      <c r="AO53" s="1" t="str">
        <f t="shared" ref="AO53" si="39">VLOOKUP(AM53,AU:AZ,5,0)</f>
        <v>id</v>
      </c>
      <c r="AP53" s="469">
        <v>0</v>
      </c>
      <c r="AQ53" s="1">
        <f t="shared" ref="AQ53" si="40">IF(OR(AM53=0,AM53=""),0,AP53*VLOOKUP(AM53,AU:BA,7,0))</f>
        <v>0</v>
      </c>
    </row>
    <row r="54" spans="1:43" ht="16.2" x14ac:dyDescent="0.35">
      <c r="A54" s="1">
        <v>50</v>
      </c>
      <c r="B54" s="83">
        <f t="shared" si="11"/>
        <v>76030</v>
      </c>
      <c r="C54" s="39" t="str">
        <f t="shared" si="12"/>
        <v>1|1|3</v>
      </c>
      <c r="D54" s="39" t="str">
        <f t="shared" si="24"/>
        <v>2|1002|2</v>
      </c>
      <c r="E54" s="39" t="str">
        <f t="shared" si="25"/>
        <v>2|1004|2</v>
      </c>
      <c r="F54" s="39" t="str">
        <f t="shared" si="26"/>
        <v>1|2|500000</v>
      </c>
      <c r="G54" s="39" t="str">
        <f t="shared" si="16"/>
        <v>2|1008|5</v>
      </c>
      <c r="L54" s="1">
        <v>220</v>
      </c>
      <c r="M54" s="1">
        <f>SUM($L$5:L54)</f>
        <v>3943</v>
      </c>
      <c r="N54" s="429">
        <f t="shared" si="17"/>
        <v>16.429166666666667</v>
      </c>
      <c r="O54" s="1">
        <v>0.96</v>
      </c>
      <c r="P54" s="1">
        <f t="shared" si="23"/>
        <v>345.59999999999997</v>
      </c>
      <c r="Q54" s="1">
        <f t="shared" si="18"/>
        <v>76030</v>
      </c>
      <c r="T54" s="6" t="s">
        <v>1107</v>
      </c>
      <c r="U54" s="70">
        <f t="shared" si="27"/>
        <v>1</v>
      </c>
      <c r="V54" s="70">
        <f t="shared" si="28"/>
        <v>1</v>
      </c>
      <c r="W54" s="435">
        <v>3</v>
      </c>
      <c r="X54" s="68" t="s">
        <v>1140</v>
      </c>
      <c r="Y54" s="6">
        <f t="shared" si="29"/>
        <v>2</v>
      </c>
      <c r="Z54" s="6">
        <f t="shared" si="30"/>
        <v>1002</v>
      </c>
      <c r="AA54" s="6">
        <v>2</v>
      </c>
      <c r="AB54" s="68" t="s">
        <v>1143</v>
      </c>
      <c r="AC54" s="6">
        <f t="shared" si="31"/>
        <v>2</v>
      </c>
      <c r="AD54" s="6">
        <f t="shared" si="32"/>
        <v>1004</v>
      </c>
      <c r="AE54" s="6">
        <v>2</v>
      </c>
      <c r="AG54" s="59">
        <v>50</v>
      </c>
      <c r="AH54" s="1" t="s">
        <v>169</v>
      </c>
      <c r="AI54" s="11">
        <f t="shared" si="7"/>
        <v>1</v>
      </c>
      <c r="AJ54" s="11">
        <f t="shared" si="8"/>
        <v>2</v>
      </c>
      <c r="AK54" s="83">
        <v>500000</v>
      </c>
      <c r="AL54" s="83">
        <f t="shared" si="19"/>
        <v>500000</v>
      </c>
      <c r="AM54" s="1" t="s">
        <v>1108</v>
      </c>
      <c r="AN54" s="1">
        <f t="shared" si="9"/>
        <v>2</v>
      </c>
      <c r="AO54" s="1">
        <f t="shared" si="10"/>
        <v>1008</v>
      </c>
      <c r="AP54" s="470">
        <v>5</v>
      </c>
      <c r="AQ54" s="1">
        <f t="shared" si="21"/>
        <v>50000000</v>
      </c>
    </row>
    <row r="55" spans="1:43" ht="16.2" x14ac:dyDescent="0.35">
      <c r="A55" s="1">
        <v>51</v>
      </c>
      <c r="B55" s="83">
        <f t="shared" si="11"/>
        <v>89860</v>
      </c>
      <c r="C55" s="39" t="str">
        <f t="shared" si="12"/>
        <v>1|1|3</v>
      </c>
      <c r="D55" s="39" t="str">
        <f t="shared" si="24"/>
        <v>2|1001|2</v>
      </c>
      <c r="E55" s="39" t="str">
        <f t="shared" si="25"/>
        <v>2|1002|2</v>
      </c>
      <c r="F55" s="39" t="str">
        <f t="shared" ref="F55" si="41">TRIM(IF(AH55&lt;&gt;"",AI55&amp;"|"&amp;AJ55&amp;"|"&amp;AK55,""))</f>
        <v/>
      </c>
      <c r="G55" s="39" t="str">
        <f t="shared" ref="G55" si="42">TRIM(IF(OR(AM55="",AM55=0),"",AN55&amp;"|"&amp;AO55&amp;"|"&amp;AP55))</f>
        <v/>
      </c>
      <c r="L55" s="1">
        <v>260</v>
      </c>
      <c r="M55" s="1">
        <f>SUM($L$5:L55)</f>
        <v>4203</v>
      </c>
      <c r="N55" s="429">
        <f t="shared" si="17"/>
        <v>17.512499999999999</v>
      </c>
      <c r="O55" s="1">
        <v>0.96</v>
      </c>
      <c r="P55" s="1">
        <f t="shared" si="23"/>
        <v>345.59999999999997</v>
      </c>
      <c r="Q55" s="1">
        <f t="shared" si="18"/>
        <v>89860</v>
      </c>
      <c r="T55" s="6" t="s">
        <v>1107</v>
      </c>
      <c r="U55" s="70">
        <f t="shared" si="27"/>
        <v>1</v>
      </c>
      <c r="V55" s="70">
        <f t="shared" si="28"/>
        <v>1</v>
      </c>
      <c r="W55" s="435">
        <v>3</v>
      </c>
      <c r="X55" s="68" t="s">
        <v>1139</v>
      </c>
      <c r="Y55" s="6">
        <f t="shared" si="29"/>
        <v>2</v>
      </c>
      <c r="Z55" s="6">
        <f t="shared" si="30"/>
        <v>1001</v>
      </c>
      <c r="AA55" s="6">
        <v>2</v>
      </c>
      <c r="AB55" s="68" t="s">
        <v>1140</v>
      </c>
      <c r="AC55" s="6">
        <f t="shared" si="31"/>
        <v>2</v>
      </c>
      <c r="AD55" s="6">
        <f t="shared" si="32"/>
        <v>1002</v>
      </c>
      <c r="AE55" s="6">
        <v>2</v>
      </c>
      <c r="AI55" s="11"/>
      <c r="AJ55" s="11"/>
      <c r="AK55" s="83"/>
      <c r="AL55" s="83"/>
      <c r="AP55" s="469"/>
    </row>
    <row r="56" spans="1:43" x14ac:dyDescent="0.35">
      <c r="A56" s="1">
        <v>52</v>
      </c>
      <c r="B56" s="83">
        <f t="shared" si="11"/>
        <v>103680</v>
      </c>
      <c r="C56" s="39" t="str">
        <f t="shared" si="12"/>
        <v>1|1|3</v>
      </c>
      <c r="D56" s="39" t="str">
        <f t="shared" si="24"/>
        <v>2|1002|2</v>
      </c>
      <c r="E56" s="39" t="str">
        <f t="shared" si="25"/>
        <v>2|1004|2</v>
      </c>
      <c r="F56" s="39" t="str">
        <f t="shared" ref="F56:F103" si="43">TRIM(IF(AH56&lt;&gt;"",AI56&amp;"|"&amp;AJ56&amp;"|"&amp;AK56,""))</f>
        <v/>
      </c>
      <c r="G56" s="39" t="str">
        <f t="shared" ref="G56:G103" si="44">TRIM(IF(OR(AM56="",AM56=0),"",AN56&amp;"|"&amp;AO56&amp;"|"&amp;AP56))</f>
        <v/>
      </c>
      <c r="L56" s="1">
        <v>300</v>
      </c>
      <c r="M56" s="1">
        <f>SUM($L$5:L56)</f>
        <v>4503</v>
      </c>
      <c r="N56" s="429">
        <f t="shared" si="17"/>
        <v>18.762499999999999</v>
      </c>
      <c r="O56" s="1">
        <v>0.96</v>
      </c>
      <c r="P56" s="1">
        <f t="shared" si="23"/>
        <v>345.59999999999997</v>
      </c>
      <c r="Q56" s="1">
        <f t="shared" si="18"/>
        <v>103680</v>
      </c>
      <c r="T56" s="6" t="s">
        <v>1107</v>
      </c>
      <c r="U56" s="70">
        <f t="shared" si="27"/>
        <v>1</v>
      </c>
      <c r="V56" s="70">
        <f t="shared" si="28"/>
        <v>1</v>
      </c>
      <c r="W56" s="435">
        <v>3</v>
      </c>
      <c r="X56" s="68" t="s">
        <v>1140</v>
      </c>
      <c r="Y56" s="6">
        <f t="shared" si="29"/>
        <v>2</v>
      </c>
      <c r="Z56" s="6">
        <f t="shared" si="30"/>
        <v>1002</v>
      </c>
      <c r="AA56" s="6">
        <v>2</v>
      </c>
      <c r="AB56" s="68" t="s">
        <v>1143</v>
      </c>
      <c r="AC56" s="6">
        <f t="shared" si="31"/>
        <v>2</v>
      </c>
      <c r="AD56" s="6">
        <f t="shared" si="32"/>
        <v>1004</v>
      </c>
      <c r="AE56" s="6">
        <v>2</v>
      </c>
    </row>
    <row r="57" spans="1:43" x14ac:dyDescent="0.35">
      <c r="A57" s="1">
        <v>53</v>
      </c>
      <c r="B57" s="83">
        <f t="shared" si="11"/>
        <v>120960</v>
      </c>
      <c r="C57" s="39" t="str">
        <f t="shared" si="12"/>
        <v>1|1|3</v>
      </c>
      <c r="D57" s="39" t="str">
        <f t="shared" si="24"/>
        <v>2|1001|2</v>
      </c>
      <c r="E57" s="39" t="str">
        <f t="shared" si="25"/>
        <v>2|1004|2</v>
      </c>
      <c r="F57" s="39" t="str">
        <f t="shared" si="43"/>
        <v/>
      </c>
      <c r="G57" s="39" t="str">
        <f t="shared" si="44"/>
        <v/>
      </c>
      <c r="L57" s="1">
        <v>350</v>
      </c>
      <c r="M57" s="1">
        <f>SUM($L$5:L57)</f>
        <v>4853</v>
      </c>
      <c r="N57" s="429">
        <f t="shared" si="17"/>
        <v>20.220833333333335</v>
      </c>
      <c r="O57" s="1">
        <v>0.96</v>
      </c>
      <c r="P57" s="1">
        <f t="shared" si="23"/>
        <v>345.59999999999997</v>
      </c>
      <c r="Q57" s="1">
        <f t="shared" si="18"/>
        <v>120960</v>
      </c>
      <c r="T57" s="6" t="s">
        <v>1107</v>
      </c>
      <c r="U57" s="70">
        <f t="shared" si="27"/>
        <v>1</v>
      </c>
      <c r="V57" s="70">
        <f t="shared" si="28"/>
        <v>1</v>
      </c>
      <c r="W57" s="435">
        <v>3</v>
      </c>
      <c r="X57" s="68" t="s">
        <v>1139</v>
      </c>
      <c r="Y57" s="6">
        <f t="shared" si="29"/>
        <v>2</v>
      </c>
      <c r="Z57" s="6">
        <f t="shared" si="30"/>
        <v>1001</v>
      </c>
      <c r="AA57" s="6">
        <v>2</v>
      </c>
      <c r="AB57" s="68" t="s">
        <v>1143</v>
      </c>
      <c r="AC57" s="6">
        <f t="shared" si="31"/>
        <v>2</v>
      </c>
      <c r="AD57" s="6">
        <f t="shared" si="32"/>
        <v>1004</v>
      </c>
      <c r="AE57" s="6">
        <v>2</v>
      </c>
    </row>
    <row r="58" spans="1:43" x14ac:dyDescent="0.35">
      <c r="A58" s="1">
        <v>54</v>
      </c>
      <c r="B58" s="83">
        <f t="shared" si="11"/>
        <v>138240</v>
      </c>
      <c r="C58" s="39" t="str">
        <f t="shared" si="12"/>
        <v>1|1|3</v>
      </c>
      <c r="D58" s="39" t="str">
        <f t="shared" si="24"/>
        <v>2|1002|2</v>
      </c>
      <c r="E58" s="39" t="str">
        <f t="shared" si="25"/>
        <v>2|1003|1</v>
      </c>
      <c r="F58" s="39" t="str">
        <f t="shared" si="43"/>
        <v/>
      </c>
      <c r="G58" s="39" t="str">
        <f t="shared" si="44"/>
        <v/>
      </c>
      <c r="L58" s="1">
        <v>400</v>
      </c>
      <c r="M58" s="1">
        <f>SUM($L$5:L58)</f>
        <v>5253</v>
      </c>
      <c r="N58" s="429">
        <f t="shared" si="17"/>
        <v>21.887499999999999</v>
      </c>
      <c r="O58" s="1">
        <v>0.96</v>
      </c>
      <c r="P58" s="1">
        <f t="shared" si="23"/>
        <v>345.59999999999997</v>
      </c>
      <c r="Q58" s="1">
        <f t="shared" si="18"/>
        <v>138240</v>
      </c>
      <c r="T58" s="6" t="s">
        <v>1107</v>
      </c>
      <c r="U58" s="70">
        <f t="shared" si="27"/>
        <v>1</v>
      </c>
      <c r="V58" s="70">
        <f t="shared" si="28"/>
        <v>1</v>
      </c>
      <c r="W58" s="435">
        <v>3</v>
      </c>
      <c r="X58" s="68" t="s">
        <v>1140</v>
      </c>
      <c r="Y58" s="6">
        <f t="shared" si="29"/>
        <v>2</v>
      </c>
      <c r="Z58" s="6">
        <f t="shared" si="30"/>
        <v>1002</v>
      </c>
      <c r="AA58" s="6">
        <v>2</v>
      </c>
      <c r="AB58" s="68" t="s">
        <v>1144</v>
      </c>
      <c r="AC58" s="6">
        <f t="shared" si="31"/>
        <v>2</v>
      </c>
      <c r="AD58" s="6">
        <f t="shared" si="32"/>
        <v>1003</v>
      </c>
      <c r="AE58" s="6">
        <v>1</v>
      </c>
    </row>
    <row r="59" spans="1:43" x14ac:dyDescent="0.35">
      <c r="A59" s="1">
        <v>55</v>
      </c>
      <c r="B59" s="83">
        <f t="shared" si="11"/>
        <v>155520</v>
      </c>
      <c r="C59" s="39" t="str">
        <f t="shared" si="12"/>
        <v>1|1|3</v>
      </c>
      <c r="D59" s="39" t="str">
        <f t="shared" si="24"/>
        <v>2|1001|2</v>
      </c>
      <c r="E59" s="39" t="str">
        <f t="shared" si="25"/>
        <v>2|1002|2</v>
      </c>
      <c r="F59" s="39" t="str">
        <f t="shared" si="43"/>
        <v/>
      </c>
      <c r="G59" s="39" t="str">
        <f t="shared" si="44"/>
        <v/>
      </c>
      <c r="L59" s="1">
        <v>450</v>
      </c>
      <c r="M59" s="1">
        <f>SUM($L$5:L59)</f>
        <v>5703</v>
      </c>
      <c r="N59" s="429">
        <f t="shared" si="17"/>
        <v>23.762499999999999</v>
      </c>
      <c r="O59" s="1">
        <v>0.96</v>
      </c>
      <c r="P59" s="1">
        <f t="shared" si="23"/>
        <v>345.59999999999997</v>
      </c>
      <c r="Q59" s="1">
        <f t="shared" si="18"/>
        <v>155520</v>
      </c>
      <c r="T59" s="6" t="s">
        <v>1107</v>
      </c>
      <c r="U59" s="70">
        <f t="shared" si="27"/>
        <v>1</v>
      </c>
      <c r="V59" s="70">
        <f t="shared" si="28"/>
        <v>1</v>
      </c>
      <c r="W59" s="435">
        <v>3</v>
      </c>
      <c r="X59" s="68" t="s">
        <v>1139</v>
      </c>
      <c r="Y59" s="6">
        <f t="shared" si="29"/>
        <v>2</v>
      </c>
      <c r="Z59" s="6">
        <f t="shared" si="30"/>
        <v>1001</v>
      </c>
      <c r="AA59" s="6">
        <v>2</v>
      </c>
      <c r="AB59" s="68" t="s">
        <v>1140</v>
      </c>
      <c r="AC59" s="6">
        <f t="shared" si="31"/>
        <v>2</v>
      </c>
      <c r="AD59" s="6">
        <f t="shared" si="32"/>
        <v>1002</v>
      </c>
      <c r="AE59" s="6">
        <v>2</v>
      </c>
    </row>
    <row r="60" spans="1:43" x14ac:dyDescent="0.35">
      <c r="A60" s="1">
        <v>56</v>
      </c>
      <c r="B60" s="83">
        <f t="shared" si="11"/>
        <v>172800</v>
      </c>
      <c r="C60" s="39" t="str">
        <f t="shared" si="12"/>
        <v>1|1|3</v>
      </c>
      <c r="D60" s="39" t="str">
        <f t="shared" si="24"/>
        <v>2|1002|2</v>
      </c>
      <c r="E60" s="39" t="str">
        <f t="shared" si="25"/>
        <v>2|1004|2</v>
      </c>
      <c r="F60" s="39" t="str">
        <f t="shared" si="43"/>
        <v/>
      </c>
      <c r="G60" s="39" t="str">
        <f t="shared" si="44"/>
        <v/>
      </c>
      <c r="L60" s="1">
        <v>500</v>
      </c>
      <c r="M60" s="1">
        <f>SUM($L$5:L60)</f>
        <v>6203</v>
      </c>
      <c r="N60" s="429">
        <f t="shared" si="17"/>
        <v>25.845833333333335</v>
      </c>
      <c r="O60" s="1">
        <v>0.96</v>
      </c>
      <c r="P60" s="1">
        <f t="shared" si="23"/>
        <v>345.59999999999997</v>
      </c>
      <c r="Q60" s="1">
        <f t="shared" si="18"/>
        <v>172800</v>
      </c>
      <c r="T60" s="6" t="s">
        <v>1107</v>
      </c>
      <c r="U60" s="70">
        <f t="shared" si="27"/>
        <v>1</v>
      </c>
      <c r="V60" s="70">
        <f t="shared" si="28"/>
        <v>1</v>
      </c>
      <c r="W60" s="435">
        <v>3</v>
      </c>
      <c r="X60" s="68" t="s">
        <v>1140</v>
      </c>
      <c r="Y60" s="6">
        <f t="shared" si="29"/>
        <v>2</v>
      </c>
      <c r="Z60" s="6">
        <f t="shared" si="30"/>
        <v>1002</v>
      </c>
      <c r="AA60" s="6">
        <v>2</v>
      </c>
      <c r="AB60" s="68" t="s">
        <v>1143</v>
      </c>
      <c r="AC60" s="6">
        <f t="shared" si="31"/>
        <v>2</v>
      </c>
      <c r="AD60" s="6">
        <f t="shared" si="32"/>
        <v>1004</v>
      </c>
      <c r="AE60" s="6">
        <v>2</v>
      </c>
    </row>
    <row r="61" spans="1:43" x14ac:dyDescent="0.35">
      <c r="A61" s="1">
        <v>57</v>
      </c>
      <c r="B61" s="83">
        <f t="shared" si="11"/>
        <v>183170</v>
      </c>
      <c r="C61" s="39" t="str">
        <f t="shared" si="12"/>
        <v>1|1|3</v>
      </c>
      <c r="D61" s="39" t="str">
        <f t="shared" si="24"/>
        <v>2|1001|2</v>
      </c>
      <c r="E61" s="39" t="str">
        <f t="shared" si="25"/>
        <v>2|1004|2</v>
      </c>
      <c r="F61" s="39" t="str">
        <f t="shared" si="43"/>
        <v/>
      </c>
      <c r="G61" s="39" t="str">
        <f t="shared" si="44"/>
        <v/>
      </c>
      <c r="L61" s="1">
        <v>530</v>
      </c>
      <c r="M61" s="1">
        <f>SUM($L$5:L61)</f>
        <v>6733</v>
      </c>
      <c r="N61" s="429">
        <f t="shared" si="17"/>
        <v>28.054166666666667</v>
      </c>
      <c r="O61" s="1">
        <v>0.96</v>
      </c>
      <c r="P61" s="1">
        <f t="shared" si="23"/>
        <v>345.59999999999997</v>
      </c>
      <c r="Q61" s="1">
        <f t="shared" si="18"/>
        <v>183170</v>
      </c>
      <c r="T61" s="6" t="s">
        <v>1107</v>
      </c>
      <c r="U61" s="70">
        <f t="shared" si="27"/>
        <v>1</v>
      </c>
      <c r="V61" s="70">
        <f t="shared" si="28"/>
        <v>1</v>
      </c>
      <c r="W61" s="435">
        <v>3</v>
      </c>
      <c r="X61" s="68" t="s">
        <v>1139</v>
      </c>
      <c r="Y61" s="6">
        <f t="shared" si="29"/>
        <v>2</v>
      </c>
      <c r="Z61" s="6">
        <f t="shared" si="30"/>
        <v>1001</v>
      </c>
      <c r="AA61" s="6">
        <v>2</v>
      </c>
      <c r="AB61" s="68" t="s">
        <v>1143</v>
      </c>
      <c r="AC61" s="6">
        <f t="shared" si="31"/>
        <v>2</v>
      </c>
      <c r="AD61" s="6">
        <f t="shared" si="32"/>
        <v>1004</v>
      </c>
      <c r="AE61" s="6">
        <v>2</v>
      </c>
    </row>
    <row r="62" spans="1:43" x14ac:dyDescent="0.35">
      <c r="A62" s="1">
        <v>58</v>
      </c>
      <c r="B62" s="83">
        <f t="shared" si="11"/>
        <v>193540</v>
      </c>
      <c r="C62" s="39" t="str">
        <f t="shared" si="12"/>
        <v>1|1|3</v>
      </c>
      <c r="D62" s="39" t="str">
        <f t="shared" si="24"/>
        <v>2|1002|2</v>
      </c>
      <c r="E62" s="39" t="str">
        <f t="shared" si="25"/>
        <v>2|1004|2</v>
      </c>
      <c r="F62" s="39" t="str">
        <f t="shared" si="43"/>
        <v/>
      </c>
      <c r="G62" s="39" t="str">
        <f t="shared" si="44"/>
        <v/>
      </c>
      <c r="L62" s="1">
        <v>560</v>
      </c>
      <c r="M62" s="1">
        <f>SUM($L$5:L62)</f>
        <v>7293</v>
      </c>
      <c r="N62" s="429">
        <f t="shared" si="17"/>
        <v>30.387499999999999</v>
      </c>
      <c r="O62" s="1">
        <v>0.96</v>
      </c>
      <c r="P62" s="1">
        <f t="shared" si="23"/>
        <v>345.59999999999997</v>
      </c>
      <c r="Q62" s="1">
        <f t="shared" si="18"/>
        <v>193540</v>
      </c>
      <c r="T62" s="6" t="s">
        <v>1107</v>
      </c>
      <c r="U62" s="70">
        <f t="shared" si="27"/>
        <v>1</v>
      </c>
      <c r="V62" s="70">
        <f t="shared" si="28"/>
        <v>1</v>
      </c>
      <c r="W62" s="435">
        <v>3</v>
      </c>
      <c r="X62" s="68" t="s">
        <v>1140</v>
      </c>
      <c r="Y62" s="6">
        <f t="shared" si="29"/>
        <v>2</v>
      </c>
      <c r="Z62" s="6">
        <f t="shared" si="30"/>
        <v>1002</v>
      </c>
      <c r="AA62" s="6">
        <v>2</v>
      </c>
      <c r="AB62" s="68" t="s">
        <v>1143</v>
      </c>
      <c r="AC62" s="6">
        <f t="shared" si="31"/>
        <v>2</v>
      </c>
      <c r="AD62" s="6">
        <f t="shared" si="32"/>
        <v>1004</v>
      </c>
      <c r="AE62" s="6">
        <v>2</v>
      </c>
    </row>
    <row r="63" spans="1:43" x14ac:dyDescent="0.35">
      <c r="A63" s="1">
        <v>59</v>
      </c>
      <c r="B63" s="83">
        <f t="shared" si="11"/>
        <v>203900</v>
      </c>
      <c r="C63" s="39" t="str">
        <f t="shared" si="12"/>
        <v>1|1|3</v>
      </c>
      <c r="D63" s="39" t="str">
        <f t="shared" si="24"/>
        <v>2|1001|2</v>
      </c>
      <c r="E63" s="39" t="str">
        <f t="shared" si="25"/>
        <v>2|1003|1</v>
      </c>
      <c r="F63" s="39" t="str">
        <f t="shared" si="43"/>
        <v/>
      </c>
      <c r="G63" s="39" t="str">
        <f t="shared" si="44"/>
        <v/>
      </c>
      <c r="L63" s="1">
        <v>590</v>
      </c>
      <c r="M63" s="430">
        <f>SUM($L$5:L63)</f>
        <v>7883</v>
      </c>
      <c r="N63" s="429">
        <f t="shared" si="17"/>
        <v>32.845833333333331</v>
      </c>
      <c r="O63" s="1">
        <v>0.96</v>
      </c>
      <c r="P63" s="1">
        <f t="shared" si="23"/>
        <v>345.59999999999997</v>
      </c>
      <c r="Q63" s="1">
        <f t="shared" si="18"/>
        <v>203900</v>
      </c>
      <c r="T63" s="6" t="s">
        <v>1107</v>
      </c>
      <c r="U63" s="70">
        <f t="shared" si="27"/>
        <v>1</v>
      </c>
      <c r="V63" s="70">
        <f t="shared" si="28"/>
        <v>1</v>
      </c>
      <c r="W63" s="435">
        <v>3</v>
      </c>
      <c r="X63" s="68" t="s">
        <v>1139</v>
      </c>
      <c r="Y63" s="6">
        <f t="shared" si="29"/>
        <v>2</v>
      </c>
      <c r="Z63" s="6">
        <f t="shared" si="30"/>
        <v>1001</v>
      </c>
      <c r="AA63" s="6">
        <v>2</v>
      </c>
      <c r="AB63" s="68" t="s">
        <v>1144</v>
      </c>
      <c r="AC63" s="6">
        <f t="shared" si="31"/>
        <v>2</v>
      </c>
      <c r="AD63" s="6">
        <f t="shared" si="32"/>
        <v>1003</v>
      </c>
      <c r="AE63" s="6">
        <v>1</v>
      </c>
    </row>
    <row r="64" spans="1:43" x14ac:dyDescent="0.35">
      <c r="A64" s="1">
        <v>60</v>
      </c>
      <c r="B64" s="83">
        <f t="shared" si="11"/>
        <v>207360</v>
      </c>
      <c r="C64" s="39" t="str">
        <f t="shared" si="12"/>
        <v>1|1|4</v>
      </c>
      <c r="D64" s="39" t="str">
        <f t="shared" si="24"/>
        <v>2|1002|2</v>
      </c>
      <c r="E64" s="39" t="str">
        <f t="shared" si="25"/>
        <v>2|1004|2</v>
      </c>
      <c r="F64" s="39" t="str">
        <f t="shared" si="43"/>
        <v/>
      </c>
      <c r="G64" s="39" t="str">
        <f t="shared" si="44"/>
        <v/>
      </c>
      <c r="L64" s="1">
        <v>600</v>
      </c>
      <c r="M64" s="1">
        <f>SUM($L$5:L64)</f>
        <v>8483</v>
      </c>
      <c r="N64" s="429">
        <f t="shared" si="17"/>
        <v>35.345833333333331</v>
      </c>
      <c r="O64" s="1">
        <v>0.96</v>
      </c>
      <c r="P64" s="1">
        <f t="shared" si="23"/>
        <v>345.59999999999997</v>
      </c>
      <c r="Q64" s="1">
        <f t="shared" si="18"/>
        <v>207360</v>
      </c>
      <c r="T64" s="6" t="s">
        <v>1107</v>
      </c>
      <c r="U64" s="70">
        <f t="shared" si="27"/>
        <v>1</v>
      </c>
      <c r="V64" s="70">
        <f t="shared" si="28"/>
        <v>1</v>
      </c>
      <c r="W64" s="435">
        <v>4</v>
      </c>
      <c r="X64" s="68" t="s">
        <v>1140</v>
      </c>
      <c r="Y64" s="6">
        <f t="shared" si="29"/>
        <v>2</v>
      </c>
      <c r="Z64" s="6">
        <f t="shared" si="30"/>
        <v>1002</v>
      </c>
      <c r="AA64" s="6">
        <v>2</v>
      </c>
      <c r="AB64" s="68" t="s">
        <v>1143</v>
      </c>
      <c r="AC64" s="6">
        <f t="shared" si="31"/>
        <v>2</v>
      </c>
      <c r="AD64" s="6">
        <f t="shared" si="32"/>
        <v>1004</v>
      </c>
      <c r="AE64" s="6">
        <v>2</v>
      </c>
    </row>
    <row r="65" spans="1:31" x14ac:dyDescent="0.35">
      <c r="A65" s="1">
        <v>61</v>
      </c>
      <c r="B65" s="83">
        <f t="shared" si="11"/>
        <v>209090</v>
      </c>
      <c r="C65" s="39" t="str">
        <f t="shared" si="12"/>
        <v>1|1|4</v>
      </c>
      <c r="D65" s="39" t="str">
        <f t="shared" si="24"/>
        <v>2|1001|2</v>
      </c>
      <c r="E65" s="39" t="str">
        <f t="shared" si="25"/>
        <v>2|1002|2</v>
      </c>
      <c r="F65" s="39" t="str">
        <f t="shared" si="43"/>
        <v/>
      </c>
      <c r="G65" s="39" t="str">
        <f t="shared" si="44"/>
        <v/>
      </c>
      <c r="L65" s="1">
        <v>605</v>
      </c>
      <c r="M65" s="1">
        <f>SUM($L$5:L65)</f>
        <v>9088</v>
      </c>
      <c r="N65" s="429">
        <f t="shared" si="17"/>
        <v>37.866666666666667</v>
      </c>
      <c r="O65" s="1">
        <v>0.96</v>
      </c>
      <c r="P65" s="1">
        <f t="shared" si="23"/>
        <v>345.59999999999997</v>
      </c>
      <c r="Q65" s="1">
        <f t="shared" si="18"/>
        <v>209090</v>
      </c>
      <c r="T65" s="6" t="s">
        <v>1107</v>
      </c>
      <c r="U65" s="70">
        <f t="shared" si="27"/>
        <v>1</v>
      </c>
      <c r="V65" s="70">
        <f t="shared" si="28"/>
        <v>1</v>
      </c>
      <c r="W65" s="435">
        <v>4</v>
      </c>
      <c r="X65" s="68" t="s">
        <v>1139</v>
      </c>
      <c r="Y65" s="6">
        <f t="shared" si="29"/>
        <v>2</v>
      </c>
      <c r="Z65" s="6">
        <f t="shared" si="30"/>
        <v>1001</v>
      </c>
      <c r="AA65" s="6">
        <v>2</v>
      </c>
      <c r="AB65" s="68" t="s">
        <v>1140</v>
      </c>
      <c r="AC65" s="6">
        <f t="shared" si="31"/>
        <v>2</v>
      </c>
      <c r="AD65" s="6">
        <f t="shared" si="32"/>
        <v>1002</v>
      </c>
      <c r="AE65" s="6">
        <v>2</v>
      </c>
    </row>
    <row r="66" spans="1:31" x14ac:dyDescent="0.35">
      <c r="A66" s="1">
        <v>62</v>
      </c>
      <c r="B66" s="83">
        <f t="shared" si="11"/>
        <v>210820</v>
      </c>
      <c r="C66" s="39" t="str">
        <f t="shared" si="12"/>
        <v>1|1|4</v>
      </c>
      <c r="D66" s="39" t="str">
        <f t="shared" si="24"/>
        <v>2|1002|2</v>
      </c>
      <c r="E66" s="39" t="str">
        <f t="shared" si="25"/>
        <v>2|1004|2</v>
      </c>
      <c r="F66" s="39" t="str">
        <f t="shared" si="43"/>
        <v/>
      </c>
      <c r="G66" s="39" t="str">
        <f t="shared" si="44"/>
        <v/>
      </c>
      <c r="L66" s="1">
        <v>610</v>
      </c>
      <c r="M66" s="1">
        <f>SUM($L$5:L66)</f>
        <v>9698</v>
      </c>
      <c r="N66" s="429">
        <f t="shared" si="17"/>
        <v>40.408333333333331</v>
      </c>
      <c r="O66" s="1">
        <v>0.96</v>
      </c>
      <c r="P66" s="1">
        <f t="shared" si="23"/>
        <v>345.59999999999997</v>
      </c>
      <c r="Q66" s="1">
        <f t="shared" si="18"/>
        <v>210820</v>
      </c>
      <c r="T66" s="6" t="s">
        <v>1107</v>
      </c>
      <c r="U66" s="70">
        <f t="shared" si="27"/>
        <v>1</v>
      </c>
      <c r="V66" s="70">
        <f t="shared" si="28"/>
        <v>1</v>
      </c>
      <c r="W66" s="435">
        <v>4</v>
      </c>
      <c r="X66" s="68" t="s">
        <v>1140</v>
      </c>
      <c r="Y66" s="6">
        <f t="shared" si="29"/>
        <v>2</v>
      </c>
      <c r="Z66" s="6">
        <f t="shared" si="30"/>
        <v>1002</v>
      </c>
      <c r="AA66" s="6">
        <v>2</v>
      </c>
      <c r="AB66" s="68" t="s">
        <v>1143</v>
      </c>
      <c r="AC66" s="6">
        <f t="shared" si="31"/>
        <v>2</v>
      </c>
      <c r="AD66" s="6">
        <f t="shared" si="32"/>
        <v>1004</v>
      </c>
      <c r="AE66" s="6">
        <v>2</v>
      </c>
    </row>
    <row r="67" spans="1:31" x14ac:dyDescent="0.35">
      <c r="A67" s="1">
        <v>63</v>
      </c>
      <c r="B67" s="83">
        <f t="shared" si="11"/>
        <v>212540</v>
      </c>
      <c r="C67" s="39" t="str">
        <f t="shared" si="12"/>
        <v>1|1|4</v>
      </c>
      <c r="D67" s="39" t="str">
        <f t="shared" si="24"/>
        <v>2|1001|2</v>
      </c>
      <c r="E67" s="39" t="str">
        <f t="shared" si="25"/>
        <v>2|1004|2</v>
      </c>
      <c r="F67" s="39" t="str">
        <f t="shared" si="43"/>
        <v/>
      </c>
      <c r="G67" s="39" t="str">
        <f t="shared" si="44"/>
        <v/>
      </c>
      <c r="L67" s="1">
        <v>615</v>
      </c>
      <c r="M67" s="1">
        <f>SUM($L$5:L67)</f>
        <v>10313</v>
      </c>
      <c r="N67" s="429">
        <f t="shared" si="17"/>
        <v>42.970833333333331</v>
      </c>
      <c r="O67" s="1">
        <v>0.96</v>
      </c>
      <c r="P67" s="1">
        <f t="shared" si="23"/>
        <v>345.59999999999997</v>
      </c>
      <c r="Q67" s="1">
        <f t="shared" si="18"/>
        <v>212540</v>
      </c>
      <c r="T67" s="6" t="s">
        <v>1107</v>
      </c>
      <c r="U67" s="70">
        <f t="shared" si="27"/>
        <v>1</v>
      </c>
      <c r="V67" s="70">
        <f t="shared" si="28"/>
        <v>1</v>
      </c>
      <c r="W67" s="435">
        <v>4</v>
      </c>
      <c r="X67" s="68" t="s">
        <v>1139</v>
      </c>
      <c r="Y67" s="6">
        <f t="shared" si="29"/>
        <v>2</v>
      </c>
      <c r="Z67" s="6">
        <f t="shared" si="30"/>
        <v>1001</v>
      </c>
      <c r="AA67" s="6">
        <v>2</v>
      </c>
      <c r="AB67" s="68" t="s">
        <v>1143</v>
      </c>
      <c r="AC67" s="6">
        <f t="shared" si="31"/>
        <v>2</v>
      </c>
      <c r="AD67" s="6">
        <f t="shared" si="32"/>
        <v>1004</v>
      </c>
      <c r="AE67" s="6">
        <v>2</v>
      </c>
    </row>
    <row r="68" spans="1:31" x14ac:dyDescent="0.35">
      <c r="A68" s="1">
        <v>64</v>
      </c>
      <c r="B68" s="83">
        <f t="shared" si="11"/>
        <v>214270</v>
      </c>
      <c r="C68" s="39" t="str">
        <f t="shared" si="12"/>
        <v>1|1|4</v>
      </c>
      <c r="D68" s="39" t="str">
        <f t="shared" si="24"/>
        <v>2|1002|2</v>
      </c>
      <c r="E68" s="39" t="str">
        <f t="shared" si="25"/>
        <v>2|1003|1</v>
      </c>
      <c r="F68" s="39" t="str">
        <f t="shared" si="43"/>
        <v/>
      </c>
      <c r="G68" s="39" t="str">
        <f t="shared" si="44"/>
        <v/>
      </c>
      <c r="L68" s="1">
        <v>620</v>
      </c>
      <c r="M68" s="1">
        <f>SUM($L$5:L68)</f>
        <v>10933</v>
      </c>
      <c r="N68" s="429">
        <f t="shared" si="17"/>
        <v>45.554166666666667</v>
      </c>
      <c r="O68" s="1">
        <v>0.96</v>
      </c>
      <c r="P68" s="1">
        <f t="shared" si="23"/>
        <v>345.59999999999997</v>
      </c>
      <c r="Q68" s="1">
        <f t="shared" si="18"/>
        <v>214270</v>
      </c>
      <c r="T68" s="6" t="s">
        <v>1107</v>
      </c>
      <c r="U68" s="70">
        <f t="shared" si="27"/>
        <v>1</v>
      </c>
      <c r="V68" s="70">
        <f t="shared" si="28"/>
        <v>1</v>
      </c>
      <c r="W68" s="435">
        <v>4</v>
      </c>
      <c r="X68" s="68" t="s">
        <v>1140</v>
      </c>
      <c r="Y68" s="6">
        <f t="shared" si="29"/>
        <v>2</v>
      </c>
      <c r="Z68" s="6">
        <f t="shared" si="30"/>
        <v>1002</v>
      </c>
      <c r="AA68" s="6">
        <v>2</v>
      </c>
      <c r="AB68" s="68" t="s">
        <v>1144</v>
      </c>
      <c r="AC68" s="6">
        <f t="shared" si="31"/>
        <v>2</v>
      </c>
      <c r="AD68" s="6">
        <f t="shared" si="32"/>
        <v>1003</v>
      </c>
      <c r="AE68" s="6">
        <v>1</v>
      </c>
    </row>
    <row r="69" spans="1:31" x14ac:dyDescent="0.35">
      <c r="A69" s="1">
        <v>65</v>
      </c>
      <c r="B69" s="83">
        <f t="shared" si="11"/>
        <v>216000</v>
      </c>
      <c r="C69" s="39" t="str">
        <f t="shared" si="12"/>
        <v>1|1|4</v>
      </c>
      <c r="D69" s="39" t="str">
        <f t="shared" si="24"/>
        <v>2|1001|2</v>
      </c>
      <c r="E69" s="39" t="str">
        <f t="shared" si="25"/>
        <v>2|1002|2</v>
      </c>
      <c r="F69" s="39" t="str">
        <f t="shared" si="43"/>
        <v/>
      </c>
      <c r="G69" s="39" t="str">
        <f t="shared" si="44"/>
        <v/>
      </c>
      <c r="L69" s="1">
        <v>625</v>
      </c>
      <c r="M69" s="1">
        <f>SUM($L$5:L69)</f>
        <v>11558</v>
      </c>
      <c r="N69" s="429">
        <f t="shared" si="17"/>
        <v>48.158333333333331</v>
      </c>
      <c r="O69" s="1">
        <v>0.96</v>
      </c>
      <c r="P69" s="1">
        <f t="shared" ref="P69:P100" si="45">$M$3*O69*60</f>
        <v>345.59999999999997</v>
      </c>
      <c r="Q69" s="1">
        <f t="shared" si="18"/>
        <v>216000</v>
      </c>
      <c r="T69" s="6" t="s">
        <v>1107</v>
      </c>
      <c r="U69" s="70">
        <f t="shared" si="27"/>
        <v>1</v>
      </c>
      <c r="V69" s="70">
        <f t="shared" si="28"/>
        <v>1</v>
      </c>
      <c r="W69" s="435">
        <v>4</v>
      </c>
      <c r="X69" s="68" t="s">
        <v>1139</v>
      </c>
      <c r="Y69" s="6">
        <f t="shared" si="29"/>
        <v>2</v>
      </c>
      <c r="Z69" s="6">
        <f t="shared" si="30"/>
        <v>1001</v>
      </c>
      <c r="AA69" s="6">
        <v>2</v>
      </c>
      <c r="AB69" s="68" t="s">
        <v>1140</v>
      </c>
      <c r="AC69" s="6">
        <f t="shared" si="31"/>
        <v>2</v>
      </c>
      <c r="AD69" s="6">
        <f t="shared" si="32"/>
        <v>1002</v>
      </c>
      <c r="AE69" s="6">
        <v>2</v>
      </c>
    </row>
    <row r="70" spans="1:31" x14ac:dyDescent="0.35">
      <c r="A70" s="1">
        <v>66</v>
      </c>
      <c r="B70" s="83">
        <f t="shared" ref="B70:B103" si="46">Q70</f>
        <v>217730</v>
      </c>
      <c r="C70" s="39" t="str">
        <f t="shared" ref="C70:C103" si="47">U70&amp;"|"&amp;V70&amp;"|"&amp;W70</f>
        <v>1|1|4</v>
      </c>
      <c r="D70" s="39" t="str">
        <f t="shared" si="24"/>
        <v>2|1002|2</v>
      </c>
      <c r="E70" s="39" t="str">
        <f t="shared" si="25"/>
        <v>2|1004|2</v>
      </c>
      <c r="F70" s="39" t="str">
        <f t="shared" si="43"/>
        <v/>
      </c>
      <c r="G70" s="39" t="str">
        <f t="shared" si="44"/>
        <v/>
      </c>
      <c r="L70" s="1">
        <v>630</v>
      </c>
      <c r="M70" s="1">
        <f>SUM($L$5:L70)</f>
        <v>12188</v>
      </c>
      <c r="N70" s="429">
        <f t="shared" ref="N70:N103" si="48">M70/60/4</f>
        <v>50.783333333333331</v>
      </c>
      <c r="O70" s="1">
        <v>0.96</v>
      </c>
      <c r="P70" s="1">
        <f t="shared" si="45"/>
        <v>345.59999999999997</v>
      </c>
      <c r="Q70" s="1">
        <f t="shared" ref="Q70:Q103" si="49">ROUND(L70*P70/10,0)*10</f>
        <v>217730</v>
      </c>
      <c r="T70" s="6" t="s">
        <v>1107</v>
      </c>
      <c r="U70" s="70">
        <f t="shared" si="27"/>
        <v>1</v>
      </c>
      <c r="V70" s="70">
        <f t="shared" si="28"/>
        <v>1</v>
      </c>
      <c r="W70" s="435">
        <v>4</v>
      </c>
      <c r="X70" s="68" t="s">
        <v>1140</v>
      </c>
      <c r="Y70" s="6">
        <f t="shared" si="29"/>
        <v>2</v>
      </c>
      <c r="Z70" s="6">
        <f t="shared" si="30"/>
        <v>1002</v>
      </c>
      <c r="AA70" s="6">
        <v>2</v>
      </c>
      <c r="AB70" s="68" t="s">
        <v>1143</v>
      </c>
      <c r="AC70" s="6">
        <f t="shared" si="31"/>
        <v>2</v>
      </c>
      <c r="AD70" s="6">
        <f t="shared" si="32"/>
        <v>1004</v>
      </c>
      <c r="AE70" s="6">
        <v>2</v>
      </c>
    </row>
    <row r="71" spans="1:31" x14ac:dyDescent="0.35">
      <c r="A71" s="1">
        <v>67</v>
      </c>
      <c r="B71" s="83">
        <f t="shared" si="46"/>
        <v>219460</v>
      </c>
      <c r="C71" s="39" t="str">
        <f t="shared" si="47"/>
        <v>1|1|4</v>
      </c>
      <c r="D71" s="39" t="str">
        <f t="shared" si="24"/>
        <v>2|1001|2</v>
      </c>
      <c r="E71" s="39" t="str">
        <f t="shared" si="25"/>
        <v>2|1004|2</v>
      </c>
      <c r="F71" s="39" t="str">
        <f t="shared" si="43"/>
        <v/>
      </c>
      <c r="G71" s="39" t="str">
        <f t="shared" si="44"/>
        <v/>
      </c>
      <c r="L71" s="1">
        <v>635</v>
      </c>
      <c r="M71" s="1">
        <f>SUM($L$5:L71)</f>
        <v>12823</v>
      </c>
      <c r="N71" s="429">
        <f t="shared" si="48"/>
        <v>53.429166666666667</v>
      </c>
      <c r="O71" s="1">
        <v>0.96</v>
      </c>
      <c r="P71" s="1">
        <f t="shared" si="45"/>
        <v>345.59999999999997</v>
      </c>
      <c r="Q71" s="1">
        <f t="shared" si="49"/>
        <v>219460</v>
      </c>
      <c r="T71" s="6" t="s">
        <v>1107</v>
      </c>
      <c r="U71" s="70">
        <f t="shared" si="27"/>
        <v>1</v>
      </c>
      <c r="V71" s="70">
        <f t="shared" si="28"/>
        <v>1</v>
      </c>
      <c r="W71" s="435">
        <v>4</v>
      </c>
      <c r="X71" s="68" t="s">
        <v>1139</v>
      </c>
      <c r="Y71" s="6">
        <f t="shared" si="29"/>
        <v>2</v>
      </c>
      <c r="Z71" s="6">
        <f t="shared" si="30"/>
        <v>1001</v>
      </c>
      <c r="AA71" s="6">
        <v>2</v>
      </c>
      <c r="AB71" s="68" t="s">
        <v>1143</v>
      </c>
      <c r="AC71" s="6">
        <f t="shared" si="31"/>
        <v>2</v>
      </c>
      <c r="AD71" s="6">
        <f t="shared" si="32"/>
        <v>1004</v>
      </c>
      <c r="AE71" s="6">
        <v>2</v>
      </c>
    </row>
    <row r="72" spans="1:31" x14ac:dyDescent="0.35">
      <c r="A72" s="1">
        <v>68</v>
      </c>
      <c r="B72" s="83">
        <f t="shared" si="46"/>
        <v>221180</v>
      </c>
      <c r="C72" s="39" t="str">
        <f t="shared" si="47"/>
        <v>1|1|4</v>
      </c>
      <c r="D72" s="39" t="str">
        <f t="shared" si="24"/>
        <v>2|1002|2</v>
      </c>
      <c r="E72" s="39" t="str">
        <f t="shared" si="25"/>
        <v>2|1004|2</v>
      </c>
      <c r="F72" s="39" t="str">
        <f t="shared" si="43"/>
        <v/>
      </c>
      <c r="G72" s="39" t="str">
        <f t="shared" si="44"/>
        <v/>
      </c>
      <c r="L72" s="1">
        <v>640</v>
      </c>
      <c r="M72" s="1">
        <f>SUM($L$5:L72)</f>
        <v>13463</v>
      </c>
      <c r="N72" s="429">
        <f t="shared" si="48"/>
        <v>56.095833333333331</v>
      </c>
      <c r="O72" s="1">
        <v>0.96</v>
      </c>
      <c r="P72" s="1">
        <f t="shared" si="45"/>
        <v>345.59999999999997</v>
      </c>
      <c r="Q72" s="1">
        <f t="shared" si="49"/>
        <v>221180</v>
      </c>
      <c r="T72" s="6" t="s">
        <v>1107</v>
      </c>
      <c r="U72" s="70">
        <f t="shared" si="27"/>
        <v>1</v>
      </c>
      <c r="V72" s="70">
        <f t="shared" si="28"/>
        <v>1</v>
      </c>
      <c r="W72" s="435">
        <v>4</v>
      </c>
      <c r="X72" s="68" t="s">
        <v>1140</v>
      </c>
      <c r="Y72" s="6">
        <f t="shared" si="29"/>
        <v>2</v>
      </c>
      <c r="Z72" s="6">
        <f t="shared" si="30"/>
        <v>1002</v>
      </c>
      <c r="AA72" s="6">
        <v>2</v>
      </c>
      <c r="AB72" s="68" t="s">
        <v>1143</v>
      </c>
      <c r="AC72" s="6">
        <f t="shared" si="31"/>
        <v>2</v>
      </c>
      <c r="AD72" s="6">
        <f t="shared" si="32"/>
        <v>1004</v>
      </c>
      <c r="AE72" s="6">
        <v>2</v>
      </c>
    </row>
    <row r="73" spans="1:31" x14ac:dyDescent="0.35">
      <c r="A73" s="1">
        <v>69</v>
      </c>
      <c r="B73" s="83">
        <f t="shared" si="46"/>
        <v>222910</v>
      </c>
      <c r="C73" s="39" t="str">
        <f t="shared" si="47"/>
        <v>1|1|4</v>
      </c>
      <c r="D73" s="39" t="str">
        <f t="shared" si="24"/>
        <v>2|1001|2</v>
      </c>
      <c r="E73" s="39" t="str">
        <f t="shared" si="25"/>
        <v>2|1003|1</v>
      </c>
      <c r="F73" s="39" t="str">
        <f t="shared" si="43"/>
        <v/>
      </c>
      <c r="G73" s="39" t="str">
        <f t="shared" si="44"/>
        <v/>
      </c>
      <c r="L73" s="1">
        <v>645</v>
      </c>
      <c r="M73" s="430">
        <f>SUM($L$5:L73)</f>
        <v>14108</v>
      </c>
      <c r="N73" s="429">
        <f t="shared" si="48"/>
        <v>58.783333333333331</v>
      </c>
      <c r="O73" s="1">
        <v>0.96</v>
      </c>
      <c r="P73" s="1">
        <f t="shared" si="45"/>
        <v>345.59999999999997</v>
      </c>
      <c r="Q73" s="1">
        <f t="shared" si="49"/>
        <v>222910</v>
      </c>
      <c r="T73" s="6" t="s">
        <v>1107</v>
      </c>
      <c r="U73" s="70">
        <f t="shared" si="27"/>
        <v>1</v>
      </c>
      <c r="V73" s="70">
        <f t="shared" si="28"/>
        <v>1</v>
      </c>
      <c r="W73" s="435">
        <v>4</v>
      </c>
      <c r="X73" s="68" t="s">
        <v>1139</v>
      </c>
      <c r="Y73" s="6">
        <f t="shared" si="29"/>
        <v>2</v>
      </c>
      <c r="Z73" s="6">
        <f t="shared" si="30"/>
        <v>1001</v>
      </c>
      <c r="AA73" s="6">
        <v>2</v>
      </c>
      <c r="AB73" s="68" t="s">
        <v>1144</v>
      </c>
      <c r="AC73" s="6">
        <f t="shared" si="31"/>
        <v>2</v>
      </c>
      <c r="AD73" s="6">
        <f t="shared" si="32"/>
        <v>1003</v>
      </c>
      <c r="AE73" s="6">
        <v>1</v>
      </c>
    </row>
    <row r="74" spans="1:31" x14ac:dyDescent="0.35">
      <c r="A74" s="1">
        <v>70</v>
      </c>
      <c r="B74" s="83">
        <f t="shared" si="46"/>
        <v>233280</v>
      </c>
      <c r="C74" s="39" t="str">
        <f t="shared" si="47"/>
        <v>1|1|4</v>
      </c>
      <c r="D74" s="39" t="str">
        <f t="shared" si="24"/>
        <v>2|1002|3</v>
      </c>
      <c r="E74" s="39" t="str">
        <f t="shared" si="25"/>
        <v>2|1004|3</v>
      </c>
      <c r="F74" s="39" t="str">
        <f t="shared" si="43"/>
        <v/>
      </c>
      <c r="G74" s="39" t="str">
        <f t="shared" si="44"/>
        <v/>
      </c>
      <c r="L74" s="1">
        <v>675</v>
      </c>
      <c r="M74" s="1">
        <f>SUM($L$5:L74)</f>
        <v>14783</v>
      </c>
      <c r="N74" s="429">
        <f t="shared" si="48"/>
        <v>61.595833333333331</v>
      </c>
      <c r="O74" s="1">
        <v>0.96</v>
      </c>
      <c r="P74" s="1">
        <f t="shared" si="45"/>
        <v>345.59999999999997</v>
      </c>
      <c r="Q74" s="1">
        <f t="shared" si="49"/>
        <v>233280</v>
      </c>
      <c r="T74" s="6" t="s">
        <v>1107</v>
      </c>
      <c r="U74" s="70">
        <f t="shared" si="27"/>
        <v>1</v>
      </c>
      <c r="V74" s="70">
        <f t="shared" si="28"/>
        <v>1</v>
      </c>
      <c r="W74" s="435">
        <v>4</v>
      </c>
      <c r="X74" s="68" t="s">
        <v>1140</v>
      </c>
      <c r="Y74" s="6">
        <f t="shared" si="29"/>
        <v>2</v>
      </c>
      <c r="Z74" s="6">
        <f t="shared" si="30"/>
        <v>1002</v>
      </c>
      <c r="AA74" s="6">
        <v>3</v>
      </c>
      <c r="AB74" s="68" t="s">
        <v>1143</v>
      </c>
      <c r="AC74" s="6">
        <f t="shared" si="31"/>
        <v>2</v>
      </c>
      <c r="AD74" s="6">
        <f t="shared" si="32"/>
        <v>1004</v>
      </c>
      <c r="AE74" s="6">
        <v>3</v>
      </c>
    </row>
    <row r="75" spans="1:31" x14ac:dyDescent="0.35">
      <c r="A75" s="1">
        <v>71</v>
      </c>
      <c r="B75" s="83">
        <f t="shared" si="46"/>
        <v>243650</v>
      </c>
      <c r="C75" s="39" t="str">
        <f t="shared" si="47"/>
        <v>1|1|4</v>
      </c>
      <c r="D75" s="39" t="str">
        <f t="shared" si="24"/>
        <v>2|1001|3</v>
      </c>
      <c r="E75" s="39" t="str">
        <f t="shared" si="25"/>
        <v>2|1002|3</v>
      </c>
      <c r="F75" s="39" t="str">
        <f t="shared" si="43"/>
        <v/>
      </c>
      <c r="G75" s="39" t="str">
        <f t="shared" si="44"/>
        <v/>
      </c>
      <c r="L75" s="1">
        <v>705</v>
      </c>
      <c r="M75" s="1">
        <f>SUM($L$5:L75)</f>
        <v>15488</v>
      </c>
      <c r="N75" s="429">
        <f t="shared" si="48"/>
        <v>64.533333333333331</v>
      </c>
      <c r="O75" s="1">
        <v>0.96</v>
      </c>
      <c r="P75" s="1">
        <f t="shared" si="45"/>
        <v>345.59999999999997</v>
      </c>
      <c r="Q75" s="1">
        <f t="shared" si="49"/>
        <v>243650</v>
      </c>
      <c r="T75" s="6" t="s">
        <v>1107</v>
      </c>
      <c r="U75" s="70">
        <f t="shared" si="27"/>
        <v>1</v>
      </c>
      <c r="V75" s="70">
        <f t="shared" si="28"/>
        <v>1</v>
      </c>
      <c r="W75" s="435">
        <v>4</v>
      </c>
      <c r="X75" s="68" t="s">
        <v>1139</v>
      </c>
      <c r="Y75" s="6">
        <f t="shared" si="29"/>
        <v>2</v>
      </c>
      <c r="Z75" s="6">
        <f t="shared" si="30"/>
        <v>1001</v>
      </c>
      <c r="AA75" s="6">
        <v>3</v>
      </c>
      <c r="AB75" s="68" t="s">
        <v>1140</v>
      </c>
      <c r="AC75" s="6">
        <f t="shared" si="31"/>
        <v>2</v>
      </c>
      <c r="AD75" s="6">
        <f t="shared" si="32"/>
        <v>1002</v>
      </c>
      <c r="AE75" s="6">
        <v>3</v>
      </c>
    </row>
    <row r="76" spans="1:31" x14ac:dyDescent="0.35">
      <c r="A76" s="1">
        <v>72</v>
      </c>
      <c r="B76" s="83">
        <f t="shared" si="46"/>
        <v>254020</v>
      </c>
      <c r="C76" s="39" t="str">
        <f t="shared" si="47"/>
        <v>1|1|4</v>
      </c>
      <c r="D76" s="39" t="str">
        <f t="shared" si="24"/>
        <v>2|1002|3</v>
      </c>
      <c r="E76" s="39" t="str">
        <f t="shared" si="25"/>
        <v>2|1004|3</v>
      </c>
      <c r="F76" s="39" t="str">
        <f t="shared" si="43"/>
        <v/>
      </c>
      <c r="G76" s="39" t="str">
        <f t="shared" si="44"/>
        <v/>
      </c>
      <c r="L76" s="1">
        <v>735</v>
      </c>
      <c r="M76" s="1">
        <f>SUM($L$5:L76)</f>
        <v>16223</v>
      </c>
      <c r="N76" s="429">
        <f t="shared" si="48"/>
        <v>67.595833333333331</v>
      </c>
      <c r="O76" s="1">
        <v>0.96</v>
      </c>
      <c r="P76" s="1">
        <f t="shared" si="45"/>
        <v>345.59999999999997</v>
      </c>
      <c r="Q76" s="1">
        <f t="shared" si="49"/>
        <v>254020</v>
      </c>
      <c r="T76" s="6" t="s">
        <v>1107</v>
      </c>
      <c r="U76" s="70">
        <f t="shared" si="27"/>
        <v>1</v>
      </c>
      <c r="V76" s="70">
        <f t="shared" si="28"/>
        <v>1</v>
      </c>
      <c r="W76" s="435">
        <v>4</v>
      </c>
      <c r="X76" s="68" t="s">
        <v>1140</v>
      </c>
      <c r="Y76" s="6">
        <f t="shared" si="29"/>
        <v>2</v>
      </c>
      <c r="Z76" s="6">
        <f t="shared" si="30"/>
        <v>1002</v>
      </c>
      <c r="AA76" s="6">
        <v>3</v>
      </c>
      <c r="AB76" s="68" t="s">
        <v>1143</v>
      </c>
      <c r="AC76" s="6">
        <f t="shared" si="31"/>
        <v>2</v>
      </c>
      <c r="AD76" s="6">
        <f t="shared" si="32"/>
        <v>1004</v>
      </c>
      <c r="AE76" s="6">
        <v>3</v>
      </c>
    </row>
    <row r="77" spans="1:31" x14ac:dyDescent="0.35">
      <c r="A77" s="1">
        <v>73</v>
      </c>
      <c r="B77" s="83">
        <f t="shared" si="46"/>
        <v>264380</v>
      </c>
      <c r="C77" s="39" t="str">
        <f t="shared" si="47"/>
        <v>1|1|4</v>
      </c>
      <c r="D77" s="39" t="str">
        <f t="shared" si="24"/>
        <v>2|1001|3</v>
      </c>
      <c r="E77" s="39" t="str">
        <f t="shared" si="25"/>
        <v>2|1004|3</v>
      </c>
      <c r="F77" s="39" t="str">
        <f t="shared" si="43"/>
        <v/>
      </c>
      <c r="G77" s="39" t="str">
        <f t="shared" si="44"/>
        <v/>
      </c>
      <c r="L77" s="1">
        <v>765</v>
      </c>
      <c r="M77" s="1">
        <f>SUM($L$5:L77)</f>
        <v>16988</v>
      </c>
      <c r="N77" s="429">
        <f t="shared" si="48"/>
        <v>70.783333333333331</v>
      </c>
      <c r="O77" s="1">
        <v>0.96</v>
      </c>
      <c r="P77" s="1">
        <f t="shared" si="45"/>
        <v>345.59999999999997</v>
      </c>
      <c r="Q77" s="1">
        <f t="shared" si="49"/>
        <v>264380</v>
      </c>
      <c r="T77" s="6" t="s">
        <v>1107</v>
      </c>
      <c r="U77" s="70">
        <f t="shared" si="27"/>
        <v>1</v>
      </c>
      <c r="V77" s="70">
        <f t="shared" si="28"/>
        <v>1</v>
      </c>
      <c r="W77" s="435">
        <v>4</v>
      </c>
      <c r="X77" s="68" t="s">
        <v>1139</v>
      </c>
      <c r="Y77" s="6">
        <f t="shared" si="29"/>
        <v>2</v>
      </c>
      <c r="Z77" s="6">
        <f t="shared" si="30"/>
        <v>1001</v>
      </c>
      <c r="AA77" s="6">
        <v>3</v>
      </c>
      <c r="AB77" s="68" t="s">
        <v>1143</v>
      </c>
      <c r="AC77" s="6">
        <f t="shared" si="31"/>
        <v>2</v>
      </c>
      <c r="AD77" s="6">
        <f t="shared" si="32"/>
        <v>1004</v>
      </c>
      <c r="AE77" s="6">
        <v>3</v>
      </c>
    </row>
    <row r="78" spans="1:31" x14ac:dyDescent="0.35">
      <c r="A78" s="1">
        <v>74</v>
      </c>
      <c r="B78" s="83">
        <f t="shared" si="46"/>
        <v>274750</v>
      </c>
      <c r="C78" s="39" t="str">
        <f t="shared" si="47"/>
        <v>1|1|4</v>
      </c>
      <c r="D78" s="39" t="str">
        <f t="shared" si="24"/>
        <v>2|1002|3</v>
      </c>
      <c r="E78" s="39" t="str">
        <f t="shared" si="25"/>
        <v>2|1003|1</v>
      </c>
      <c r="F78" s="39" t="str">
        <f t="shared" si="43"/>
        <v/>
      </c>
      <c r="G78" s="39" t="str">
        <f t="shared" si="44"/>
        <v/>
      </c>
      <c r="L78" s="1">
        <v>795</v>
      </c>
      <c r="M78" s="1">
        <f>SUM($L$5:L78)</f>
        <v>17783</v>
      </c>
      <c r="N78" s="429">
        <f t="shared" si="48"/>
        <v>74.095833333333331</v>
      </c>
      <c r="O78" s="1">
        <v>0.96</v>
      </c>
      <c r="P78" s="1">
        <f t="shared" si="45"/>
        <v>345.59999999999997</v>
      </c>
      <c r="Q78" s="1">
        <f t="shared" si="49"/>
        <v>274750</v>
      </c>
      <c r="T78" s="6" t="s">
        <v>1107</v>
      </c>
      <c r="U78" s="70">
        <f t="shared" si="27"/>
        <v>1</v>
      </c>
      <c r="V78" s="70">
        <f t="shared" si="28"/>
        <v>1</v>
      </c>
      <c r="W78" s="435">
        <v>4</v>
      </c>
      <c r="X78" s="68" t="s">
        <v>1140</v>
      </c>
      <c r="Y78" s="6">
        <f t="shared" si="29"/>
        <v>2</v>
      </c>
      <c r="Z78" s="6">
        <f t="shared" si="30"/>
        <v>1002</v>
      </c>
      <c r="AA78" s="6">
        <v>3</v>
      </c>
      <c r="AB78" s="68" t="s">
        <v>1144</v>
      </c>
      <c r="AC78" s="6">
        <f t="shared" si="31"/>
        <v>2</v>
      </c>
      <c r="AD78" s="6">
        <f t="shared" si="32"/>
        <v>1003</v>
      </c>
      <c r="AE78" s="6">
        <v>1</v>
      </c>
    </row>
    <row r="79" spans="1:31" x14ac:dyDescent="0.35">
      <c r="A79" s="1">
        <v>75</v>
      </c>
      <c r="B79" s="83">
        <f t="shared" si="46"/>
        <v>285120</v>
      </c>
      <c r="C79" s="39" t="str">
        <f t="shared" si="47"/>
        <v>1|1|4</v>
      </c>
      <c r="D79" s="39" t="str">
        <f t="shared" si="24"/>
        <v>2|1001|3</v>
      </c>
      <c r="E79" s="39" t="str">
        <f t="shared" si="25"/>
        <v>2|1002|3</v>
      </c>
      <c r="F79" s="39" t="str">
        <f t="shared" si="43"/>
        <v/>
      </c>
      <c r="G79" s="39" t="str">
        <f t="shared" si="44"/>
        <v/>
      </c>
      <c r="L79" s="1">
        <v>825</v>
      </c>
      <c r="M79" s="1">
        <f>SUM($L$5:L79)</f>
        <v>18608</v>
      </c>
      <c r="N79" s="429">
        <f t="shared" si="48"/>
        <v>77.533333333333331</v>
      </c>
      <c r="O79" s="1">
        <v>0.96</v>
      </c>
      <c r="P79" s="1">
        <f t="shared" si="45"/>
        <v>345.59999999999997</v>
      </c>
      <c r="Q79" s="1">
        <f t="shared" si="49"/>
        <v>285120</v>
      </c>
      <c r="T79" s="6" t="s">
        <v>1107</v>
      </c>
      <c r="U79" s="70">
        <f t="shared" si="27"/>
        <v>1</v>
      </c>
      <c r="V79" s="70">
        <f t="shared" si="28"/>
        <v>1</v>
      </c>
      <c r="W79" s="435">
        <v>4</v>
      </c>
      <c r="X79" s="68" t="s">
        <v>1139</v>
      </c>
      <c r="Y79" s="6">
        <f t="shared" si="29"/>
        <v>2</v>
      </c>
      <c r="Z79" s="6">
        <f t="shared" si="30"/>
        <v>1001</v>
      </c>
      <c r="AA79" s="6">
        <v>3</v>
      </c>
      <c r="AB79" s="68" t="s">
        <v>1140</v>
      </c>
      <c r="AC79" s="6">
        <f t="shared" si="31"/>
        <v>2</v>
      </c>
      <c r="AD79" s="6">
        <f t="shared" si="32"/>
        <v>1002</v>
      </c>
      <c r="AE79" s="6">
        <v>3</v>
      </c>
    </row>
    <row r="80" spans="1:31" x14ac:dyDescent="0.35">
      <c r="A80" s="1">
        <v>76</v>
      </c>
      <c r="B80" s="83">
        <f t="shared" si="46"/>
        <v>295490</v>
      </c>
      <c r="C80" s="39" t="str">
        <f t="shared" si="47"/>
        <v>1|1|4</v>
      </c>
      <c r="D80" s="39" t="str">
        <f t="shared" si="24"/>
        <v>2|1002|3</v>
      </c>
      <c r="E80" s="39" t="str">
        <f t="shared" si="25"/>
        <v>2|1004|3</v>
      </c>
      <c r="F80" s="39" t="str">
        <f t="shared" si="43"/>
        <v/>
      </c>
      <c r="G80" s="39" t="str">
        <f t="shared" si="44"/>
        <v/>
      </c>
      <c r="L80" s="1">
        <v>855</v>
      </c>
      <c r="M80" s="1">
        <f>SUM($L$5:L80)</f>
        <v>19463</v>
      </c>
      <c r="N80" s="429">
        <f t="shared" si="48"/>
        <v>81.095833333333331</v>
      </c>
      <c r="O80" s="1">
        <v>0.96</v>
      </c>
      <c r="P80" s="1">
        <f t="shared" si="45"/>
        <v>345.59999999999997</v>
      </c>
      <c r="Q80" s="1">
        <f t="shared" si="49"/>
        <v>295490</v>
      </c>
      <c r="T80" s="6" t="s">
        <v>1107</v>
      </c>
      <c r="U80" s="70">
        <f t="shared" si="27"/>
        <v>1</v>
      </c>
      <c r="V80" s="70">
        <f t="shared" si="28"/>
        <v>1</v>
      </c>
      <c r="W80" s="435">
        <v>4</v>
      </c>
      <c r="X80" s="68" t="s">
        <v>1140</v>
      </c>
      <c r="Y80" s="6">
        <f t="shared" si="29"/>
        <v>2</v>
      </c>
      <c r="Z80" s="6">
        <f t="shared" si="30"/>
        <v>1002</v>
      </c>
      <c r="AA80" s="6">
        <v>3</v>
      </c>
      <c r="AB80" s="68" t="s">
        <v>1143</v>
      </c>
      <c r="AC80" s="6">
        <f t="shared" si="31"/>
        <v>2</v>
      </c>
      <c r="AD80" s="6">
        <f t="shared" si="32"/>
        <v>1004</v>
      </c>
      <c r="AE80" s="6">
        <v>3</v>
      </c>
    </row>
    <row r="81" spans="1:31" x14ac:dyDescent="0.35">
      <c r="A81" s="1">
        <v>77</v>
      </c>
      <c r="B81" s="83">
        <f t="shared" si="46"/>
        <v>305860</v>
      </c>
      <c r="C81" s="39" t="str">
        <f t="shared" si="47"/>
        <v>1|1|4</v>
      </c>
      <c r="D81" s="39" t="str">
        <f t="shared" si="24"/>
        <v>2|1001|3</v>
      </c>
      <c r="E81" s="39" t="str">
        <f t="shared" si="25"/>
        <v>2|1004|3</v>
      </c>
      <c r="F81" s="39" t="str">
        <f t="shared" si="43"/>
        <v/>
      </c>
      <c r="G81" s="39" t="str">
        <f t="shared" si="44"/>
        <v/>
      </c>
      <c r="L81" s="1">
        <v>885</v>
      </c>
      <c r="M81" s="1">
        <f>SUM($L$5:L81)</f>
        <v>20348</v>
      </c>
      <c r="N81" s="429">
        <f t="shared" si="48"/>
        <v>84.783333333333331</v>
      </c>
      <c r="O81" s="1">
        <v>0.96</v>
      </c>
      <c r="P81" s="1">
        <f t="shared" si="45"/>
        <v>345.59999999999997</v>
      </c>
      <c r="Q81" s="1">
        <f t="shared" si="49"/>
        <v>305860</v>
      </c>
      <c r="T81" s="6" t="s">
        <v>1107</v>
      </c>
      <c r="U81" s="70">
        <f t="shared" si="27"/>
        <v>1</v>
      </c>
      <c r="V81" s="70">
        <f t="shared" si="28"/>
        <v>1</v>
      </c>
      <c r="W81" s="435">
        <v>4</v>
      </c>
      <c r="X81" s="68" t="s">
        <v>1139</v>
      </c>
      <c r="Y81" s="6">
        <f t="shared" si="29"/>
        <v>2</v>
      </c>
      <c r="Z81" s="6">
        <f t="shared" si="30"/>
        <v>1001</v>
      </c>
      <c r="AA81" s="6">
        <v>3</v>
      </c>
      <c r="AB81" s="68" t="s">
        <v>1143</v>
      </c>
      <c r="AC81" s="6">
        <f t="shared" si="31"/>
        <v>2</v>
      </c>
      <c r="AD81" s="6">
        <f t="shared" si="32"/>
        <v>1004</v>
      </c>
      <c r="AE81" s="6">
        <v>3</v>
      </c>
    </row>
    <row r="82" spans="1:31" x14ac:dyDescent="0.35">
      <c r="A82" s="1">
        <v>78</v>
      </c>
      <c r="B82" s="83">
        <f t="shared" si="46"/>
        <v>316220</v>
      </c>
      <c r="C82" s="39" t="str">
        <f t="shared" si="47"/>
        <v>1|1|4</v>
      </c>
      <c r="D82" s="39" t="str">
        <f t="shared" si="24"/>
        <v>2|1002|3</v>
      </c>
      <c r="E82" s="39" t="str">
        <f t="shared" si="25"/>
        <v>2|1004|3</v>
      </c>
      <c r="F82" s="39" t="str">
        <f t="shared" si="43"/>
        <v/>
      </c>
      <c r="G82" s="39" t="str">
        <f t="shared" si="44"/>
        <v/>
      </c>
      <c r="L82" s="1">
        <v>915</v>
      </c>
      <c r="M82" s="1">
        <f>SUM($L$5:L82)</f>
        <v>21263</v>
      </c>
      <c r="N82" s="429">
        <f t="shared" si="48"/>
        <v>88.595833333333331</v>
      </c>
      <c r="O82" s="1">
        <v>0.96</v>
      </c>
      <c r="P82" s="1">
        <f t="shared" si="45"/>
        <v>345.59999999999997</v>
      </c>
      <c r="Q82" s="1">
        <f t="shared" si="49"/>
        <v>316220</v>
      </c>
      <c r="T82" s="6" t="s">
        <v>1107</v>
      </c>
      <c r="U82" s="70">
        <f t="shared" si="27"/>
        <v>1</v>
      </c>
      <c r="V82" s="70">
        <f t="shared" si="28"/>
        <v>1</v>
      </c>
      <c r="W82" s="435">
        <v>4</v>
      </c>
      <c r="X82" s="68" t="s">
        <v>1140</v>
      </c>
      <c r="Y82" s="6">
        <f t="shared" si="29"/>
        <v>2</v>
      </c>
      <c r="Z82" s="6">
        <f t="shared" si="30"/>
        <v>1002</v>
      </c>
      <c r="AA82" s="6">
        <v>3</v>
      </c>
      <c r="AB82" s="68" t="s">
        <v>1143</v>
      </c>
      <c r="AC82" s="6">
        <f t="shared" si="31"/>
        <v>2</v>
      </c>
      <c r="AD82" s="6">
        <f t="shared" si="32"/>
        <v>1004</v>
      </c>
      <c r="AE82" s="6">
        <v>3</v>
      </c>
    </row>
    <row r="83" spans="1:31" x14ac:dyDescent="0.35">
      <c r="A83" s="1">
        <v>79</v>
      </c>
      <c r="B83" s="83">
        <f t="shared" si="46"/>
        <v>328320</v>
      </c>
      <c r="C83" s="39" t="str">
        <f t="shared" si="47"/>
        <v>1|1|4</v>
      </c>
      <c r="D83" s="39" t="str">
        <f t="shared" si="24"/>
        <v>2|1001|3</v>
      </c>
      <c r="E83" s="39" t="str">
        <f t="shared" si="25"/>
        <v>2|1003|1</v>
      </c>
      <c r="F83" s="39" t="str">
        <f t="shared" si="43"/>
        <v/>
      </c>
      <c r="G83" s="39" t="str">
        <f t="shared" si="44"/>
        <v/>
      </c>
      <c r="L83" s="1">
        <v>950</v>
      </c>
      <c r="M83" s="430">
        <f>SUM($L$5:L83)</f>
        <v>22213</v>
      </c>
      <c r="N83" s="429">
        <f t="shared" si="48"/>
        <v>92.55416666666666</v>
      </c>
      <c r="O83" s="1">
        <v>0.96</v>
      </c>
      <c r="P83" s="1">
        <f t="shared" si="45"/>
        <v>345.59999999999997</v>
      </c>
      <c r="Q83" s="1">
        <f t="shared" si="49"/>
        <v>328320</v>
      </c>
      <c r="T83" s="6" t="s">
        <v>1107</v>
      </c>
      <c r="U83" s="70">
        <f t="shared" si="27"/>
        <v>1</v>
      </c>
      <c r="V83" s="70">
        <f t="shared" si="28"/>
        <v>1</v>
      </c>
      <c r="W83" s="435">
        <v>4</v>
      </c>
      <c r="X83" s="68" t="s">
        <v>1139</v>
      </c>
      <c r="Y83" s="6">
        <f t="shared" si="29"/>
        <v>2</v>
      </c>
      <c r="Z83" s="6">
        <f t="shared" si="30"/>
        <v>1001</v>
      </c>
      <c r="AA83" s="6">
        <v>3</v>
      </c>
      <c r="AB83" s="68" t="s">
        <v>1144</v>
      </c>
      <c r="AC83" s="6">
        <f t="shared" si="31"/>
        <v>2</v>
      </c>
      <c r="AD83" s="6">
        <f t="shared" si="32"/>
        <v>1003</v>
      </c>
      <c r="AE83" s="6">
        <v>1</v>
      </c>
    </row>
    <row r="84" spans="1:31" x14ac:dyDescent="0.35">
      <c r="A84" s="1">
        <v>80</v>
      </c>
      <c r="B84" s="83">
        <f t="shared" si="46"/>
        <v>362880</v>
      </c>
      <c r="C84" s="39" t="str">
        <f t="shared" si="47"/>
        <v>1|1|4</v>
      </c>
      <c r="D84" s="39" t="str">
        <f t="shared" si="24"/>
        <v>2|1002|3</v>
      </c>
      <c r="E84" s="39" t="str">
        <f t="shared" si="25"/>
        <v>2|1004|3</v>
      </c>
      <c r="F84" s="39" t="str">
        <f t="shared" si="43"/>
        <v/>
      </c>
      <c r="G84" s="39" t="str">
        <f t="shared" si="44"/>
        <v/>
      </c>
      <c r="L84" s="1">
        <v>1050</v>
      </c>
      <c r="M84" s="1">
        <f>SUM($L$5:L84)</f>
        <v>23263</v>
      </c>
      <c r="N84" s="429">
        <f t="shared" si="48"/>
        <v>96.92916666666666</v>
      </c>
      <c r="O84" s="1">
        <v>0.96</v>
      </c>
      <c r="P84" s="1">
        <f t="shared" si="45"/>
        <v>345.59999999999997</v>
      </c>
      <c r="Q84" s="1">
        <f t="shared" si="49"/>
        <v>362880</v>
      </c>
      <c r="T84" s="6" t="s">
        <v>1107</v>
      </c>
      <c r="U84" s="70">
        <f t="shared" si="27"/>
        <v>1</v>
      </c>
      <c r="V84" s="70">
        <f t="shared" si="28"/>
        <v>1</v>
      </c>
      <c r="W84" s="435">
        <v>4</v>
      </c>
      <c r="X84" s="68" t="s">
        <v>1140</v>
      </c>
      <c r="Y84" s="6">
        <f t="shared" si="29"/>
        <v>2</v>
      </c>
      <c r="Z84" s="6">
        <f t="shared" si="30"/>
        <v>1002</v>
      </c>
      <c r="AA84" s="6">
        <v>3</v>
      </c>
      <c r="AB84" s="68" t="s">
        <v>1143</v>
      </c>
      <c r="AC84" s="6">
        <f t="shared" si="31"/>
        <v>2</v>
      </c>
      <c r="AD84" s="6">
        <f t="shared" si="32"/>
        <v>1004</v>
      </c>
      <c r="AE84" s="6">
        <v>3</v>
      </c>
    </row>
    <row r="85" spans="1:31" x14ac:dyDescent="0.35">
      <c r="A85" s="1">
        <v>81</v>
      </c>
      <c r="B85" s="83">
        <f t="shared" si="46"/>
        <v>397440</v>
      </c>
      <c r="C85" s="39" t="str">
        <f t="shared" si="47"/>
        <v>1|1|4</v>
      </c>
      <c r="D85" s="39" t="str">
        <f t="shared" si="24"/>
        <v>2|1001|3</v>
      </c>
      <c r="E85" s="39" t="str">
        <f t="shared" si="25"/>
        <v>2|1002|3</v>
      </c>
      <c r="F85" s="39" t="str">
        <f t="shared" si="43"/>
        <v/>
      </c>
      <c r="G85" s="39" t="str">
        <f t="shared" si="44"/>
        <v/>
      </c>
      <c r="L85" s="1">
        <v>1150</v>
      </c>
      <c r="M85" s="1">
        <f>SUM($L$5:L85)</f>
        <v>24413</v>
      </c>
      <c r="N85" s="429">
        <f t="shared" si="48"/>
        <v>101.72083333333333</v>
      </c>
      <c r="O85" s="1">
        <v>0.96</v>
      </c>
      <c r="P85" s="1">
        <f t="shared" si="45"/>
        <v>345.59999999999997</v>
      </c>
      <c r="Q85" s="1">
        <f t="shared" si="49"/>
        <v>397440</v>
      </c>
      <c r="T85" s="6" t="s">
        <v>1107</v>
      </c>
      <c r="U85" s="70">
        <f t="shared" ref="U85:U94" si="50">VLOOKUP(T85,AU:AZ,4,0)</f>
        <v>1</v>
      </c>
      <c r="V85" s="70">
        <f t="shared" ref="V85:V94" si="51">VLOOKUP(T85,AU:AZ,5,0)</f>
        <v>1</v>
      </c>
      <c r="W85" s="435">
        <v>4</v>
      </c>
      <c r="X85" s="68" t="s">
        <v>1139</v>
      </c>
      <c r="Y85" s="6">
        <f t="shared" ref="Y85:Y94" si="52">VLOOKUP(X85,AU:AZ,4,0)</f>
        <v>2</v>
      </c>
      <c r="Z85" s="6">
        <f t="shared" ref="Z85:Z94" si="53">VLOOKUP(X85,AU:AZ,5,0)</f>
        <v>1001</v>
      </c>
      <c r="AA85" s="6">
        <v>3</v>
      </c>
      <c r="AB85" s="68" t="s">
        <v>1140</v>
      </c>
      <c r="AC85" s="6">
        <f t="shared" ref="AC85:AC94" si="54">VLOOKUP(AB85,AU:AZ,4,0)</f>
        <v>2</v>
      </c>
      <c r="AD85" s="6">
        <f t="shared" ref="AD85:AD94" si="55">VLOOKUP(AB85,AU:AZ,5,0)</f>
        <v>1002</v>
      </c>
      <c r="AE85" s="6">
        <v>3</v>
      </c>
    </row>
    <row r="86" spans="1:31" x14ac:dyDescent="0.35">
      <c r="A86" s="1">
        <v>82</v>
      </c>
      <c r="B86" s="83">
        <f t="shared" si="46"/>
        <v>432000</v>
      </c>
      <c r="C86" s="39" t="str">
        <f t="shared" si="47"/>
        <v>1|1|4</v>
      </c>
      <c r="D86" s="39" t="str">
        <f t="shared" si="24"/>
        <v>2|1002|3</v>
      </c>
      <c r="E86" s="39" t="str">
        <f t="shared" si="25"/>
        <v>2|1004|3</v>
      </c>
      <c r="F86" s="39" t="str">
        <f t="shared" si="43"/>
        <v/>
      </c>
      <c r="G86" s="39" t="str">
        <f t="shared" si="44"/>
        <v/>
      </c>
      <c r="L86" s="1">
        <v>1250</v>
      </c>
      <c r="M86" s="1">
        <f>SUM($L$5:L86)</f>
        <v>25663</v>
      </c>
      <c r="N86" s="429">
        <f t="shared" si="48"/>
        <v>106.92916666666666</v>
      </c>
      <c r="O86" s="1">
        <v>0.96</v>
      </c>
      <c r="P86" s="1">
        <f t="shared" si="45"/>
        <v>345.59999999999997</v>
      </c>
      <c r="Q86" s="1">
        <f t="shared" si="49"/>
        <v>432000</v>
      </c>
      <c r="T86" s="6" t="s">
        <v>1107</v>
      </c>
      <c r="U86" s="70">
        <f t="shared" si="50"/>
        <v>1</v>
      </c>
      <c r="V86" s="70">
        <f t="shared" si="51"/>
        <v>1</v>
      </c>
      <c r="W86" s="435">
        <v>4</v>
      </c>
      <c r="X86" s="68" t="s">
        <v>1140</v>
      </c>
      <c r="Y86" s="6">
        <f t="shared" si="52"/>
        <v>2</v>
      </c>
      <c r="Z86" s="6">
        <f t="shared" si="53"/>
        <v>1002</v>
      </c>
      <c r="AA86" s="6">
        <v>3</v>
      </c>
      <c r="AB86" s="68" t="s">
        <v>1143</v>
      </c>
      <c r="AC86" s="6">
        <f t="shared" si="54"/>
        <v>2</v>
      </c>
      <c r="AD86" s="6">
        <f t="shared" si="55"/>
        <v>1004</v>
      </c>
      <c r="AE86" s="6">
        <v>3</v>
      </c>
    </row>
    <row r="87" spans="1:31" x14ac:dyDescent="0.35">
      <c r="A87" s="1">
        <v>83</v>
      </c>
      <c r="B87" s="83">
        <f t="shared" si="46"/>
        <v>466560</v>
      </c>
      <c r="C87" s="39" t="str">
        <f t="shared" si="47"/>
        <v>1|1|4</v>
      </c>
      <c r="D87" s="39" t="str">
        <f t="shared" si="24"/>
        <v>2|1001|3</v>
      </c>
      <c r="E87" s="39" t="str">
        <f t="shared" si="25"/>
        <v>2|1004|3</v>
      </c>
      <c r="F87" s="39" t="str">
        <f t="shared" si="43"/>
        <v/>
      </c>
      <c r="G87" s="39" t="str">
        <f t="shared" si="44"/>
        <v/>
      </c>
      <c r="L87" s="1">
        <v>1350</v>
      </c>
      <c r="M87" s="1">
        <f>SUM($L$5:L87)</f>
        <v>27013</v>
      </c>
      <c r="N87" s="429">
        <f t="shared" si="48"/>
        <v>112.55416666666666</v>
      </c>
      <c r="O87" s="1">
        <v>0.96</v>
      </c>
      <c r="P87" s="1">
        <f t="shared" si="45"/>
        <v>345.59999999999997</v>
      </c>
      <c r="Q87" s="1">
        <f t="shared" si="49"/>
        <v>466560</v>
      </c>
      <c r="T87" s="6" t="s">
        <v>1107</v>
      </c>
      <c r="U87" s="70">
        <f t="shared" si="50"/>
        <v>1</v>
      </c>
      <c r="V87" s="70">
        <f t="shared" si="51"/>
        <v>1</v>
      </c>
      <c r="W87" s="435">
        <v>4</v>
      </c>
      <c r="X87" s="68" t="s">
        <v>1139</v>
      </c>
      <c r="Y87" s="6">
        <f t="shared" si="52"/>
        <v>2</v>
      </c>
      <c r="Z87" s="6">
        <f t="shared" si="53"/>
        <v>1001</v>
      </c>
      <c r="AA87" s="6">
        <v>3</v>
      </c>
      <c r="AB87" s="68" t="s">
        <v>1143</v>
      </c>
      <c r="AC87" s="6">
        <f t="shared" si="54"/>
        <v>2</v>
      </c>
      <c r="AD87" s="6">
        <f t="shared" si="55"/>
        <v>1004</v>
      </c>
      <c r="AE87" s="6">
        <v>3</v>
      </c>
    </row>
    <row r="88" spans="1:31" x14ac:dyDescent="0.35">
      <c r="A88" s="1">
        <v>84</v>
      </c>
      <c r="B88" s="83">
        <f t="shared" si="46"/>
        <v>501120</v>
      </c>
      <c r="C88" s="39" t="str">
        <f t="shared" si="47"/>
        <v>1|1|4</v>
      </c>
      <c r="D88" s="39" t="str">
        <f t="shared" si="24"/>
        <v>2|1002|3</v>
      </c>
      <c r="E88" s="39" t="str">
        <f t="shared" si="25"/>
        <v>2|1003|1</v>
      </c>
      <c r="F88" s="39" t="str">
        <f t="shared" si="43"/>
        <v/>
      </c>
      <c r="G88" s="39" t="str">
        <f t="shared" si="44"/>
        <v/>
      </c>
      <c r="L88" s="1">
        <v>1450</v>
      </c>
      <c r="M88" s="1">
        <f>SUM($L$5:L88)</f>
        <v>28463</v>
      </c>
      <c r="N88" s="429">
        <f t="shared" si="48"/>
        <v>118.59583333333333</v>
      </c>
      <c r="O88" s="1">
        <v>0.96</v>
      </c>
      <c r="P88" s="1">
        <f t="shared" si="45"/>
        <v>345.59999999999997</v>
      </c>
      <c r="Q88" s="1">
        <f t="shared" si="49"/>
        <v>501120</v>
      </c>
      <c r="T88" s="6" t="s">
        <v>1107</v>
      </c>
      <c r="U88" s="70">
        <f t="shared" si="50"/>
        <v>1</v>
      </c>
      <c r="V88" s="70">
        <f t="shared" si="51"/>
        <v>1</v>
      </c>
      <c r="W88" s="435">
        <v>4</v>
      </c>
      <c r="X88" s="68" t="s">
        <v>1140</v>
      </c>
      <c r="Y88" s="6">
        <f t="shared" si="52"/>
        <v>2</v>
      </c>
      <c r="Z88" s="6">
        <f t="shared" si="53"/>
        <v>1002</v>
      </c>
      <c r="AA88" s="6">
        <v>3</v>
      </c>
      <c r="AB88" s="68" t="s">
        <v>1144</v>
      </c>
      <c r="AC88" s="6">
        <f t="shared" si="54"/>
        <v>2</v>
      </c>
      <c r="AD88" s="6">
        <f t="shared" si="55"/>
        <v>1003</v>
      </c>
      <c r="AE88" s="6">
        <v>1</v>
      </c>
    </row>
    <row r="89" spans="1:31" x14ac:dyDescent="0.35">
      <c r="A89" s="1">
        <v>85</v>
      </c>
      <c r="B89" s="83">
        <f t="shared" si="46"/>
        <v>535680</v>
      </c>
      <c r="C89" s="39" t="str">
        <f t="shared" si="47"/>
        <v>1|1|4</v>
      </c>
      <c r="D89" s="39" t="str">
        <f t="shared" si="24"/>
        <v>2|1001|3</v>
      </c>
      <c r="E89" s="39" t="str">
        <f t="shared" si="25"/>
        <v>2|1002|3</v>
      </c>
      <c r="F89" s="39" t="str">
        <f t="shared" si="43"/>
        <v/>
      </c>
      <c r="G89" s="39" t="str">
        <f t="shared" si="44"/>
        <v/>
      </c>
      <c r="L89" s="1">
        <v>1550</v>
      </c>
      <c r="M89" s="1">
        <f>SUM($L$5:L89)</f>
        <v>30013</v>
      </c>
      <c r="N89" s="429">
        <f t="shared" si="48"/>
        <v>125.05416666666666</v>
      </c>
      <c r="O89" s="1">
        <v>0.96</v>
      </c>
      <c r="P89" s="1">
        <f t="shared" si="45"/>
        <v>345.59999999999997</v>
      </c>
      <c r="Q89" s="1">
        <f t="shared" si="49"/>
        <v>535680</v>
      </c>
      <c r="T89" s="6" t="s">
        <v>1107</v>
      </c>
      <c r="U89" s="70">
        <f t="shared" si="50"/>
        <v>1</v>
      </c>
      <c r="V89" s="70">
        <f t="shared" si="51"/>
        <v>1</v>
      </c>
      <c r="W89" s="435">
        <v>4</v>
      </c>
      <c r="X89" s="68" t="s">
        <v>1139</v>
      </c>
      <c r="Y89" s="6">
        <f t="shared" si="52"/>
        <v>2</v>
      </c>
      <c r="Z89" s="6">
        <f t="shared" si="53"/>
        <v>1001</v>
      </c>
      <c r="AA89" s="6">
        <v>3</v>
      </c>
      <c r="AB89" s="68" t="s">
        <v>1140</v>
      </c>
      <c r="AC89" s="6">
        <f t="shared" si="54"/>
        <v>2</v>
      </c>
      <c r="AD89" s="6">
        <f t="shared" si="55"/>
        <v>1002</v>
      </c>
      <c r="AE89" s="6">
        <v>3</v>
      </c>
    </row>
    <row r="90" spans="1:31" x14ac:dyDescent="0.35">
      <c r="A90" s="1">
        <v>86</v>
      </c>
      <c r="B90" s="83">
        <f t="shared" si="46"/>
        <v>570240</v>
      </c>
      <c r="C90" s="39" t="str">
        <f t="shared" si="47"/>
        <v>1|1|4</v>
      </c>
      <c r="D90" s="39" t="str">
        <f t="shared" si="24"/>
        <v>2|1002|3</v>
      </c>
      <c r="E90" s="39" t="str">
        <f t="shared" si="25"/>
        <v>2|1004|3</v>
      </c>
      <c r="F90" s="39" t="str">
        <f t="shared" si="43"/>
        <v/>
      </c>
      <c r="G90" s="39" t="str">
        <f t="shared" si="44"/>
        <v/>
      </c>
      <c r="L90" s="1">
        <v>1650</v>
      </c>
      <c r="M90" s="1">
        <f>SUM($L$5:L90)</f>
        <v>31663</v>
      </c>
      <c r="N90" s="429">
        <f t="shared" si="48"/>
        <v>131.92916666666667</v>
      </c>
      <c r="O90" s="1">
        <v>0.96</v>
      </c>
      <c r="P90" s="1">
        <f t="shared" si="45"/>
        <v>345.59999999999997</v>
      </c>
      <c r="Q90" s="1">
        <f t="shared" si="49"/>
        <v>570240</v>
      </c>
      <c r="T90" s="6" t="s">
        <v>1107</v>
      </c>
      <c r="U90" s="70">
        <f t="shared" si="50"/>
        <v>1</v>
      </c>
      <c r="V90" s="70">
        <f t="shared" si="51"/>
        <v>1</v>
      </c>
      <c r="W90" s="435">
        <v>4</v>
      </c>
      <c r="X90" s="68" t="s">
        <v>1140</v>
      </c>
      <c r="Y90" s="6">
        <f t="shared" si="52"/>
        <v>2</v>
      </c>
      <c r="Z90" s="6">
        <f t="shared" si="53"/>
        <v>1002</v>
      </c>
      <c r="AA90" s="6">
        <v>3</v>
      </c>
      <c r="AB90" s="68" t="s">
        <v>1143</v>
      </c>
      <c r="AC90" s="6">
        <f t="shared" si="54"/>
        <v>2</v>
      </c>
      <c r="AD90" s="6">
        <f t="shared" si="55"/>
        <v>1004</v>
      </c>
      <c r="AE90" s="6">
        <v>3</v>
      </c>
    </row>
    <row r="91" spans="1:31" x14ac:dyDescent="0.35">
      <c r="A91" s="1">
        <v>87</v>
      </c>
      <c r="B91" s="83">
        <f t="shared" si="46"/>
        <v>604800</v>
      </c>
      <c r="C91" s="39" t="str">
        <f t="shared" si="47"/>
        <v>1|1|4</v>
      </c>
      <c r="D91" s="39" t="str">
        <f t="shared" si="24"/>
        <v>2|1001|3</v>
      </c>
      <c r="E91" s="39" t="str">
        <f t="shared" si="25"/>
        <v>2|1004|3</v>
      </c>
      <c r="F91" s="39" t="str">
        <f t="shared" si="43"/>
        <v/>
      </c>
      <c r="G91" s="39" t="str">
        <f t="shared" si="44"/>
        <v/>
      </c>
      <c r="L91" s="1">
        <v>1750</v>
      </c>
      <c r="M91" s="1">
        <f>SUM($L$5:L91)</f>
        <v>33413</v>
      </c>
      <c r="N91" s="429">
        <f t="shared" si="48"/>
        <v>139.22083333333333</v>
      </c>
      <c r="O91" s="1">
        <v>0.96</v>
      </c>
      <c r="P91" s="1">
        <f t="shared" si="45"/>
        <v>345.59999999999997</v>
      </c>
      <c r="Q91" s="1">
        <f t="shared" si="49"/>
        <v>604800</v>
      </c>
      <c r="T91" s="6" t="s">
        <v>1107</v>
      </c>
      <c r="U91" s="70">
        <f t="shared" si="50"/>
        <v>1</v>
      </c>
      <c r="V91" s="70">
        <f t="shared" si="51"/>
        <v>1</v>
      </c>
      <c r="W91" s="435">
        <v>4</v>
      </c>
      <c r="X91" s="68" t="s">
        <v>1139</v>
      </c>
      <c r="Y91" s="6">
        <f t="shared" si="52"/>
        <v>2</v>
      </c>
      <c r="Z91" s="6">
        <f t="shared" si="53"/>
        <v>1001</v>
      </c>
      <c r="AA91" s="6">
        <v>3</v>
      </c>
      <c r="AB91" s="68" t="s">
        <v>1143</v>
      </c>
      <c r="AC91" s="6">
        <f t="shared" si="54"/>
        <v>2</v>
      </c>
      <c r="AD91" s="6">
        <f t="shared" si="55"/>
        <v>1004</v>
      </c>
      <c r="AE91" s="6">
        <v>3</v>
      </c>
    </row>
    <row r="92" spans="1:31" x14ac:dyDescent="0.35">
      <c r="A92" s="1">
        <v>88</v>
      </c>
      <c r="B92" s="83">
        <f t="shared" si="46"/>
        <v>639360</v>
      </c>
      <c r="C92" s="39" t="str">
        <f t="shared" si="47"/>
        <v>1|1|4</v>
      </c>
      <c r="D92" s="39" t="str">
        <f t="shared" si="24"/>
        <v>2|1002|3</v>
      </c>
      <c r="E92" s="39" t="str">
        <f t="shared" si="25"/>
        <v>2|1004|3</v>
      </c>
      <c r="F92" s="39" t="str">
        <f t="shared" si="43"/>
        <v/>
      </c>
      <c r="G92" s="39" t="str">
        <f t="shared" si="44"/>
        <v/>
      </c>
      <c r="L92" s="1">
        <v>1850</v>
      </c>
      <c r="M92" s="1">
        <f>SUM($L$5:L92)</f>
        <v>35263</v>
      </c>
      <c r="N92" s="429">
        <f t="shared" si="48"/>
        <v>146.92916666666667</v>
      </c>
      <c r="O92" s="1">
        <v>0.96</v>
      </c>
      <c r="P92" s="1">
        <f t="shared" si="45"/>
        <v>345.59999999999997</v>
      </c>
      <c r="Q92" s="1">
        <f t="shared" si="49"/>
        <v>639360</v>
      </c>
      <c r="T92" s="6" t="s">
        <v>1107</v>
      </c>
      <c r="U92" s="70">
        <f t="shared" si="50"/>
        <v>1</v>
      </c>
      <c r="V92" s="70">
        <f t="shared" si="51"/>
        <v>1</v>
      </c>
      <c r="W92" s="435">
        <v>4</v>
      </c>
      <c r="X92" s="68" t="s">
        <v>1140</v>
      </c>
      <c r="Y92" s="6">
        <f t="shared" si="52"/>
        <v>2</v>
      </c>
      <c r="Z92" s="6">
        <f t="shared" si="53"/>
        <v>1002</v>
      </c>
      <c r="AA92" s="6">
        <v>3</v>
      </c>
      <c r="AB92" s="68" t="s">
        <v>1143</v>
      </c>
      <c r="AC92" s="6">
        <f t="shared" si="54"/>
        <v>2</v>
      </c>
      <c r="AD92" s="6">
        <f t="shared" si="55"/>
        <v>1004</v>
      </c>
      <c r="AE92" s="6">
        <v>3</v>
      </c>
    </row>
    <row r="93" spans="1:31" x14ac:dyDescent="0.35">
      <c r="A93" s="1">
        <v>89</v>
      </c>
      <c r="B93" s="83">
        <f t="shared" si="46"/>
        <v>673920</v>
      </c>
      <c r="C93" s="39" t="str">
        <f t="shared" si="47"/>
        <v>1|1|4</v>
      </c>
      <c r="D93" s="39" t="str">
        <f t="shared" si="24"/>
        <v>2|1001|3</v>
      </c>
      <c r="E93" s="39" t="str">
        <f t="shared" si="25"/>
        <v>2|1003|1</v>
      </c>
      <c r="F93" s="39" t="str">
        <f t="shared" si="43"/>
        <v/>
      </c>
      <c r="G93" s="39" t="str">
        <f t="shared" si="44"/>
        <v/>
      </c>
      <c r="L93" s="1">
        <v>1950</v>
      </c>
      <c r="M93" s="430">
        <f>SUM($L$5:L93)</f>
        <v>37213</v>
      </c>
      <c r="N93" s="429">
        <f t="shared" si="48"/>
        <v>155.05416666666667</v>
      </c>
      <c r="O93" s="1">
        <v>0.96</v>
      </c>
      <c r="P93" s="1">
        <f t="shared" si="45"/>
        <v>345.59999999999997</v>
      </c>
      <c r="Q93" s="1">
        <f t="shared" si="49"/>
        <v>673920</v>
      </c>
      <c r="T93" s="6" t="s">
        <v>1107</v>
      </c>
      <c r="U93" s="70">
        <f t="shared" si="50"/>
        <v>1</v>
      </c>
      <c r="V93" s="70">
        <f t="shared" si="51"/>
        <v>1</v>
      </c>
      <c r="W93" s="435">
        <v>4</v>
      </c>
      <c r="X93" s="68" t="s">
        <v>1139</v>
      </c>
      <c r="Y93" s="6">
        <f t="shared" si="52"/>
        <v>2</v>
      </c>
      <c r="Z93" s="6">
        <f t="shared" si="53"/>
        <v>1001</v>
      </c>
      <c r="AA93" s="6">
        <v>3</v>
      </c>
      <c r="AB93" s="68" t="s">
        <v>1144</v>
      </c>
      <c r="AC93" s="6">
        <f t="shared" si="54"/>
        <v>2</v>
      </c>
      <c r="AD93" s="6">
        <f t="shared" si="55"/>
        <v>1003</v>
      </c>
      <c r="AE93" s="6">
        <v>1</v>
      </c>
    </row>
    <row r="94" spans="1:31" x14ac:dyDescent="0.35">
      <c r="A94" s="1">
        <v>90</v>
      </c>
      <c r="B94" s="83">
        <f t="shared" si="46"/>
        <v>743040</v>
      </c>
      <c r="C94" s="39" t="str">
        <f t="shared" si="47"/>
        <v>1|1|4</v>
      </c>
      <c r="D94" s="39" t="str">
        <f t="shared" si="24"/>
        <v>2|1002|3</v>
      </c>
      <c r="E94" s="39" t="str">
        <f t="shared" si="25"/>
        <v>2|1004|3</v>
      </c>
      <c r="F94" s="39" t="str">
        <f t="shared" si="43"/>
        <v/>
      </c>
      <c r="G94" s="39" t="str">
        <f t="shared" si="44"/>
        <v/>
      </c>
      <c r="L94" s="1">
        <v>2150</v>
      </c>
      <c r="M94" s="1">
        <f>SUM($L$5:L94)</f>
        <v>39363</v>
      </c>
      <c r="N94" s="429">
        <f t="shared" si="48"/>
        <v>164.01249999999999</v>
      </c>
      <c r="O94" s="1">
        <v>0.96</v>
      </c>
      <c r="P94" s="1">
        <f t="shared" si="45"/>
        <v>345.59999999999997</v>
      </c>
      <c r="Q94" s="1">
        <f t="shared" si="49"/>
        <v>743040</v>
      </c>
      <c r="T94" s="6" t="s">
        <v>1107</v>
      </c>
      <c r="U94" s="70">
        <f t="shared" si="50"/>
        <v>1</v>
      </c>
      <c r="V94" s="70">
        <f t="shared" si="51"/>
        <v>1</v>
      </c>
      <c r="W94" s="435">
        <v>4</v>
      </c>
      <c r="X94" s="68" t="s">
        <v>1140</v>
      </c>
      <c r="Y94" s="6">
        <f t="shared" si="52"/>
        <v>2</v>
      </c>
      <c r="Z94" s="6">
        <f t="shared" si="53"/>
        <v>1002</v>
      </c>
      <c r="AA94" s="6">
        <v>3</v>
      </c>
      <c r="AB94" s="68" t="s">
        <v>1143</v>
      </c>
      <c r="AC94" s="6">
        <f t="shared" si="54"/>
        <v>2</v>
      </c>
      <c r="AD94" s="6">
        <f t="shared" si="55"/>
        <v>1004</v>
      </c>
      <c r="AE94" s="6">
        <v>3</v>
      </c>
    </row>
    <row r="95" spans="1:31" x14ac:dyDescent="0.35">
      <c r="A95" s="1">
        <v>91</v>
      </c>
      <c r="B95" s="83">
        <f t="shared" si="46"/>
        <v>812160</v>
      </c>
      <c r="C95" s="39" t="str">
        <f t="shared" si="47"/>
        <v>1|1|4</v>
      </c>
      <c r="D95" s="39" t="str">
        <f t="shared" si="24"/>
        <v>2|1001|3</v>
      </c>
      <c r="E95" s="39" t="str">
        <f t="shared" si="25"/>
        <v>2|1002|3</v>
      </c>
      <c r="F95" s="39" t="str">
        <f t="shared" si="43"/>
        <v/>
      </c>
      <c r="G95" s="39" t="str">
        <f t="shared" si="44"/>
        <v/>
      </c>
      <c r="L95" s="1">
        <v>2350</v>
      </c>
      <c r="M95" s="1">
        <f>SUM($L$5:L95)</f>
        <v>41713</v>
      </c>
      <c r="N95" s="429">
        <f t="shared" si="48"/>
        <v>173.80416666666667</v>
      </c>
      <c r="O95" s="1">
        <v>0.96</v>
      </c>
      <c r="P95" s="1">
        <f t="shared" si="45"/>
        <v>345.59999999999997</v>
      </c>
      <c r="Q95" s="1">
        <f t="shared" si="49"/>
        <v>812160</v>
      </c>
      <c r="T95" s="6" t="s">
        <v>1107</v>
      </c>
      <c r="U95" s="70">
        <f t="shared" ref="U95:U103" si="56">VLOOKUP(T95,AU:AZ,4,0)</f>
        <v>1</v>
      </c>
      <c r="V95" s="70">
        <f t="shared" ref="V95:V103" si="57">VLOOKUP(T95,AU:AZ,5,0)</f>
        <v>1</v>
      </c>
      <c r="W95" s="435">
        <v>4</v>
      </c>
      <c r="X95" s="68" t="s">
        <v>1139</v>
      </c>
      <c r="Y95" s="6">
        <f t="shared" ref="Y95:Y103" si="58">VLOOKUP(X95,AU:AZ,4,0)</f>
        <v>2</v>
      </c>
      <c r="Z95" s="6">
        <f t="shared" ref="Z95:Z103" si="59">VLOOKUP(X95,AU:AZ,5,0)</f>
        <v>1001</v>
      </c>
      <c r="AA95" s="6">
        <v>3</v>
      </c>
      <c r="AB95" s="68" t="s">
        <v>1140</v>
      </c>
      <c r="AC95" s="6">
        <f t="shared" ref="AC95:AC103" si="60">VLOOKUP(AB95,AU:AZ,4,0)</f>
        <v>2</v>
      </c>
      <c r="AD95" s="6">
        <f t="shared" ref="AD95:AD103" si="61">VLOOKUP(AB95,AU:AZ,5,0)</f>
        <v>1002</v>
      </c>
      <c r="AE95" s="6">
        <v>3</v>
      </c>
    </row>
    <row r="96" spans="1:31" x14ac:dyDescent="0.35">
      <c r="A96" s="1">
        <v>92</v>
      </c>
      <c r="B96" s="83">
        <f t="shared" si="46"/>
        <v>881280</v>
      </c>
      <c r="C96" s="39" t="str">
        <f t="shared" si="47"/>
        <v>1|1|4</v>
      </c>
      <c r="D96" s="39" t="str">
        <f t="shared" si="24"/>
        <v>2|1002|3</v>
      </c>
      <c r="E96" s="39" t="str">
        <f t="shared" si="25"/>
        <v>2|1004|3</v>
      </c>
      <c r="F96" s="39" t="str">
        <f t="shared" si="43"/>
        <v/>
      </c>
      <c r="G96" s="39" t="str">
        <f t="shared" si="44"/>
        <v/>
      </c>
      <c r="L96" s="1">
        <v>2550</v>
      </c>
      <c r="M96" s="1">
        <f>SUM($L$5:L96)</f>
        <v>44263</v>
      </c>
      <c r="N96" s="429">
        <f t="shared" si="48"/>
        <v>184.42916666666667</v>
      </c>
      <c r="O96" s="1">
        <v>0.96</v>
      </c>
      <c r="P96" s="1">
        <f t="shared" si="45"/>
        <v>345.59999999999997</v>
      </c>
      <c r="Q96" s="1">
        <f t="shared" si="49"/>
        <v>881280</v>
      </c>
      <c r="T96" s="6" t="s">
        <v>1107</v>
      </c>
      <c r="U96" s="70">
        <f t="shared" si="56"/>
        <v>1</v>
      </c>
      <c r="V96" s="70">
        <f t="shared" si="57"/>
        <v>1</v>
      </c>
      <c r="W96" s="435">
        <v>4</v>
      </c>
      <c r="X96" s="68" t="s">
        <v>1140</v>
      </c>
      <c r="Y96" s="6">
        <f t="shared" si="58"/>
        <v>2</v>
      </c>
      <c r="Z96" s="6">
        <f t="shared" si="59"/>
        <v>1002</v>
      </c>
      <c r="AA96" s="6">
        <v>3</v>
      </c>
      <c r="AB96" s="68" t="s">
        <v>1143</v>
      </c>
      <c r="AC96" s="6">
        <f t="shared" si="60"/>
        <v>2</v>
      </c>
      <c r="AD96" s="6">
        <f t="shared" si="61"/>
        <v>1004</v>
      </c>
      <c r="AE96" s="6">
        <v>3</v>
      </c>
    </row>
    <row r="97" spans="1:31" x14ac:dyDescent="0.35">
      <c r="A97" s="1">
        <v>93</v>
      </c>
      <c r="B97" s="83">
        <f t="shared" si="46"/>
        <v>950400</v>
      </c>
      <c r="C97" s="39" t="str">
        <f t="shared" si="47"/>
        <v>1|1|4</v>
      </c>
      <c r="D97" s="39" t="str">
        <f t="shared" si="24"/>
        <v>2|1001|3</v>
      </c>
      <c r="E97" s="39" t="str">
        <f t="shared" si="25"/>
        <v>2|1004|3</v>
      </c>
      <c r="F97" s="39" t="str">
        <f t="shared" si="43"/>
        <v/>
      </c>
      <c r="G97" s="39" t="str">
        <f t="shared" si="44"/>
        <v/>
      </c>
      <c r="L97" s="1">
        <v>2750</v>
      </c>
      <c r="M97" s="1">
        <f>SUM($L$5:L97)</f>
        <v>47013</v>
      </c>
      <c r="N97" s="429">
        <f t="shared" si="48"/>
        <v>195.88749999999999</v>
      </c>
      <c r="O97" s="1">
        <v>0.96</v>
      </c>
      <c r="P97" s="1">
        <f t="shared" si="45"/>
        <v>345.59999999999997</v>
      </c>
      <c r="Q97" s="1">
        <f t="shared" si="49"/>
        <v>950400</v>
      </c>
      <c r="T97" s="6" t="s">
        <v>1107</v>
      </c>
      <c r="U97" s="70">
        <f t="shared" si="56"/>
        <v>1</v>
      </c>
      <c r="V97" s="70">
        <f t="shared" si="57"/>
        <v>1</v>
      </c>
      <c r="W97" s="435">
        <v>4</v>
      </c>
      <c r="X97" s="68" t="s">
        <v>1139</v>
      </c>
      <c r="Y97" s="6">
        <f t="shared" si="58"/>
        <v>2</v>
      </c>
      <c r="Z97" s="6">
        <f t="shared" si="59"/>
        <v>1001</v>
      </c>
      <c r="AA97" s="6">
        <v>3</v>
      </c>
      <c r="AB97" s="68" t="s">
        <v>1143</v>
      </c>
      <c r="AC97" s="6">
        <f t="shared" si="60"/>
        <v>2</v>
      </c>
      <c r="AD97" s="6">
        <f t="shared" si="61"/>
        <v>1004</v>
      </c>
      <c r="AE97" s="6">
        <v>3</v>
      </c>
    </row>
    <row r="98" spans="1:31" x14ac:dyDescent="0.35">
      <c r="A98" s="1">
        <v>94</v>
      </c>
      <c r="B98" s="83">
        <f t="shared" si="46"/>
        <v>1019520</v>
      </c>
      <c r="C98" s="39" t="str">
        <f t="shared" si="47"/>
        <v>1|1|4</v>
      </c>
      <c r="D98" s="39" t="str">
        <f t="shared" si="24"/>
        <v>2|1002|3</v>
      </c>
      <c r="E98" s="39" t="str">
        <f t="shared" si="25"/>
        <v>2|1003|1</v>
      </c>
      <c r="F98" s="39" t="str">
        <f t="shared" si="43"/>
        <v/>
      </c>
      <c r="G98" s="39" t="str">
        <f t="shared" si="44"/>
        <v/>
      </c>
      <c r="L98" s="1">
        <v>2950</v>
      </c>
      <c r="M98" s="1">
        <f>SUM($L$5:L98)</f>
        <v>49963</v>
      </c>
      <c r="N98" s="429">
        <f t="shared" si="48"/>
        <v>208.17916666666667</v>
      </c>
      <c r="O98" s="1">
        <v>0.96</v>
      </c>
      <c r="P98" s="1">
        <f t="shared" si="45"/>
        <v>345.59999999999997</v>
      </c>
      <c r="Q98" s="1">
        <f t="shared" si="49"/>
        <v>1019520</v>
      </c>
      <c r="T98" s="6" t="s">
        <v>1107</v>
      </c>
      <c r="U98" s="70">
        <f t="shared" si="56"/>
        <v>1</v>
      </c>
      <c r="V98" s="70">
        <f t="shared" si="57"/>
        <v>1</v>
      </c>
      <c r="W98" s="435">
        <v>4</v>
      </c>
      <c r="X98" s="68" t="s">
        <v>1140</v>
      </c>
      <c r="Y98" s="6">
        <f t="shared" si="58"/>
        <v>2</v>
      </c>
      <c r="Z98" s="6">
        <f t="shared" si="59"/>
        <v>1002</v>
      </c>
      <c r="AA98" s="6">
        <v>3</v>
      </c>
      <c r="AB98" s="68" t="s">
        <v>1144</v>
      </c>
      <c r="AC98" s="6">
        <f t="shared" si="60"/>
        <v>2</v>
      </c>
      <c r="AD98" s="6">
        <f t="shared" si="61"/>
        <v>1003</v>
      </c>
      <c r="AE98" s="6">
        <v>1</v>
      </c>
    </row>
    <row r="99" spans="1:31" x14ac:dyDescent="0.35">
      <c r="A99" s="1">
        <v>95</v>
      </c>
      <c r="B99" s="83">
        <f t="shared" si="46"/>
        <v>1088640</v>
      </c>
      <c r="C99" s="39" t="str">
        <f t="shared" si="47"/>
        <v>1|1|5</v>
      </c>
      <c r="D99" s="39" t="str">
        <f t="shared" si="24"/>
        <v>2|1001|3</v>
      </c>
      <c r="E99" s="39" t="str">
        <f t="shared" si="25"/>
        <v>2|1002|3</v>
      </c>
      <c r="F99" s="39" t="str">
        <f t="shared" si="43"/>
        <v/>
      </c>
      <c r="G99" s="39" t="str">
        <f t="shared" si="44"/>
        <v/>
      </c>
      <c r="L99" s="1">
        <v>3150</v>
      </c>
      <c r="M99" s="1">
        <f>SUM($L$5:L99)</f>
        <v>53113</v>
      </c>
      <c r="N99" s="429">
        <f t="shared" si="48"/>
        <v>221.30416666666667</v>
      </c>
      <c r="O99" s="1">
        <v>0.96</v>
      </c>
      <c r="P99" s="1">
        <f t="shared" si="45"/>
        <v>345.59999999999997</v>
      </c>
      <c r="Q99" s="1">
        <f t="shared" si="49"/>
        <v>1088640</v>
      </c>
      <c r="T99" s="6" t="s">
        <v>1107</v>
      </c>
      <c r="U99" s="70">
        <f t="shared" si="56"/>
        <v>1</v>
      </c>
      <c r="V99" s="70">
        <f t="shared" si="57"/>
        <v>1</v>
      </c>
      <c r="W99" s="435">
        <v>5</v>
      </c>
      <c r="X99" s="68" t="s">
        <v>1139</v>
      </c>
      <c r="Y99" s="6">
        <f t="shared" si="58"/>
        <v>2</v>
      </c>
      <c r="Z99" s="6">
        <f t="shared" si="59"/>
        <v>1001</v>
      </c>
      <c r="AA99" s="6">
        <v>3</v>
      </c>
      <c r="AB99" s="68" t="s">
        <v>1140</v>
      </c>
      <c r="AC99" s="6">
        <f t="shared" si="60"/>
        <v>2</v>
      </c>
      <c r="AD99" s="6">
        <f t="shared" si="61"/>
        <v>1002</v>
      </c>
      <c r="AE99" s="6">
        <v>3</v>
      </c>
    </row>
    <row r="100" spans="1:31" x14ac:dyDescent="0.35">
      <c r="A100" s="1">
        <v>96</v>
      </c>
      <c r="B100" s="83">
        <f t="shared" si="46"/>
        <v>1157760</v>
      </c>
      <c r="C100" s="39" t="str">
        <f t="shared" si="47"/>
        <v>1|1|5</v>
      </c>
      <c r="D100" s="39" t="str">
        <f t="shared" si="24"/>
        <v>2|1002|3</v>
      </c>
      <c r="E100" s="39" t="str">
        <f t="shared" si="25"/>
        <v>2|1004|3</v>
      </c>
      <c r="F100" s="39" t="str">
        <f t="shared" si="43"/>
        <v/>
      </c>
      <c r="G100" s="39" t="str">
        <f t="shared" si="44"/>
        <v/>
      </c>
      <c r="L100" s="1">
        <v>3350</v>
      </c>
      <c r="M100" s="1">
        <f>SUM($L$5:L100)</f>
        <v>56463</v>
      </c>
      <c r="N100" s="429">
        <f t="shared" si="48"/>
        <v>235.26249999999999</v>
      </c>
      <c r="O100" s="1">
        <v>0.96</v>
      </c>
      <c r="P100" s="1">
        <f t="shared" si="45"/>
        <v>345.59999999999997</v>
      </c>
      <c r="Q100" s="1">
        <f t="shared" si="49"/>
        <v>1157760</v>
      </c>
      <c r="T100" s="6" t="s">
        <v>1107</v>
      </c>
      <c r="U100" s="70">
        <f t="shared" si="56"/>
        <v>1</v>
      </c>
      <c r="V100" s="70">
        <f t="shared" si="57"/>
        <v>1</v>
      </c>
      <c r="W100" s="435">
        <v>5</v>
      </c>
      <c r="X100" s="68" t="s">
        <v>1140</v>
      </c>
      <c r="Y100" s="6">
        <f t="shared" si="58"/>
        <v>2</v>
      </c>
      <c r="Z100" s="6">
        <f t="shared" si="59"/>
        <v>1002</v>
      </c>
      <c r="AA100" s="6">
        <v>3</v>
      </c>
      <c r="AB100" s="68" t="s">
        <v>1143</v>
      </c>
      <c r="AC100" s="6">
        <f t="shared" si="60"/>
        <v>2</v>
      </c>
      <c r="AD100" s="6">
        <f t="shared" si="61"/>
        <v>1004</v>
      </c>
      <c r="AE100" s="6">
        <v>3</v>
      </c>
    </row>
    <row r="101" spans="1:31" x14ac:dyDescent="0.35">
      <c r="A101" s="1">
        <v>97</v>
      </c>
      <c r="B101" s="83">
        <f t="shared" si="46"/>
        <v>1226880</v>
      </c>
      <c r="C101" s="39" t="str">
        <f t="shared" si="47"/>
        <v>1|1|5</v>
      </c>
      <c r="D101" s="39" t="str">
        <f t="shared" si="24"/>
        <v>2|1001|3</v>
      </c>
      <c r="E101" s="39" t="str">
        <f t="shared" si="25"/>
        <v>2|1004|3</v>
      </c>
      <c r="F101" s="39" t="str">
        <f t="shared" si="43"/>
        <v/>
      </c>
      <c r="G101" s="39" t="str">
        <f t="shared" si="44"/>
        <v/>
      </c>
      <c r="L101" s="1">
        <v>3550</v>
      </c>
      <c r="M101" s="1">
        <f>SUM($L$5:L101)</f>
        <v>60013</v>
      </c>
      <c r="N101" s="429">
        <f t="shared" si="48"/>
        <v>250.05416666666667</v>
      </c>
      <c r="O101" s="1">
        <v>0.96</v>
      </c>
      <c r="P101" s="1">
        <f t="shared" ref="P101:P103" si="62">$M$3*O101*60</f>
        <v>345.59999999999997</v>
      </c>
      <c r="Q101" s="1">
        <f t="shared" si="49"/>
        <v>1226880</v>
      </c>
      <c r="T101" s="6" t="s">
        <v>1107</v>
      </c>
      <c r="U101" s="70">
        <f t="shared" si="56"/>
        <v>1</v>
      </c>
      <c r="V101" s="70">
        <f t="shared" si="57"/>
        <v>1</v>
      </c>
      <c r="W101" s="435">
        <v>5</v>
      </c>
      <c r="X101" s="68" t="s">
        <v>1139</v>
      </c>
      <c r="Y101" s="6">
        <f t="shared" si="58"/>
        <v>2</v>
      </c>
      <c r="Z101" s="6">
        <f t="shared" si="59"/>
        <v>1001</v>
      </c>
      <c r="AA101" s="6">
        <v>3</v>
      </c>
      <c r="AB101" s="68" t="s">
        <v>1143</v>
      </c>
      <c r="AC101" s="6">
        <f t="shared" si="60"/>
        <v>2</v>
      </c>
      <c r="AD101" s="6">
        <f t="shared" si="61"/>
        <v>1004</v>
      </c>
      <c r="AE101" s="6">
        <v>3</v>
      </c>
    </row>
    <row r="102" spans="1:31" x14ac:dyDescent="0.35">
      <c r="A102" s="1">
        <v>98</v>
      </c>
      <c r="B102" s="83">
        <f t="shared" si="46"/>
        <v>1296000</v>
      </c>
      <c r="C102" s="39" t="str">
        <f t="shared" si="47"/>
        <v>1|1|5</v>
      </c>
      <c r="D102" s="39" t="str">
        <f t="shared" si="24"/>
        <v>2|1002|3</v>
      </c>
      <c r="E102" s="39" t="str">
        <f t="shared" si="25"/>
        <v>2|1004|3</v>
      </c>
      <c r="F102" s="39" t="str">
        <f t="shared" si="43"/>
        <v/>
      </c>
      <c r="G102" s="39" t="str">
        <f t="shared" si="44"/>
        <v/>
      </c>
      <c r="L102" s="1">
        <v>3750</v>
      </c>
      <c r="M102" s="1">
        <f>SUM($L$5:L102)</f>
        <v>63763</v>
      </c>
      <c r="N102" s="429">
        <f t="shared" si="48"/>
        <v>265.67916666666667</v>
      </c>
      <c r="O102" s="1">
        <v>0.96</v>
      </c>
      <c r="P102" s="1">
        <f t="shared" si="62"/>
        <v>345.59999999999997</v>
      </c>
      <c r="Q102" s="1">
        <f t="shared" si="49"/>
        <v>1296000</v>
      </c>
      <c r="T102" s="6" t="s">
        <v>1107</v>
      </c>
      <c r="U102" s="70">
        <f t="shared" si="56"/>
        <v>1</v>
      </c>
      <c r="V102" s="70">
        <f t="shared" si="57"/>
        <v>1</v>
      </c>
      <c r="W102" s="435">
        <v>5</v>
      </c>
      <c r="X102" s="68" t="s">
        <v>1140</v>
      </c>
      <c r="Y102" s="6">
        <f t="shared" si="58"/>
        <v>2</v>
      </c>
      <c r="Z102" s="6">
        <f t="shared" si="59"/>
        <v>1002</v>
      </c>
      <c r="AA102" s="6">
        <v>3</v>
      </c>
      <c r="AB102" s="68" t="s">
        <v>1143</v>
      </c>
      <c r="AC102" s="6">
        <f t="shared" si="60"/>
        <v>2</v>
      </c>
      <c r="AD102" s="6">
        <f t="shared" si="61"/>
        <v>1004</v>
      </c>
      <c r="AE102" s="6">
        <v>3</v>
      </c>
    </row>
    <row r="103" spans="1:31" x14ac:dyDescent="0.35">
      <c r="A103" s="1">
        <v>99</v>
      </c>
      <c r="B103" s="83">
        <f t="shared" si="46"/>
        <v>1365120</v>
      </c>
      <c r="C103" s="39" t="str">
        <f t="shared" si="47"/>
        <v>1|1|5</v>
      </c>
      <c r="D103" s="39" t="str">
        <f t="shared" si="24"/>
        <v>2|1001|3</v>
      </c>
      <c r="E103" s="39" t="str">
        <f t="shared" si="25"/>
        <v>2|1003|1</v>
      </c>
      <c r="F103" s="39" t="str">
        <f t="shared" si="43"/>
        <v/>
      </c>
      <c r="G103" s="39" t="str">
        <f t="shared" si="44"/>
        <v/>
      </c>
      <c r="L103" s="1">
        <v>3950</v>
      </c>
      <c r="M103" s="430">
        <f>SUM($L$5:L103)</f>
        <v>67713</v>
      </c>
      <c r="N103" s="429">
        <f t="shared" si="48"/>
        <v>282.13749999999999</v>
      </c>
      <c r="O103" s="1">
        <v>0.96</v>
      </c>
      <c r="P103" s="1">
        <f t="shared" si="62"/>
        <v>345.59999999999997</v>
      </c>
      <c r="Q103" s="1">
        <f t="shared" si="49"/>
        <v>1365120</v>
      </c>
      <c r="T103" s="6" t="s">
        <v>1107</v>
      </c>
      <c r="U103" s="70">
        <f t="shared" si="56"/>
        <v>1</v>
      </c>
      <c r="V103" s="70">
        <f t="shared" si="57"/>
        <v>1</v>
      </c>
      <c r="W103" s="435">
        <v>5</v>
      </c>
      <c r="X103" s="68" t="s">
        <v>1139</v>
      </c>
      <c r="Y103" s="6">
        <f t="shared" si="58"/>
        <v>2</v>
      </c>
      <c r="Z103" s="6">
        <f t="shared" si="59"/>
        <v>1001</v>
      </c>
      <c r="AA103" s="6">
        <v>3</v>
      </c>
      <c r="AB103" s="68" t="s">
        <v>1144</v>
      </c>
      <c r="AC103" s="6">
        <f t="shared" si="60"/>
        <v>2</v>
      </c>
      <c r="AD103" s="6">
        <f t="shared" si="61"/>
        <v>1003</v>
      </c>
      <c r="AE103" s="6">
        <v>1</v>
      </c>
    </row>
  </sheetData>
  <phoneticPr fontId="57" type="noConversion"/>
  <conditionalFormatting sqref="AO3">
    <cfRule type="containsText" dxfId="1517" priority="63" operator="containsText" text=" ">
      <formula>NOT(ISERROR(SEARCH(" ",AO3)))</formula>
    </cfRule>
  </conditionalFormatting>
  <conditionalFormatting sqref="P4:Q4">
    <cfRule type="containsText" dxfId="1516" priority="307" operator="containsText" text=" ">
      <formula>NOT(ISERROR(SEARCH(" ",P4)))</formula>
    </cfRule>
  </conditionalFormatting>
  <conditionalFormatting sqref="AE4">
    <cfRule type="containsText" dxfId="1515" priority="435" operator="containsText" text=" ">
      <formula>NOT(ISERROR(SEARCH(" ",AE4)))</formula>
    </cfRule>
  </conditionalFormatting>
  <conditionalFormatting sqref="AF4">
    <cfRule type="containsText" dxfId="1514" priority="99" operator="containsText" text=" ">
      <formula>NOT(ISERROR(SEARCH(" ",AF4)))</formula>
    </cfRule>
  </conditionalFormatting>
  <conditionalFormatting sqref="AN4:AQ4">
    <cfRule type="containsText" dxfId="1513" priority="305" operator="containsText" text=" ">
      <formula>NOT(ISERROR(SEARCH(" ",AN4)))</formula>
    </cfRule>
  </conditionalFormatting>
  <conditionalFormatting sqref="AB7">
    <cfRule type="containsText" dxfId="1512" priority="430" operator="containsText" text=" ">
      <formula>NOT(ISERROR(SEARCH(" ",AB7)))</formula>
    </cfRule>
  </conditionalFormatting>
  <conditionalFormatting sqref="AB10">
    <cfRule type="containsText" dxfId="1511" priority="11" operator="containsText" text=" ">
      <formula>NOT(ISERROR(SEARCH(" ",AB10)))</formula>
    </cfRule>
    <cfRule type="containsText" dxfId="1510" priority="12" operator="containsText" text=" ">
      <formula>NOT(ISERROR(SEARCH(" ",AB10)))</formula>
    </cfRule>
  </conditionalFormatting>
  <conditionalFormatting sqref="AB11">
    <cfRule type="containsText" dxfId="1509" priority="91" operator="containsText" text=" ">
      <formula>NOT(ISERROR(SEARCH(" ",AB11)))</formula>
    </cfRule>
  </conditionalFormatting>
  <conditionalFormatting sqref="AB12">
    <cfRule type="containsText" dxfId="1508" priority="89" operator="containsText" text=" ">
      <formula>NOT(ISERROR(SEARCH(" ",AB12)))</formula>
    </cfRule>
    <cfRule type="containsText" dxfId="1507" priority="93" operator="containsText" text=" ">
      <formula>NOT(ISERROR(SEARCH(" ",AB12)))</formula>
    </cfRule>
  </conditionalFormatting>
  <conditionalFormatting sqref="AB13">
    <cfRule type="containsText" dxfId="1506" priority="90" operator="containsText" text=" ">
      <formula>NOT(ISERROR(SEARCH(" ",AB13)))</formula>
    </cfRule>
    <cfRule type="containsText" dxfId="1505" priority="427" operator="containsText" text=" ">
      <formula>NOT(ISERROR(SEARCH(" ",AB13)))</formula>
    </cfRule>
  </conditionalFormatting>
  <conditionalFormatting sqref="AB16">
    <cfRule type="containsText" dxfId="1504" priority="35" operator="containsText" text=" ">
      <formula>NOT(ISERROR(SEARCH(" ",AB16)))</formula>
    </cfRule>
  </conditionalFormatting>
  <conditionalFormatting sqref="AB17">
    <cfRule type="containsText" dxfId="1503" priority="27" operator="containsText" text=" ">
      <formula>NOT(ISERROR(SEARCH(" ",AB17)))</formula>
    </cfRule>
    <cfRule type="containsText" dxfId="1502" priority="37" operator="containsText" text=" ">
      <formula>NOT(ISERROR(SEARCH(" ",AB17)))</formula>
    </cfRule>
  </conditionalFormatting>
  <conditionalFormatting sqref="AB18">
    <cfRule type="containsText" dxfId="1501" priority="28" operator="containsText" text=" ">
      <formula>NOT(ISERROR(SEARCH(" ",AB18)))</formula>
    </cfRule>
  </conditionalFormatting>
  <conditionalFormatting sqref="AB20">
    <cfRule type="containsText" dxfId="1500" priority="31" operator="containsText" text=" ">
      <formula>NOT(ISERROR(SEARCH(" ",AB20)))</formula>
    </cfRule>
  </conditionalFormatting>
  <conditionalFormatting sqref="AB21">
    <cfRule type="containsText" dxfId="1499" priority="24" operator="containsText" text=" ">
      <formula>NOT(ISERROR(SEARCH(" ",AB21)))</formula>
    </cfRule>
    <cfRule type="containsText" dxfId="1498" priority="29" operator="containsText" text=" ">
      <formula>NOT(ISERROR(SEARCH(" ",AB21)))</formula>
    </cfRule>
    <cfRule type="containsText" dxfId="1497" priority="33" operator="containsText" text=" ">
      <formula>NOT(ISERROR(SEARCH(" ",AB21)))</formula>
    </cfRule>
  </conditionalFormatting>
  <conditionalFormatting sqref="AB22">
    <cfRule type="containsText" dxfId="1496" priority="22" operator="containsText" text=" ">
      <formula>NOT(ISERROR(SEARCH(" ",AB22)))</formula>
    </cfRule>
    <cfRule type="containsText" dxfId="1495" priority="25" operator="containsText" text=" ">
      <formula>NOT(ISERROR(SEARCH(" ",AB22)))</formula>
    </cfRule>
    <cfRule type="containsText" dxfId="1494" priority="30" operator="containsText" text=" ">
      <formula>NOT(ISERROR(SEARCH(" ",AB22)))</formula>
    </cfRule>
    <cfRule type="containsText" dxfId="1493" priority="34" operator="containsText" text=" ">
      <formula>NOT(ISERROR(SEARCH(" ",AB22)))</formula>
    </cfRule>
  </conditionalFormatting>
  <conditionalFormatting sqref="AB23">
    <cfRule type="containsText" dxfId="1492" priority="23" operator="containsText" text=" ">
      <formula>NOT(ISERROR(SEARCH(" ",AB23)))</formula>
    </cfRule>
    <cfRule type="containsText" dxfId="1491" priority="26" operator="containsText" text=" ">
      <formula>NOT(ISERROR(SEARCH(" ",AB23)))</formula>
    </cfRule>
    <cfRule type="containsText" dxfId="1490" priority="426" operator="containsText" text=" ">
      <formula>NOT(ISERROR(SEARCH(" ",AB23)))</formula>
    </cfRule>
  </conditionalFormatting>
  <conditionalFormatting sqref="AF23">
    <cfRule type="containsText" dxfId="1489" priority="421" operator="containsText" text=" ">
      <formula>NOT(ISERROR(SEARCH(" ",AF23)))</formula>
    </cfRule>
  </conditionalFormatting>
  <conditionalFormatting sqref="AF24">
    <cfRule type="containsText" dxfId="1488" priority="418" operator="containsText" text=" ">
      <formula>NOT(ISERROR(SEARCH(" ",AF24)))</formula>
    </cfRule>
  </conditionalFormatting>
  <conditionalFormatting sqref="AF25">
    <cfRule type="containsText" dxfId="1487" priority="417" operator="containsText" text=" ">
      <formula>NOT(ISERROR(SEARCH(" ",AF25)))</formula>
    </cfRule>
  </conditionalFormatting>
  <conditionalFormatting sqref="AF28">
    <cfRule type="containsText" dxfId="1486" priority="413" operator="containsText" text=" ">
      <formula>NOT(ISERROR(SEARCH(" ",AF28)))</formula>
    </cfRule>
  </conditionalFormatting>
  <conditionalFormatting sqref="AF29">
    <cfRule type="containsText" dxfId="1485" priority="411" operator="containsText" text=" ">
      <formula>NOT(ISERROR(SEARCH(" ",AF29)))</formula>
    </cfRule>
  </conditionalFormatting>
  <conditionalFormatting sqref="AB30">
    <cfRule type="containsText" dxfId="1484" priority="13" operator="containsText" text=" ">
      <formula>NOT(ISERROR(SEARCH(" ",AB30)))</formula>
    </cfRule>
    <cfRule type="containsText" dxfId="1483" priority="14" operator="containsText" text=" ">
      <formula>NOT(ISERROR(SEARCH(" ",AB30)))</formula>
    </cfRule>
  </conditionalFormatting>
  <conditionalFormatting sqref="AF30">
    <cfRule type="containsText" dxfId="1482" priority="409" operator="containsText" text=" ">
      <formula>NOT(ISERROR(SEARCH(" ",AF30)))</formula>
    </cfRule>
  </conditionalFormatting>
  <conditionalFormatting sqref="AF31">
    <cfRule type="containsText" dxfId="1481" priority="407" operator="containsText" text=" ">
      <formula>NOT(ISERROR(SEARCH(" ",AF31)))</formula>
    </cfRule>
  </conditionalFormatting>
  <conditionalFormatting sqref="AF32">
    <cfRule type="containsText" dxfId="1480" priority="405" operator="containsText" text=" ">
      <formula>NOT(ISERROR(SEARCH(" ",AF32)))</formula>
    </cfRule>
  </conditionalFormatting>
  <conditionalFormatting sqref="AF33">
    <cfRule type="containsText" dxfId="1479" priority="403" operator="containsText" text=" ">
      <formula>NOT(ISERROR(SEARCH(" ",AF33)))</formula>
    </cfRule>
  </conditionalFormatting>
  <conditionalFormatting sqref="AF34">
    <cfRule type="containsText" dxfId="1478" priority="399" operator="containsText" text=" ">
      <formula>NOT(ISERROR(SEARCH(" ",AF34)))</formula>
    </cfRule>
  </conditionalFormatting>
  <conditionalFormatting sqref="AF35">
    <cfRule type="containsText" dxfId="1477" priority="395" operator="containsText" text=" ">
      <formula>NOT(ISERROR(SEARCH(" ",AF35)))</formula>
    </cfRule>
  </conditionalFormatting>
  <conditionalFormatting sqref="AF36">
    <cfRule type="containsText" dxfId="1476" priority="391" operator="containsText" text=" ">
      <formula>NOT(ISERROR(SEARCH(" ",AF36)))</formula>
    </cfRule>
  </conditionalFormatting>
  <conditionalFormatting sqref="AF37">
    <cfRule type="containsText" dxfId="1475" priority="387" operator="containsText" text=" ">
      <formula>NOT(ISERROR(SEARCH(" ",AF37)))</formula>
    </cfRule>
  </conditionalFormatting>
  <conditionalFormatting sqref="AF38">
    <cfRule type="containsText" dxfId="1474" priority="383" operator="containsText" text=" ">
      <formula>NOT(ISERROR(SEARCH(" ",AF38)))</formula>
    </cfRule>
  </conditionalFormatting>
  <conditionalFormatting sqref="AF39">
    <cfRule type="containsText" dxfId="1473" priority="379" operator="containsText" text=" ">
      <formula>NOT(ISERROR(SEARCH(" ",AF39)))</formula>
    </cfRule>
  </conditionalFormatting>
  <conditionalFormatting sqref="AB40">
    <cfRule type="containsText" dxfId="1472" priority="17" operator="containsText" text=" ">
      <formula>NOT(ISERROR(SEARCH(" ",AB40)))</formula>
    </cfRule>
    <cfRule type="containsText" dxfId="1471" priority="18" operator="containsText" text=" ">
      <formula>NOT(ISERROR(SEARCH(" ",AB40)))</formula>
    </cfRule>
  </conditionalFormatting>
  <conditionalFormatting sqref="AF40">
    <cfRule type="containsText" dxfId="1470" priority="375" operator="containsText" text=" ">
      <formula>NOT(ISERROR(SEARCH(" ",AF40)))</formula>
    </cfRule>
  </conditionalFormatting>
  <conditionalFormatting sqref="AF41">
    <cfRule type="containsText" dxfId="1469" priority="371" operator="containsText" text=" ">
      <formula>NOT(ISERROR(SEARCH(" ",AF41)))</formula>
    </cfRule>
  </conditionalFormatting>
  <conditionalFormatting sqref="AF42">
    <cfRule type="containsText" dxfId="1468" priority="367" operator="containsText" text=" ">
      <formula>NOT(ISERROR(SEARCH(" ",AF42)))</formula>
    </cfRule>
  </conditionalFormatting>
  <conditionalFormatting sqref="AF43">
    <cfRule type="containsText" dxfId="1467" priority="363" operator="containsText" text=" ">
      <formula>NOT(ISERROR(SEARCH(" ",AF43)))</formula>
    </cfRule>
  </conditionalFormatting>
  <conditionalFormatting sqref="AF44">
    <cfRule type="containsText" dxfId="1466" priority="359" operator="containsText" text=" ">
      <formula>NOT(ISERROR(SEARCH(" ",AF44)))</formula>
    </cfRule>
  </conditionalFormatting>
  <conditionalFormatting sqref="AP45">
    <cfRule type="containsText" dxfId="1465" priority="73" operator="containsText" text=" ">
      <formula>NOT(ISERROR(SEARCH(" ",AP45)))</formula>
    </cfRule>
  </conditionalFormatting>
  <conditionalFormatting sqref="AP46">
    <cfRule type="containsText" dxfId="1464" priority="72" operator="containsText" text=" ">
      <formula>NOT(ISERROR(SEARCH(" ",AP46)))</formula>
    </cfRule>
  </conditionalFormatting>
  <conditionalFormatting sqref="AP47">
    <cfRule type="containsText" dxfId="1463" priority="61" operator="containsText" text=" ">
      <formula>NOT(ISERROR(SEARCH(" ",AP47)))</formula>
    </cfRule>
  </conditionalFormatting>
  <conditionalFormatting sqref="AP48">
    <cfRule type="containsText" dxfId="1462" priority="70" operator="containsText" text=" ">
      <formula>NOT(ISERROR(SEARCH(" ",AP48)))</formula>
    </cfRule>
  </conditionalFormatting>
  <conditionalFormatting sqref="AP49">
    <cfRule type="containsText" dxfId="1461" priority="60" operator="containsText" text=" ">
      <formula>NOT(ISERROR(SEARCH(" ",AP49)))</formula>
    </cfRule>
  </conditionalFormatting>
  <conditionalFormatting sqref="AB50">
    <cfRule type="containsText" dxfId="1460" priority="15" operator="containsText" text=" ">
      <formula>NOT(ISERROR(SEARCH(" ",AB50)))</formula>
    </cfRule>
    <cfRule type="containsText" dxfId="1459" priority="16" operator="containsText" text=" ">
      <formula>NOT(ISERROR(SEARCH(" ",AB50)))</formula>
    </cfRule>
  </conditionalFormatting>
  <conditionalFormatting sqref="AP50">
    <cfRule type="containsText" dxfId="1458" priority="68" operator="containsText" text=" ">
      <formula>NOT(ISERROR(SEARCH(" ",AP50)))</formula>
    </cfRule>
  </conditionalFormatting>
  <conditionalFormatting sqref="AP51">
    <cfRule type="containsText" dxfId="1457" priority="67" operator="containsText" text=" ">
      <formula>NOT(ISERROR(SEARCH(" ",AP51)))</formula>
    </cfRule>
  </conditionalFormatting>
  <conditionalFormatting sqref="AP52">
    <cfRule type="containsText" dxfId="1456" priority="59" operator="containsText" text=" ">
      <formula>NOT(ISERROR(SEARCH(" ",AP52)))</formula>
    </cfRule>
  </conditionalFormatting>
  <conditionalFormatting sqref="AH53">
    <cfRule type="cellIs" dxfId="1455" priority="50" operator="notEqual">
      <formula>"金币"</formula>
    </cfRule>
    <cfRule type="cellIs" dxfId="1454" priority="51" operator="equal">
      <formula>""""""</formula>
    </cfRule>
  </conditionalFormatting>
  <conditionalFormatting sqref="AI53:AJ53">
    <cfRule type="containsText" dxfId="1453" priority="52" operator="containsText" text=" ">
      <formula>NOT(ISERROR(SEARCH(" ",AI53)))</formula>
    </cfRule>
  </conditionalFormatting>
  <conditionalFormatting sqref="AK53:AL53">
    <cfRule type="containsText" dxfId="1452" priority="53" operator="containsText" text=" ">
      <formula>NOT(ISERROR(SEARCH(" ",AK53)))</formula>
    </cfRule>
  </conditionalFormatting>
  <conditionalFormatting sqref="AM53">
    <cfRule type="cellIs" dxfId="1451" priority="55" operator="notEqual">
      <formula>"金币"</formula>
    </cfRule>
    <cfRule type="cellIs" dxfId="1450" priority="56" operator="equal">
      <formula>""""""</formula>
    </cfRule>
    <cfRule type="containsText" dxfId="1449" priority="57" operator="containsText" text=" ">
      <formula>NOT(ISERROR(SEARCH(" ",AM53)))</formula>
    </cfRule>
  </conditionalFormatting>
  <conditionalFormatting sqref="AP53">
    <cfRule type="containsText" dxfId="1448" priority="49" operator="containsText" text=" ">
      <formula>NOT(ISERROR(SEARCH(" ",AP53)))</formula>
    </cfRule>
  </conditionalFormatting>
  <conditionalFormatting sqref="AQ53">
    <cfRule type="containsText" dxfId="1447" priority="58" operator="containsText" text=" ">
      <formula>NOT(ISERROR(SEARCH(" ",AQ53)))</formula>
    </cfRule>
  </conditionalFormatting>
  <conditionalFormatting sqref="AP54">
    <cfRule type="containsText" dxfId="1446" priority="74" operator="containsText" text=" ">
      <formula>NOT(ISERROR(SEARCH(" ",AP54)))</formula>
    </cfRule>
  </conditionalFormatting>
  <conditionalFormatting sqref="AH55">
    <cfRule type="cellIs" dxfId="1445" priority="40" operator="notEqual">
      <formula>"金币"</formula>
    </cfRule>
    <cfRule type="cellIs" dxfId="1444" priority="41" operator="equal">
      <formula>""""""</formula>
    </cfRule>
  </conditionalFormatting>
  <conditionalFormatting sqref="AI55:AJ55">
    <cfRule type="containsText" dxfId="1443" priority="42" operator="containsText" text=" ">
      <formula>NOT(ISERROR(SEARCH(" ",AI55)))</formula>
    </cfRule>
  </conditionalFormatting>
  <conditionalFormatting sqref="AK55:AL55">
    <cfRule type="containsText" dxfId="1442" priority="43" operator="containsText" text=" ">
      <formula>NOT(ISERROR(SEARCH(" ",AK55)))</formula>
    </cfRule>
  </conditionalFormatting>
  <conditionalFormatting sqref="AM55">
    <cfRule type="cellIs" dxfId="1441" priority="45" operator="notEqual">
      <formula>"金币"</formula>
    </cfRule>
    <cfRule type="cellIs" dxfId="1440" priority="46" operator="equal">
      <formula>""""""</formula>
    </cfRule>
    <cfRule type="containsText" dxfId="1439" priority="47" operator="containsText" text=" ">
      <formula>NOT(ISERROR(SEARCH(" ",AM55)))</formula>
    </cfRule>
  </conditionalFormatting>
  <conditionalFormatting sqref="AP55">
    <cfRule type="containsText" dxfId="1438" priority="39" operator="containsText" text=" ">
      <formula>NOT(ISERROR(SEARCH(" ",AP55)))</formula>
    </cfRule>
  </conditionalFormatting>
  <conditionalFormatting sqref="AQ55">
    <cfRule type="containsText" dxfId="1437" priority="48" operator="containsText" text=" ">
      <formula>NOT(ISERROR(SEARCH(" ",AQ55)))</formula>
    </cfRule>
  </conditionalFormatting>
  <conditionalFormatting sqref="AB60">
    <cfRule type="containsText" dxfId="1436" priority="9" operator="containsText" text=" ">
      <formula>NOT(ISERROR(SEARCH(" ",AB60)))</formula>
    </cfRule>
    <cfRule type="containsText" dxfId="1435" priority="10" operator="containsText" text=" ">
      <formula>NOT(ISERROR(SEARCH(" ",AB60)))</formula>
    </cfRule>
  </conditionalFormatting>
  <conditionalFormatting sqref="AF63">
    <cfRule type="containsText" dxfId="1434" priority="242" operator="containsText" text=" ">
      <formula>NOT(ISERROR(SEARCH(" ",AF63)))</formula>
    </cfRule>
  </conditionalFormatting>
  <conditionalFormatting sqref="AF64">
    <cfRule type="containsText" dxfId="1433" priority="239" operator="containsText" text=" ">
      <formula>NOT(ISERROR(SEARCH(" ",AF64)))</formula>
    </cfRule>
  </conditionalFormatting>
  <conditionalFormatting sqref="AF65">
    <cfRule type="containsText" dxfId="1432" priority="238" operator="containsText" text=" ">
      <formula>NOT(ISERROR(SEARCH(" ",AF65)))</formula>
    </cfRule>
  </conditionalFormatting>
  <conditionalFormatting sqref="AF68">
    <cfRule type="containsText" dxfId="1431" priority="234" operator="containsText" text=" ">
      <formula>NOT(ISERROR(SEARCH(" ",AF68)))</formula>
    </cfRule>
  </conditionalFormatting>
  <conditionalFormatting sqref="AF69">
    <cfRule type="containsText" dxfId="1430" priority="232" operator="containsText" text=" ">
      <formula>NOT(ISERROR(SEARCH(" ",AF69)))</formula>
    </cfRule>
  </conditionalFormatting>
  <conditionalFormatting sqref="AB70">
    <cfRule type="containsText" dxfId="1429" priority="7" operator="containsText" text=" ">
      <formula>NOT(ISERROR(SEARCH(" ",AB70)))</formula>
    </cfRule>
    <cfRule type="containsText" dxfId="1428" priority="8" operator="containsText" text=" ">
      <formula>NOT(ISERROR(SEARCH(" ",AB70)))</formula>
    </cfRule>
  </conditionalFormatting>
  <conditionalFormatting sqref="AF70">
    <cfRule type="containsText" dxfId="1427" priority="230" operator="containsText" text=" ">
      <formula>NOT(ISERROR(SEARCH(" ",AF70)))</formula>
    </cfRule>
  </conditionalFormatting>
  <conditionalFormatting sqref="AF71">
    <cfRule type="containsText" dxfId="1426" priority="228" operator="containsText" text=" ">
      <formula>NOT(ISERROR(SEARCH(" ",AF71)))</formula>
    </cfRule>
  </conditionalFormatting>
  <conditionalFormatting sqref="AF72">
    <cfRule type="containsText" dxfId="1425" priority="226" operator="containsText" text=" ">
      <formula>NOT(ISERROR(SEARCH(" ",AF72)))</formula>
    </cfRule>
  </conditionalFormatting>
  <conditionalFormatting sqref="AF73">
    <cfRule type="containsText" dxfId="1424" priority="224" operator="containsText" text=" ">
      <formula>NOT(ISERROR(SEARCH(" ",AF73)))</formula>
    </cfRule>
  </conditionalFormatting>
  <conditionalFormatting sqref="AF74">
    <cfRule type="containsText" dxfId="1423" priority="220" operator="containsText" text=" ">
      <formula>NOT(ISERROR(SEARCH(" ",AF74)))</formula>
    </cfRule>
  </conditionalFormatting>
  <conditionalFormatting sqref="AF75">
    <cfRule type="containsText" dxfId="1422" priority="216" operator="containsText" text=" ">
      <formula>NOT(ISERROR(SEARCH(" ",AF75)))</formula>
    </cfRule>
  </conditionalFormatting>
  <conditionalFormatting sqref="AF76">
    <cfRule type="containsText" dxfId="1421" priority="212" operator="containsText" text=" ">
      <formula>NOT(ISERROR(SEARCH(" ",AF76)))</formula>
    </cfRule>
  </conditionalFormatting>
  <conditionalFormatting sqref="AF77">
    <cfRule type="containsText" dxfId="1420" priority="208" operator="containsText" text=" ">
      <formula>NOT(ISERROR(SEARCH(" ",AF77)))</formula>
    </cfRule>
  </conditionalFormatting>
  <conditionalFormatting sqref="AF78">
    <cfRule type="containsText" dxfId="1419" priority="205" operator="containsText" text=" ">
      <formula>NOT(ISERROR(SEARCH(" ",AF78)))</formula>
    </cfRule>
  </conditionalFormatting>
  <conditionalFormatting sqref="AF79">
    <cfRule type="containsText" dxfId="1418" priority="202" operator="containsText" text=" ">
      <formula>NOT(ISERROR(SEARCH(" ",AF79)))</formula>
    </cfRule>
  </conditionalFormatting>
  <conditionalFormatting sqref="AB80">
    <cfRule type="containsText" dxfId="1417" priority="5" operator="containsText" text=" ">
      <formula>NOT(ISERROR(SEARCH(" ",AB80)))</formula>
    </cfRule>
    <cfRule type="containsText" dxfId="1416" priority="6" operator="containsText" text=" ">
      <formula>NOT(ISERROR(SEARCH(" ",AB80)))</formula>
    </cfRule>
  </conditionalFormatting>
  <conditionalFormatting sqref="AF80">
    <cfRule type="containsText" dxfId="1415" priority="199" operator="containsText" text=" ">
      <formula>NOT(ISERROR(SEARCH(" ",AF80)))</formula>
    </cfRule>
  </conditionalFormatting>
  <conditionalFormatting sqref="AF81">
    <cfRule type="containsText" dxfId="1414" priority="196" operator="containsText" text=" ">
      <formula>NOT(ISERROR(SEARCH(" ",AF81)))</formula>
    </cfRule>
  </conditionalFormatting>
  <conditionalFormatting sqref="AF82">
    <cfRule type="containsText" dxfId="1413" priority="193" operator="containsText" text=" ">
      <formula>NOT(ISERROR(SEARCH(" ",AF82)))</formula>
    </cfRule>
  </conditionalFormatting>
  <conditionalFormatting sqref="AF83">
    <cfRule type="containsText" dxfId="1412" priority="190" operator="containsText" text=" ">
      <formula>NOT(ISERROR(SEARCH(" ",AF83)))</formula>
    </cfRule>
  </conditionalFormatting>
  <conditionalFormatting sqref="AF84">
    <cfRule type="containsText" dxfId="1411" priority="187" operator="containsText" text=" ">
      <formula>NOT(ISERROR(SEARCH(" ",AF84)))</formula>
    </cfRule>
  </conditionalFormatting>
  <conditionalFormatting sqref="AF85">
    <cfRule type="containsText" dxfId="1410" priority="176" operator="containsText" text=" ">
      <formula>NOT(ISERROR(SEARCH(" ",AF85)))</formula>
    </cfRule>
  </conditionalFormatting>
  <conditionalFormatting sqref="AF86">
    <cfRule type="containsText" dxfId="1409" priority="172" operator="containsText" text=" ">
      <formula>NOT(ISERROR(SEARCH(" ",AF86)))</formula>
    </cfRule>
  </conditionalFormatting>
  <conditionalFormatting sqref="AF87">
    <cfRule type="containsText" dxfId="1408" priority="168" operator="containsText" text=" ">
      <formula>NOT(ISERROR(SEARCH(" ",AF87)))</formula>
    </cfRule>
  </conditionalFormatting>
  <conditionalFormatting sqref="AF88">
    <cfRule type="containsText" dxfId="1407" priority="165" operator="containsText" text=" ">
      <formula>NOT(ISERROR(SEARCH(" ",AF88)))</formula>
    </cfRule>
  </conditionalFormatting>
  <conditionalFormatting sqref="AF89">
    <cfRule type="containsText" dxfId="1406" priority="162" operator="containsText" text=" ">
      <formula>NOT(ISERROR(SEARCH(" ",AF89)))</formula>
    </cfRule>
  </conditionalFormatting>
  <conditionalFormatting sqref="AB90">
    <cfRule type="containsText" dxfId="1405" priority="3" operator="containsText" text=" ">
      <formula>NOT(ISERROR(SEARCH(" ",AB90)))</formula>
    </cfRule>
    <cfRule type="containsText" dxfId="1404" priority="4" operator="containsText" text=" ">
      <formula>NOT(ISERROR(SEARCH(" ",AB90)))</formula>
    </cfRule>
  </conditionalFormatting>
  <conditionalFormatting sqref="AF90">
    <cfRule type="containsText" dxfId="1403" priority="159" operator="containsText" text=" ">
      <formula>NOT(ISERROR(SEARCH(" ",AF90)))</formula>
    </cfRule>
  </conditionalFormatting>
  <conditionalFormatting sqref="AF91">
    <cfRule type="containsText" dxfId="1402" priority="156" operator="containsText" text=" ">
      <formula>NOT(ISERROR(SEARCH(" ",AF91)))</formula>
    </cfRule>
  </conditionalFormatting>
  <conditionalFormatting sqref="AF92">
    <cfRule type="containsText" dxfId="1401" priority="153" operator="containsText" text=" ">
      <formula>NOT(ISERROR(SEARCH(" ",AF92)))</formula>
    </cfRule>
  </conditionalFormatting>
  <conditionalFormatting sqref="AF93">
    <cfRule type="containsText" dxfId="1400" priority="150" operator="containsText" text=" ">
      <formula>NOT(ISERROR(SEARCH(" ",AF93)))</formula>
    </cfRule>
  </conditionalFormatting>
  <conditionalFormatting sqref="AF94">
    <cfRule type="containsText" dxfId="1399" priority="147" operator="containsText" text=" ">
      <formula>NOT(ISERROR(SEARCH(" ",AF94)))</formula>
    </cfRule>
  </conditionalFormatting>
  <conditionalFormatting sqref="AF95">
    <cfRule type="containsText" dxfId="1398" priority="136" operator="containsText" text=" ">
      <formula>NOT(ISERROR(SEARCH(" ",AF95)))</formula>
    </cfRule>
  </conditionalFormatting>
  <conditionalFormatting sqref="AF96">
    <cfRule type="containsText" dxfId="1397" priority="132" operator="containsText" text=" ">
      <formula>NOT(ISERROR(SEARCH(" ",AF96)))</formula>
    </cfRule>
  </conditionalFormatting>
  <conditionalFormatting sqref="AF97">
    <cfRule type="containsText" dxfId="1396" priority="128" operator="containsText" text=" ">
      <formula>NOT(ISERROR(SEARCH(" ",AF97)))</formula>
    </cfRule>
  </conditionalFormatting>
  <conditionalFormatting sqref="AF98">
    <cfRule type="containsText" dxfId="1395" priority="125" operator="containsText" text=" ">
      <formula>NOT(ISERROR(SEARCH(" ",AF98)))</formula>
    </cfRule>
  </conditionalFormatting>
  <conditionalFormatting sqref="AF99">
    <cfRule type="containsText" dxfId="1394" priority="122" operator="containsText" text=" ">
      <formula>NOT(ISERROR(SEARCH(" ",AF99)))</formula>
    </cfRule>
  </conditionalFormatting>
  <conditionalFormatting sqref="AB100">
    <cfRule type="containsText" dxfId="1393" priority="1" operator="containsText" text=" ">
      <formula>NOT(ISERROR(SEARCH(" ",AB100)))</formula>
    </cfRule>
    <cfRule type="containsText" dxfId="1392" priority="2" operator="containsText" text=" ">
      <formula>NOT(ISERROR(SEARCH(" ",AB100)))</formula>
    </cfRule>
  </conditionalFormatting>
  <conditionalFormatting sqref="AF100">
    <cfRule type="containsText" dxfId="1391" priority="119" operator="containsText" text=" ">
      <formula>NOT(ISERROR(SEARCH(" ",AF100)))</formula>
    </cfRule>
  </conditionalFormatting>
  <conditionalFormatting sqref="AF101">
    <cfRule type="containsText" dxfId="1390" priority="116" operator="containsText" text=" ">
      <formula>NOT(ISERROR(SEARCH(" ",AF101)))</formula>
    </cfRule>
  </conditionalFormatting>
  <conditionalFormatting sqref="AF102">
    <cfRule type="containsText" dxfId="1389" priority="113" operator="containsText" text=" ">
      <formula>NOT(ISERROR(SEARCH(" ",AF102)))</formula>
    </cfRule>
  </conditionalFormatting>
  <conditionalFormatting sqref="AF103">
    <cfRule type="containsText" dxfId="1388" priority="110" operator="containsText" text=" ">
      <formula>NOT(ISERROR(SEARCH(" ",AF103)))</formula>
    </cfRule>
  </conditionalFormatting>
  <conditionalFormatting sqref="W5:W103">
    <cfRule type="containsText" dxfId="1387" priority="19" operator="containsText" text=" ">
      <formula>NOT(ISERROR(SEARCH(" ",W5)))</formula>
    </cfRule>
  </conditionalFormatting>
  <conditionalFormatting sqref="X5:X103">
    <cfRule type="containsText" dxfId="1386" priority="433" operator="containsText" text=" ">
      <formula>NOT(ISERROR(SEARCH(" ",X5)))</formula>
    </cfRule>
  </conditionalFormatting>
  <conditionalFormatting sqref="AA5:AA103">
    <cfRule type="containsText" dxfId="1385" priority="94" operator="containsText" text=" ">
      <formula>NOT(ISERROR(SEARCH(" ",AA5)))</formula>
    </cfRule>
  </conditionalFormatting>
  <conditionalFormatting sqref="AB1:AB1048576">
    <cfRule type="containsText" dxfId="1384" priority="20" operator="containsText" text="狂暴">
      <formula>NOT(ISERROR(SEARCH("狂暴",AB1)))</formula>
    </cfRule>
  </conditionalFormatting>
  <conditionalFormatting sqref="AB5:AB6">
    <cfRule type="containsText" dxfId="1383" priority="431" operator="containsText" text=" ">
      <formula>NOT(ISERROR(SEARCH(" ",AB5)))</formula>
    </cfRule>
  </conditionalFormatting>
  <conditionalFormatting sqref="AB9:AB11">
    <cfRule type="containsText" dxfId="1382" priority="92" operator="containsText" text=" ">
      <formula>NOT(ISERROR(SEARCH(" ",AB9)))</formula>
    </cfRule>
  </conditionalFormatting>
  <conditionalFormatting sqref="AB14:AB16">
    <cfRule type="containsText" dxfId="1381" priority="36" operator="containsText" text=" ">
      <formula>NOT(ISERROR(SEARCH(" ",AB14)))</formula>
    </cfRule>
  </conditionalFormatting>
  <conditionalFormatting sqref="AB18:AB21">
    <cfRule type="containsText" dxfId="1380" priority="32" operator="containsText" text=" ">
      <formula>NOT(ISERROR(SEARCH(" ",AB18)))</formula>
    </cfRule>
  </conditionalFormatting>
  <conditionalFormatting sqref="AB24:AB103">
    <cfRule type="containsText" dxfId="1379" priority="21" operator="containsText" text=" ">
      <formula>NOT(ISERROR(SEARCH(" ",AB24)))</formula>
    </cfRule>
  </conditionalFormatting>
  <conditionalFormatting sqref="AG10:AG14">
    <cfRule type="containsText" dxfId="1378" priority="103" operator="containsText" text=" ">
      <formula>NOT(ISERROR(SEARCH(" ",AG10)))</formula>
    </cfRule>
  </conditionalFormatting>
  <conditionalFormatting sqref="AH5:AH44">
    <cfRule type="cellIs" dxfId="1377" priority="83" operator="notEqual">
      <formula>"金币"</formula>
    </cfRule>
    <cfRule type="cellIs" dxfId="1376" priority="84" operator="equal">
      <formula>""""""</formula>
    </cfRule>
  </conditionalFormatting>
  <conditionalFormatting sqref="AH56:AH1048576">
    <cfRule type="cellIs" dxfId="1375" priority="271" operator="notEqual">
      <formula>"金币"</formula>
    </cfRule>
  </conditionalFormatting>
  <conditionalFormatting sqref="AM56:AM1048576">
    <cfRule type="cellIs" dxfId="1374" priority="267" operator="notEqual">
      <formula>"金币"</formula>
    </cfRule>
    <cfRule type="containsText" dxfId="1373" priority="270" operator="containsText" text=" ">
      <formula>NOT(ISERROR(SEARCH(" ",AM56)))</formula>
    </cfRule>
  </conditionalFormatting>
  <conditionalFormatting sqref="AT12:AT18">
    <cfRule type="containsText" dxfId="1372" priority="438" operator="containsText" text=" ">
      <formula>NOT(ISERROR(SEARCH(" ",AT12)))</formula>
    </cfRule>
  </conditionalFormatting>
  <conditionalFormatting sqref="H1:J5">
    <cfRule type="containsText" dxfId="1371" priority="277" operator="containsText" text=" ">
      <formula>NOT(ISERROR(SEARCH(" ",H1)))</formula>
    </cfRule>
  </conditionalFormatting>
  <conditionalFormatting sqref="AJ3:AL3 AK1:AL2">
    <cfRule type="containsText" dxfId="1370" priority="64" operator="containsText" text=" ">
      <formula>NOT(ISERROR(SEARCH(" ",AJ1)))</formula>
    </cfRule>
  </conditionalFormatting>
  <conditionalFormatting sqref="AP1:AQ3">
    <cfRule type="containsText" dxfId="1369" priority="62" operator="containsText" text=" ">
      <formula>NOT(ISERROR(SEARCH(" ",AP1)))</formula>
    </cfRule>
  </conditionalFormatting>
  <conditionalFormatting sqref="AG4 T7 T9 T11 T13 T15 T17 T19 T21 T23 T25 T27 T29 T31 T33 T35 T37 AB8 T3:X4 R5 AA3:AB4 Y3:Z44 AC3:AD44 R6:S44 T39:T44 K5 BA5:XFD30 Y104:AD1048576 F45:F54 A5:G5 H6:K44 G6:G54 AT7:AT10 AT31:XFD44 AT19:AT30 AG7:AG9 C6:F44 C45:E103 A6:B103 T5">
    <cfRule type="containsText" dxfId="1368" priority="440" operator="containsText" text=" ">
      <formula>NOT(ISERROR(SEARCH(" ",A3)))</formula>
    </cfRule>
  </conditionalFormatting>
  <conditionalFormatting sqref="A104:X1048576 R45:S103 AR4:AT4 AT5:AT6 AG5:AG6 AR5:AR54 H45:K103 L5:Q103">
    <cfRule type="containsText" dxfId="1367" priority="275" operator="containsText" text=" ">
      <formula>NOT(ISERROR(SEARCH(" ",A4)))</formula>
    </cfRule>
  </conditionalFormatting>
  <conditionalFormatting sqref="R4:S4 AI4:AL4 AE104:AL1048576 AN56:XFD1048576 AG56:AL103 AT45:XFD54 AG55 AR55:XFD55">
    <cfRule type="containsText" dxfId="1366" priority="436" operator="containsText" text=" ">
      <formula>NOT(ISERROR(SEARCH(" ",R4)))</formula>
    </cfRule>
  </conditionalFormatting>
  <conditionalFormatting sqref="U5:V44">
    <cfRule type="containsText" dxfId="1365" priority="309" operator="containsText" text=" ">
      <formula>NOT(ISERROR(SEARCH(" ",U5)))</formula>
    </cfRule>
  </conditionalFormatting>
  <conditionalFormatting sqref="AE5:AF5 AF26:AF27 AF6:AF22 AE6:AE103">
    <cfRule type="containsText" dxfId="1364" priority="439" operator="containsText" text=" ">
      <formula>NOT(ISERROR(SEARCH(" ",AE5)))</formula>
    </cfRule>
  </conditionalFormatting>
  <conditionalFormatting sqref="AN5:AO44 AH5:AH44">
    <cfRule type="containsText" dxfId="1363" priority="88" operator="containsText" text=" ">
      <formula>NOT(ISERROR(SEARCH(" ",AH5)))</formula>
    </cfRule>
  </conditionalFormatting>
  <conditionalFormatting sqref="AI5:AJ44">
    <cfRule type="containsText" dxfId="1362" priority="85" operator="containsText" text=" ">
      <formula>NOT(ISERROR(SEARCH(" ",AI5)))</formula>
    </cfRule>
  </conditionalFormatting>
  <conditionalFormatting sqref="AK5:AL44">
    <cfRule type="containsText" dxfId="1361" priority="86" operator="containsText" text=" ">
      <formula>NOT(ISERROR(SEARCH(" ",AK5)))</formula>
    </cfRule>
  </conditionalFormatting>
  <conditionalFormatting sqref="AM5:AM52 AM54">
    <cfRule type="cellIs" dxfId="1360" priority="80" operator="notEqual">
      <formula>"金币"</formula>
    </cfRule>
    <cfRule type="cellIs" dxfId="1359" priority="81" operator="equal">
      <formula>""""""</formula>
    </cfRule>
    <cfRule type="containsText" dxfId="1358" priority="82" operator="containsText" text=" ">
      <formula>NOT(ISERROR(SEARCH(" ",AM5)))</formula>
    </cfRule>
  </conditionalFormatting>
  <conditionalFormatting sqref="AP5:AQ5 AQ6:AQ52 AP6:AP44 AQ54">
    <cfRule type="containsText" dxfId="1357" priority="87" operator="containsText" text=" ">
      <formula>NOT(ISERROR(SEARCH(" ",AP5)))</formula>
    </cfRule>
  </conditionalFormatting>
  <conditionalFormatting sqref="T6 T8 T10 T12 T14 T16 T18 T20 T22 T24 T26 T28 T30 T32 T34 T36 T38">
    <cfRule type="containsText" dxfId="1356" priority="434" operator="containsText" text=" ">
      <formula>NOT(ISERROR(SEARCH(" ",T6)))</formula>
    </cfRule>
  </conditionalFormatting>
  <conditionalFormatting sqref="AG15:AG19 AG25:AG29 AG35:AG39 AG45:AG49">
    <cfRule type="containsText" dxfId="1355" priority="102" operator="containsText" text=" ">
      <formula>NOT(ISERROR(SEARCH(" ",AG15)))</formula>
    </cfRule>
  </conditionalFormatting>
  <conditionalFormatting sqref="AG20:AG24 AG30:AG34 AG40:AG44 AG50:AG54">
    <cfRule type="containsText" dxfId="1354" priority="101" operator="containsText" text=" ">
      <formula>NOT(ISERROR(SEARCH(" ",AG20)))</formula>
    </cfRule>
  </conditionalFormatting>
  <conditionalFormatting sqref="T47 T49 T51 T53 T55 T57 T59 T61 T63 T65 T67 T69 T71 T73 T75 T77 T45 Y45:Z84 AC45:AD84 T79:T84">
    <cfRule type="containsText" dxfId="1353" priority="257" operator="containsText" text=" ">
      <formula>NOT(ISERROR(SEARCH(" ",T45)))</formula>
    </cfRule>
  </conditionalFormatting>
  <conditionalFormatting sqref="U45:V84">
    <cfRule type="containsText" dxfId="1352" priority="182" operator="containsText" text=" ">
      <formula>NOT(ISERROR(SEARCH(" ",U45)))</formula>
    </cfRule>
  </conditionalFormatting>
  <conditionalFormatting sqref="AF45:AF62 AF66:AF67">
    <cfRule type="containsText" dxfId="1351" priority="256" operator="containsText" text=" ">
      <formula>NOT(ISERROR(SEARCH(" ",AF45)))</formula>
    </cfRule>
  </conditionalFormatting>
  <conditionalFormatting sqref="AH45:AH52 AH54">
    <cfRule type="cellIs" dxfId="1350" priority="75" operator="notEqual">
      <formula>"金币"</formula>
    </cfRule>
    <cfRule type="cellIs" dxfId="1349" priority="76" operator="equal">
      <formula>""""""</formula>
    </cfRule>
  </conditionalFormatting>
  <conditionalFormatting sqref="AN45:AO52 AH45:AH52 AN54:AO54 AH54">
    <cfRule type="containsText" dxfId="1348" priority="79" operator="containsText" text=" ">
      <formula>NOT(ISERROR(SEARCH(" ",AH45)))</formula>
    </cfRule>
  </conditionalFormatting>
  <conditionalFormatting sqref="AI45:AJ52 AI54:AJ54">
    <cfRule type="containsText" dxfId="1347" priority="77" operator="containsText" text=" ">
      <formula>NOT(ISERROR(SEARCH(" ",AI45)))</formula>
    </cfRule>
  </conditionalFormatting>
  <conditionalFormatting sqref="AK45:AL52 AK54:AL54">
    <cfRule type="containsText" dxfId="1346" priority="78" operator="containsText" text=" ">
      <formula>NOT(ISERROR(SEARCH(" ",AK45)))</formula>
    </cfRule>
  </conditionalFormatting>
  <conditionalFormatting sqref="T46 T48 T50 T52 T54 T56 T58 T60 T62 T64 T66 T68 T70 T72 T74 T76 T78">
    <cfRule type="containsText" dxfId="1345" priority="255" operator="containsText" text=" ">
      <formula>NOT(ISERROR(SEARCH(" ",T46)))</formula>
    </cfRule>
  </conditionalFormatting>
  <conditionalFormatting sqref="AN53:AO53 AH53">
    <cfRule type="containsText" dxfId="1344" priority="54" operator="containsText" text=" ">
      <formula>NOT(ISERROR(SEARCH(" ",AH53)))</formula>
    </cfRule>
  </conditionalFormatting>
  <conditionalFormatting sqref="F55:G103">
    <cfRule type="containsText" dxfId="1343" priority="38" operator="containsText" text=" ">
      <formula>NOT(ISERROR(SEARCH(" ",F55)))</formula>
    </cfRule>
  </conditionalFormatting>
  <conditionalFormatting sqref="AN55:AO55 AH55">
    <cfRule type="containsText" dxfId="1342" priority="44" operator="containsText" text=" ">
      <formula>NOT(ISERROR(SEARCH(" ",AH55)))</formula>
    </cfRule>
  </conditionalFormatting>
  <conditionalFormatting sqref="T85 T87 Y85:Z94 AC85:AD94 T89:T94">
    <cfRule type="containsText" dxfId="1341" priority="180" operator="containsText" text=" ">
      <formula>NOT(ISERROR(SEARCH(" ",T85)))</formula>
    </cfRule>
  </conditionalFormatting>
  <conditionalFormatting sqref="U85:V94">
    <cfRule type="containsText" dxfId="1340" priority="142" operator="containsText" text=" ">
      <formula>NOT(ISERROR(SEARCH(" ",U85)))</formula>
    </cfRule>
  </conditionalFormatting>
  <conditionalFormatting sqref="T86 T88">
    <cfRule type="containsText" dxfId="1339" priority="179" operator="containsText" text=" ">
      <formula>NOT(ISERROR(SEARCH(" ",T86)))</formula>
    </cfRule>
  </conditionalFormatting>
  <conditionalFormatting sqref="T95 T97 Y95:Z103 AC95:AD103 T99:T103">
    <cfRule type="containsText" dxfId="1338" priority="140" operator="containsText" text=" ">
      <formula>NOT(ISERROR(SEARCH(" ",T95)))</formula>
    </cfRule>
  </conditionalFormatting>
  <conditionalFormatting sqref="U95:V103">
    <cfRule type="containsText" dxfId="1337" priority="105" operator="containsText" text=" ">
      <formula>NOT(ISERROR(SEARCH(" ",U95)))</formula>
    </cfRule>
  </conditionalFormatting>
  <conditionalFormatting sqref="T96 T98">
    <cfRule type="containsText" dxfId="1336" priority="139" operator="containsText" text=" ">
      <formula>NOT(ISERROR(SEARCH(" ",T96)))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C62"/>
  <sheetViews>
    <sheetView workbookViewId="0">
      <pane xSplit="5" ySplit="4" topLeftCell="AS41" activePane="bottomRight" state="frozen"/>
      <selection pane="topRight"/>
      <selection pane="bottomLeft"/>
      <selection pane="bottomRight" activeCell="AZ56" sqref="AZ56"/>
    </sheetView>
  </sheetViews>
  <sheetFormatPr defaultColWidth="9" defaultRowHeight="15.6" x14ac:dyDescent="0.35"/>
  <cols>
    <col min="1" max="1" width="5.77734375" style="229" customWidth="1"/>
    <col min="2" max="2" width="18.21875" style="229" customWidth="1"/>
    <col min="3" max="3" width="12.88671875" style="229" customWidth="1"/>
    <col min="4" max="4" width="17.33203125" style="229" customWidth="1"/>
    <col min="5" max="5" width="7.109375" style="229" customWidth="1"/>
    <col min="6" max="7" width="10.33203125" style="229" customWidth="1"/>
    <col min="8" max="8" width="13.6640625" style="229" customWidth="1"/>
    <col min="9" max="11" width="10.44140625" style="229" customWidth="1"/>
    <col min="12" max="13" width="11.6640625" style="229" customWidth="1"/>
    <col min="14" max="14" width="14" style="229" customWidth="1"/>
    <col min="15" max="18" width="13.88671875" style="229" customWidth="1"/>
    <col min="19" max="19" width="13.21875" style="229" customWidth="1"/>
    <col min="20" max="22" width="13.44140625" style="229" customWidth="1"/>
    <col min="23" max="23" width="9.44140625" style="229" customWidth="1"/>
    <col min="24" max="24" width="9.88671875" style="229" customWidth="1"/>
    <col min="25" max="25" width="13.6640625" style="229" customWidth="1"/>
    <col min="26" max="26" width="17" style="229" customWidth="1"/>
    <col min="27" max="29" width="13.109375" style="229" customWidth="1"/>
    <col min="30" max="30" width="14.88671875" style="232" customWidth="1"/>
    <col min="31" max="31" width="22.44140625" style="229" customWidth="1"/>
    <col min="32" max="32" width="10.6640625" style="229" customWidth="1"/>
    <col min="33" max="33" width="11.88671875" style="229" customWidth="1"/>
    <col min="34" max="34" width="15.6640625" style="229" customWidth="1"/>
    <col min="35" max="35" width="8.21875" style="229" customWidth="1"/>
    <col min="36" max="36" width="6.88671875" style="229" customWidth="1"/>
    <col min="37" max="37" width="9" style="229" customWidth="1"/>
    <col min="38" max="38" width="8.6640625" style="229" customWidth="1"/>
    <col min="39" max="39" width="6.21875" style="229" customWidth="1"/>
    <col min="40" max="40" width="12.6640625" style="229" customWidth="1"/>
    <col min="41" max="42" width="13.44140625" style="229" customWidth="1"/>
    <col min="43" max="43" width="10.109375" style="229" customWidth="1"/>
    <col min="44" max="44" width="8.44140625" style="229" customWidth="1"/>
    <col min="45" max="45" width="8.109375" style="229" customWidth="1"/>
    <col min="46" max="46" width="9.33203125" style="229" customWidth="1"/>
    <col min="47" max="47" width="10.44140625" style="233" customWidth="1"/>
    <col min="48" max="48" width="13.6640625" style="233" customWidth="1"/>
    <col min="49" max="49" width="28" style="229" customWidth="1"/>
    <col min="50" max="52" width="21.88671875" style="229" customWidth="1"/>
    <col min="53" max="53" width="7.6640625" style="229" customWidth="1"/>
    <col min="54" max="54" width="7.88671875" style="229" customWidth="1"/>
    <col min="55" max="55" width="11.21875" style="229" customWidth="1"/>
    <col min="56" max="57" width="12.77734375" style="229" customWidth="1"/>
    <col min="58" max="58" width="7.44140625" style="229" customWidth="1"/>
    <col min="59" max="59" width="15.21875" style="229" customWidth="1"/>
    <col min="60" max="61" width="9" style="229"/>
    <col min="62" max="62" width="17.109375" style="229" customWidth="1"/>
    <col min="63" max="64" width="9" style="229"/>
    <col min="65" max="65" width="10.88671875" style="229" customWidth="1"/>
    <col min="66" max="67" width="9" style="229"/>
    <col min="68" max="68" width="10.21875" style="229" customWidth="1"/>
    <col min="69" max="71" width="9" style="229"/>
    <col min="72" max="72" width="10.44140625" style="234" customWidth="1"/>
    <col min="73" max="73" width="10.44140625" style="235" customWidth="1"/>
    <col min="74" max="80" width="9" style="235"/>
    <col min="81" max="81" width="11.109375" style="235" customWidth="1"/>
    <col min="82" max="82" width="11.44140625" style="236" customWidth="1"/>
    <col min="83" max="83" width="11.109375" style="235" customWidth="1"/>
    <col min="84" max="84" width="11.44140625" style="236" customWidth="1"/>
    <col min="85" max="85" width="11.109375" style="235" customWidth="1"/>
    <col min="86" max="86" width="11.44140625" style="237" customWidth="1"/>
    <col min="87" max="87" width="9" style="229"/>
    <col min="88" max="88" width="9" style="229" hidden="1" customWidth="1"/>
    <col min="89" max="89" width="9" style="238" hidden="1" customWidth="1"/>
    <col min="90" max="90" width="9" style="236" hidden="1" customWidth="1"/>
    <col min="91" max="91" width="11" style="236" hidden="1" customWidth="1"/>
    <col min="92" max="92" width="9.77734375" style="236" hidden="1" customWidth="1"/>
    <col min="93" max="93" width="12.21875" style="236" hidden="1" customWidth="1"/>
    <col min="94" max="94" width="12.77734375" style="236" hidden="1" customWidth="1"/>
    <col min="95" max="95" width="10.33203125" style="236" hidden="1" customWidth="1"/>
    <col min="96" max="96" width="10.44140625" style="236" hidden="1" customWidth="1"/>
    <col min="97" max="100" width="9" style="236" hidden="1" customWidth="1"/>
    <col min="101" max="101" width="9" style="237" hidden="1" customWidth="1"/>
    <col min="102" max="103" width="9" style="229"/>
    <col min="104" max="104" width="11.21875" style="229" customWidth="1"/>
    <col min="105" max="105" width="9" style="229"/>
    <col min="106" max="106" width="9.21875" style="229" customWidth="1"/>
    <col min="107" max="109" width="9" style="229"/>
    <col min="110" max="110" width="9" style="230"/>
    <col min="111" max="112" width="9" style="229"/>
    <col min="113" max="113" width="9" style="230"/>
    <col min="114" max="115" width="9" style="229"/>
    <col min="116" max="116" width="9" style="230"/>
    <col min="117" max="118" width="9" style="229"/>
    <col min="119" max="119" width="9" style="230"/>
    <col min="120" max="121" width="9" style="229"/>
    <col min="122" max="122" width="9" style="230"/>
    <col min="123" max="124" width="9" style="229"/>
    <col min="125" max="125" width="9" style="230"/>
    <col min="126" max="127" width="9" style="229"/>
    <col min="128" max="128" width="9" style="230"/>
    <col min="129" max="130" width="9" style="229"/>
    <col min="131" max="131" width="9" style="230"/>
    <col min="132" max="133" width="9" style="229"/>
    <col min="134" max="134" width="9" style="230"/>
    <col min="135" max="136" width="9" style="229"/>
    <col min="137" max="137" width="9" style="230"/>
    <col min="138" max="138" width="9.44140625" style="229" customWidth="1"/>
    <col min="139" max="139" width="9" style="229"/>
    <col min="140" max="140" width="9" style="230"/>
    <col min="141" max="142" width="9" style="229"/>
    <col min="143" max="143" width="9" style="230"/>
    <col min="144" max="145" width="9" style="229"/>
    <col min="146" max="146" width="9" style="230"/>
    <col min="147" max="148" width="9" style="229"/>
    <col min="149" max="149" width="9" style="230"/>
    <col min="150" max="151" width="9" style="229"/>
    <col min="152" max="152" width="9" style="230"/>
    <col min="153" max="154" width="9" style="229"/>
    <col min="155" max="155" width="9" style="230"/>
    <col min="156" max="157" width="9" style="229"/>
    <col min="158" max="158" width="9" style="230"/>
    <col min="159" max="160" width="9" style="229"/>
    <col min="161" max="161" width="9" style="230"/>
    <col min="162" max="163" width="9" style="229"/>
    <col min="164" max="164" width="9" style="230"/>
    <col min="165" max="166" width="9" style="229"/>
    <col min="167" max="167" width="9" style="230"/>
    <col min="168" max="170" width="9" style="229"/>
    <col min="171" max="171" width="10.88671875" style="229" customWidth="1"/>
    <col min="172" max="177" width="10.6640625" style="229" customWidth="1"/>
    <col min="178" max="191" width="10.44140625" style="229" customWidth="1"/>
    <col min="192" max="16384" width="9" style="229"/>
  </cols>
  <sheetData>
    <row r="1" spans="1:211" ht="16.2" x14ac:dyDescent="0.4">
      <c r="A1" s="2" t="s">
        <v>0</v>
      </c>
      <c r="B1" s="2" t="s">
        <v>796</v>
      </c>
      <c r="C1" s="2" t="s">
        <v>0</v>
      </c>
      <c r="D1" s="2" t="s">
        <v>0</v>
      </c>
      <c r="E1" s="2" t="s">
        <v>0</v>
      </c>
      <c r="F1" s="2" t="s">
        <v>796</v>
      </c>
      <c r="G1" s="2" t="s">
        <v>796</v>
      </c>
      <c r="H1" s="239" t="s">
        <v>0</v>
      </c>
      <c r="I1" s="2" t="s">
        <v>1</v>
      </c>
      <c r="J1" s="2" t="s">
        <v>1</v>
      </c>
      <c r="K1" s="2" t="s">
        <v>0</v>
      </c>
      <c r="L1" s="2" t="s">
        <v>1</v>
      </c>
      <c r="M1" s="2" t="s">
        <v>0</v>
      </c>
      <c r="N1" s="249" t="s">
        <v>1</v>
      </c>
      <c r="O1" s="249" t="s">
        <v>1</v>
      </c>
      <c r="P1" s="250" t="s">
        <v>1</v>
      </c>
      <c r="Q1" s="250" t="s">
        <v>1</v>
      </c>
      <c r="R1" s="250" t="s">
        <v>1</v>
      </c>
      <c r="S1" s="252" t="s">
        <v>1</v>
      </c>
      <c r="T1" s="249" t="s">
        <v>1</v>
      </c>
      <c r="U1" s="262" t="s">
        <v>1</v>
      </c>
      <c r="V1" s="263" t="s">
        <v>1</v>
      </c>
      <c r="W1" s="264" t="s">
        <v>1</v>
      </c>
      <c r="X1" s="265" t="s">
        <v>1</v>
      </c>
      <c r="Y1" s="264" t="s">
        <v>1</v>
      </c>
      <c r="Z1" s="296" t="s">
        <v>1</v>
      </c>
      <c r="AA1" s="296" t="s">
        <v>1</v>
      </c>
      <c r="AB1" s="297" t="s">
        <v>1</v>
      </c>
      <c r="AC1" s="297" t="s">
        <v>1</v>
      </c>
      <c r="AD1" s="298" t="s">
        <v>796</v>
      </c>
      <c r="AE1" s="2" t="s">
        <v>796</v>
      </c>
      <c r="AF1" s="2" t="s">
        <v>796</v>
      </c>
      <c r="AG1" s="2" t="s">
        <v>796</v>
      </c>
      <c r="AH1" s="2" t="s">
        <v>796</v>
      </c>
      <c r="AI1" s="2" t="s">
        <v>796</v>
      </c>
      <c r="AJ1" s="2" t="s">
        <v>796</v>
      </c>
      <c r="AK1" s="2" t="s">
        <v>796</v>
      </c>
      <c r="AL1" s="2" t="s">
        <v>796</v>
      </c>
      <c r="AM1" s="2" t="s">
        <v>796</v>
      </c>
      <c r="AN1" s="2" t="s">
        <v>796</v>
      </c>
      <c r="AO1" s="2" t="s">
        <v>796</v>
      </c>
      <c r="AP1" s="2" t="s">
        <v>796</v>
      </c>
      <c r="AQ1" s="2" t="s">
        <v>796</v>
      </c>
      <c r="AR1" s="2" t="s">
        <v>796</v>
      </c>
      <c r="AS1" s="2" t="s">
        <v>796</v>
      </c>
      <c r="AT1" s="2" t="s">
        <v>796</v>
      </c>
      <c r="AU1" s="2" t="s">
        <v>796</v>
      </c>
      <c r="AV1" s="2" t="s">
        <v>796</v>
      </c>
      <c r="AW1" s="2" t="s">
        <v>796</v>
      </c>
      <c r="AX1" s="2" t="s">
        <v>796</v>
      </c>
      <c r="AY1" s="2" t="s">
        <v>796</v>
      </c>
      <c r="AZ1" s="2" t="s">
        <v>796</v>
      </c>
      <c r="BA1" s="2" t="s">
        <v>1145</v>
      </c>
      <c r="BB1" s="305"/>
      <c r="BC1" s="305"/>
      <c r="BD1" s="313" t="s">
        <v>1146</v>
      </c>
      <c r="BE1" s="95">
        <f>E48-'全局参数|GlobalPar'!B25</f>
        <v>150</v>
      </c>
      <c r="BF1" s="323" t="s">
        <v>0</v>
      </c>
      <c r="BG1" s="323" t="s">
        <v>1</v>
      </c>
      <c r="BJ1" s="324" t="s">
        <v>1147</v>
      </c>
      <c r="BK1" s="325">
        <v>3</v>
      </c>
      <c r="BM1" s="341" t="s">
        <v>1148</v>
      </c>
      <c r="BN1" s="310">
        <v>0.06</v>
      </c>
      <c r="BT1" s="648" t="s">
        <v>1149</v>
      </c>
      <c r="BU1" s="649"/>
      <c r="BV1" s="649"/>
      <c r="BW1" s="662">
        <v>0.1</v>
      </c>
      <c r="BZ1" s="650" t="s">
        <v>1150</v>
      </c>
      <c r="CA1" s="650"/>
      <c r="CB1" s="650"/>
      <c r="CC1" s="650"/>
      <c r="CD1" s="650"/>
      <c r="CK1" s="361" t="s">
        <v>1151</v>
      </c>
      <c r="CL1" s="362" t="s">
        <v>97</v>
      </c>
      <c r="CM1" s="651" t="s">
        <v>1152</v>
      </c>
      <c r="CN1" s="652"/>
      <c r="CO1" s="652"/>
      <c r="CP1" s="653"/>
      <c r="CQ1" s="363" t="s">
        <v>1153</v>
      </c>
      <c r="CR1" s="364" t="e">
        <f>CN3*CR3*60*6*(1-CK2/(1+CO5))</f>
        <v>#DIV/0!</v>
      </c>
      <c r="CS1" s="393"/>
      <c r="CT1" s="394"/>
      <c r="CU1" s="395"/>
      <c r="CV1" s="395"/>
      <c r="CW1" s="396"/>
      <c r="CY1" s="1" t="s">
        <v>1154</v>
      </c>
      <c r="CZ1" s="1"/>
      <c r="DA1" s="1"/>
      <c r="DB1" s="1"/>
      <c r="DE1" s="83" t="s">
        <v>1155</v>
      </c>
      <c r="DF1" s="83"/>
      <c r="DI1" s="83"/>
      <c r="DL1" s="83"/>
      <c r="DO1" s="83"/>
      <c r="DR1" s="83"/>
      <c r="DU1" s="83"/>
      <c r="DX1" s="83"/>
      <c r="EA1" s="83"/>
      <c r="ED1" s="83"/>
      <c r="EG1" s="83"/>
      <c r="EJ1" s="83"/>
      <c r="EM1" s="83"/>
      <c r="EP1" s="83"/>
      <c r="ES1" s="83"/>
      <c r="EV1" s="83"/>
      <c r="EY1" s="83"/>
      <c r="FB1" s="83"/>
      <c r="FE1" s="83"/>
      <c r="FH1" s="83"/>
      <c r="FK1" s="83"/>
      <c r="FO1" s="416"/>
      <c r="FP1" s="417" t="s">
        <v>1156</v>
      </c>
      <c r="FW1" s="422" t="s">
        <v>757</v>
      </c>
      <c r="FX1" s="423">
        <f>'全局参数|GlobalPar'!T259</f>
        <v>960000</v>
      </c>
    </row>
    <row r="2" spans="1:211" ht="16.2" x14ac:dyDescent="0.4">
      <c r="A2" s="2" t="s">
        <v>11</v>
      </c>
      <c r="B2" s="2" t="s">
        <v>14</v>
      </c>
      <c r="C2" s="2" t="s">
        <v>11</v>
      </c>
      <c r="D2" s="2" t="s">
        <v>11</v>
      </c>
      <c r="E2" s="2" t="s">
        <v>11</v>
      </c>
      <c r="F2" s="2" t="s">
        <v>14</v>
      </c>
      <c r="G2" s="2" t="s">
        <v>11</v>
      </c>
      <c r="H2" s="2" t="s">
        <v>14</v>
      </c>
      <c r="I2" s="2" t="s">
        <v>11</v>
      </c>
      <c r="J2" s="2" t="s">
        <v>11</v>
      </c>
      <c r="K2" s="2" t="s">
        <v>13</v>
      </c>
      <c r="L2" s="2" t="s">
        <v>13</v>
      </c>
      <c r="M2" s="2" t="s">
        <v>11</v>
      </c>
      <c r="N2" s="2" t="s">
        <v>13</v>
      </c>
      <c r="O2" s="2" t="s">
        <v>13</v>
      </c>
      <c r="P2" s="251" t="s">
        <v>13</v>
      </c>
      <c r="Q2" s="252" t="s">
        <v>11</v>
      </c>
      <c r="R2" s="252" t="s">
        <v>11</v>
      </c>
      <c r="S2" s="252" t="s">
        <v>14</v>
      </c>
      <c r="T2" s="3" t="s">
        <v>797</v>
      </c>
      <c r="U2" s="266" t="s">
        <v>13</v>
      </c>
      <c r="V2" s="251" t="s">
        <v>13</v>
      </c>
      <c r="W2" s="252" t="s">
        <v>13</v>
      </c>
      <c r="X2" s="267" t="s">
        <v>13</v>
      </c>
      <c r="Y2" s="252" t="s">
        <v>13</v>
      </c>
      <c r="Z2" s="296" t="s">
        <v>14</v>
      </c>
      <c r="AA2" s="296" t="s">
        <v>14</v>
      </c>
      <c r="AB2" s="297" t="s">
        <v>13</v>
      </c>
      <c r="AC2" s="297" t="s">
        <v>11</v>
      </c>
      <c r="AD2" s="298" t="s">
        <v>11</v>
      </c>
      <c r="AE2" s="2" t="s">
        <v>11</v>
      </c>
      <c r="AF2" s="2" t="s">
        <v>11</v>
      </c>
      <c r="AG2" s="2" t="s">
        <v>11</v>
      </c>
      <c r="AH2" s="2" t="s">
        <v>11</v>
      </c>
      <c r="AI2" s="2" t="s">
        <v>11</v>
      </c>
      <c r="AJ2" s="2" t="s">
        <v>13</v>
      </c>
      <c r="AK2" s="2" t="s">
        <v>13</v>
      </c>
      <c r="AL2" s="2" t="s">
        <v>13</v>
      </c>
      <c r="AM2" s="2" t="s">
        <v>13</v>
      </c>
      <c r="AN2" s="2" t="s">
        <v>12</v>
      </c>
      <c r="AO2" s="2" t="s">
        <v>12</v>
      </c>
      <c r="AP2" s="2" t="s">
        <v>12</v>
      </c>
      <c r="AQ2" s="2" t="s">
        <v>13</v>
      </c>
      <c r="AR2" s="2" t="s">
        <v>11</v>
      </c>
      <c r="AS2" s="2" t="s">
        <v>13</v>
      </c>
      <c r="AT2" s="2" t="s">
        <v>13</v>
      </c>
      <c r="AU2" s="2" t="s">
        <v>13</v>
      </c>
      <c r="AV2" s="2" t="s">
        <v>12</v>
      </c>
      <c r="AW2" s="2" t="s">
        <v>12</v>
      </c>
      <c r="AX2" s="2" t="s">
        <v>12</v>
      </c>
      <c r="AY2" s="2" t="s">
        <v>12</v>
      </c>
      <c r="AZ2" s="2" t="s">
        <v>12</v>
      </c>
      <c r="BA2" s="2" t="s">
        <v>13</v>
      </c>
      <c r="BB2" s="305"/>
      <c r="BC2" s="305"/>
      <c r="BD2" s="313" t="s">
        <v>1157</v>
      </c>
      <c r="BE2" s="39">
        <v>0.75</v>
      </c>
      <c r="BF2" s="323" t="s">
        <v>13</v>
      </c>
      <c r="BG2" s="323" t="s">
        <v>13</v>
      </c>
      <c r="BJ2" s="326" t="s">
        <v>1158</v>
      </c>
      <c r="BK2" s="327">
        <v>0.2</v>
      </c>
      <c r="BM2" s="341" t="s">
        <v>1159</v>
      </c>
      <c r="BN2" s="39">
        <v>300</v>
      </c>
      <c r="BT2" s="648"/>
      <c r="BU2" s="649"/>
      <c r="BV2" s="649"/>
      <c r="BW2" s="662"/>
      <c r="BZ2" s="650"/>
      <c r="CA2" s="650"/>
      <c r="CB2" s="650"/>
      <c r="CC2" s="650"/>
      <c r="CD2" s="650"/>
      <c r="CK2" s="365">
        <v>0.96</v>
      </c>
      <c r="CL2" s="366">
        <f>500000/1000</f>
        <v>500</v>
      </c>
      <c r="CM2" s="663" t="s">
        <v>1160</v>
      </c>
      <c r="CN2" s="122" t="s">
        <v>1161</v>
      </c>
      <c r="CO2" s="122" t="s">
        <v>1162</v>
      </c>
      <c r="CP2" s="122"/>
      <c r="CQ2" s="367" t="s">
        <v>1163</v>
      </c>
      <c r="CR2" s="368">
        <f>CS5</f>
        <v>1</v>
      </c>
      <c r="CS2" s="397" t="e">
        <f>1/(15000/(CR1/CR2))</f>
        <v>#DIV/0!</v>
      </c>
      <c r="CT2" s="398"/>
      <c r="CU2" s="399"/>
      <c r="CV2" s="133">
        <v>1000</v>
      </c>
      <c r="CW2" s="400"/>
      <c r="CY2" s="401" t="s">
        <v>169</v>
      </c>
      <c r="CZ2" s="129">
        <v>5000</v>
      </c>
      <c r="DA2" s="641" t="s">
        <v>1164</v>
      </c>
      <c r="DB2" s="644">
        <f>1/((CZ2/(CZ5*(1-CZ4)))/CZ6)/CZ3</f>
        <v>8.0000000000000081E-6</v>
      </c>
      <c r="FO2" s="418" t="s">
        <v>1165</v>
      </c>
      <c r="FP2" s="229" t="e">
        <f t="shared" ref="FP2:FU2" si="0">1/(0.96/($E5*(1+$Y5*FP$4/10000))*FP5)/6/60</f>
        <v>#DIV/0!</v>
      </c>
      <c r="FQ2" s="229" t="e">
        <f t="shared" si="0"/>
        <v>#DIV/0!</v>
      </c>
      <c r="FR2" s="229" t="e">
        <f t="shared" si="0"/>
        <v>#DIV/0!</v>
      </c>
      <c r="FS2" s="229">
        <f t="shared" si="0"/>
        <v>729.16666666666663</v>
      </c>
      <c r="FT2" s="229">
        <f t="shared" si="0"/>
        <v>583.33333333333348</v>
      </c>
      <c r="FU2" s="229">
        <f t="shared" si="0"/>
        <v>291.66666666666674</v>
      </c>
      <c r="FV2" s="229">
        <f t="shared" ref="FV2:GI2" si="1">1/(0.96/($E5*(1+$Y5*FV$4/10000))*FV5)/6/60</f>
        <v>145.83333333333337</v>
      </c>
      <c r="FW2" s="229">
        <f t="shared" si="1"/>
        <v>97.222222222222214</v>
      </c>
      <c r="FX2" s="229">
        <f t="shared" si="1"/>
        <v>72.916666666666686</v>
      </c>
      <c r="FY2" s="229">
        <f t="shared" si="1"/>
        <v>58.333333333333336</v>
      </c>
      <c r="FZ2" s="229">
        <f t="shared" si="1"/>
        <v>29.166666666666668</v>
      </c>
      <c r="GA2" s="229">
        <f t="shared" si="1"/>
        <v>14.583333333333334</v>
      </c>
      <c r="GB2" s="229">
        <f t="shared" si="1"/>
        <v>10.751028806584362</v>
      </c>
      <c r="GC2" s="229">
        <f t="shared" si="1"/>
        <v>9.0277777777777786</v>
      </c>
      <c r="GD2" s="229">
        <f t="shared" si="1"/>
        <v>7.2222222222222223</v>
      </c>
      <c r="GE2" s="229">
        <f t="shared" si="1"/>
        <v>5.6944444444444446</v>
      </c>
      <c r="GF2" s="229">
        <f t="shared" si="1"/>
        <v>2.8472222222222223</v>
      </c>
      <c r="GG2" s="229">
        <f t="shared" si="1"/>
        <v>1.8981481481481479</v>
      </c>
      <c r="GH2" s="229">
        <f t="shared" si="1"/>
        <v>1.4236111111111112</v>
      </c>
      <c r="GI2" s="229">
        <f t="shared" si="1"/>
        <v>1.4166666666666667</v>
      </c>
    </row>
    <row r="3" spans="1:211" ht="18.600000000000001" customHeight="1" x14ac:dyDescent="0.4">
      <c r="A3" s="2" t="s">
        <v>1166</v>
      </c>
      <c r="B3" s="2" t="s">
        <v>1167</v>
      </c>
      <c r="C3" s="2" t="s">
        <v>1168</v>
      </c>
      <c r="D3" s="2" t="s">
        <v>1169</v>
      </c>
      <c r="E3" s="2" t="s">
        <v>1170</v>
      </c>
      <c r="F3" s="2" t="s">
        <v>1171</v>
      </c>
      <c r="G3" s="2" t="s">
        <v>1172</v>
      </c>
      <c r="H3" s="239" t="s">
        <v>1173</v>
      </c>
      <c r="I3" s="2" t="s">
        <v>1174</v>
      </c>
      <c r="J3" s="2" t="s">
        <v>1175</v>
      </c>
      <c r="K3" s="2" t="s">
        <v>1176</v>
      </c>
      <c r="L3" s="2" t="s">
        <v>1177</v>
      </c>
      <c r="M3" s="2" t="s">
        <v>1178</v>
      </c>
      <c r="N3" s="2" t="s">
        <v>1179</v>
      </c>
      <c r="O3" s="2" t="s">
        <v>1180</v>
      </c>
      <c r="P3" s="252" t="s">
        <v>1181</v>
      </c>
      <c r="Q3" s="252" t="s">
        <v>1182</v>
      </c>
      <c r="R3" s="268" t="s">
        <v>1183</v>
      </c>
      <c r="S3" s="252" t="s">
        <v>1184</v>
      </c>
      <c r="T3" s="3" t="s">
        <v>1185</v>
      </c>
      <c r="U3" s="269" t="s">
        <v>1186</v>
      </c>
      <c r="V3" s="270" t="s">
        <v>1187</v>
      </c>
      <c r="W3" s="271" t="s">
        <v>1188</v>
      </c>
      <c r="X3" s="272" t="s">
        <v>1189</v>
      </c>
      <c r="Y3" s="271" t="s">
        <v>1190</v>
      </c>
      <c r="Z3" s="299" t="s">
        <v>1191</v>
      </c>
      <c r="AA3" s="299" t="s">
        <v>1192</v>
      </c>
      <c r="AB3" s="300" t="s">
        <v>1193</v>
      </c>
      <c r="AC3" s="300" t="s">
        <v>1194</v>
      </c>
      <c r="AD3" s="298" t="s">
        <v>1195</v>
      </c>
      <c r="AE3" s="2" t="s">
        <v>1196</v>
      </c>
      <c r="AF3" s="2" t="s">
        <v>1197</v>
      </c>
      <c r="AG3" s="2" t="s">
        <v>1198</v>
      </c>
      <c r="AH3" s="2" t="s">
        <v>1199</v>
      </c>
      <c r="AI3" s="2" t="s">
        <v>1200</v>
      </c>
      <c r="AJ3" s="2" t="s">
        <v>1201</v>
      </c>
      <c r="AK3" s="2" t="s">
        <v>1202</v>
      </c>
      <c r="AL3" s="2" t="s">
        <v>1203</v>
      </c>
      <c r="AM3" s="2" t="s">
        <v>1204</v>
      </c>
      <c r="AN3" s="2" t="s">
        <v>1205</v>
      </c>
      <c r="AO3" s="2" t="s">
        <v>1206</v>
      </c>
      <c r="AP3" s="2" t="s">
        <v>1207</v>
      </c>
      <c r="AQ3" s="2" t="s">
        <v>1208</v>
      </c>
      <c r="AR3" s="2" t="s">
        <v>1209</v>
      </c>
      <c r="AS3" s="2" t="s">
        <v>1210</v>
      </c>
      <c r="AT3" s="2" t="s">
        <v>1211</v>
      </c>
      <c r="AU3" s="2" t="s">
        <v>1212</v>
      </c>
      <c r="AV3" s="2" t="s">
        <v>1213</v>
      </c>
      <c r="AW3" s="2" t="s">
        <v>1214</v>
      </c>
      <c r="AX3" s="2" t="s">
        <v>1215</v>
      </c>
      <c r="AY3" s="2" t="s">
        <v>1216</v>
      </c>
      <c r="AZ3" s="2" t="s">
        <v>1217</v>
      </c>
      <c r="BA3" s="2" t="s">
        <v>1218</v>
      </c>
      <c r="BB3" s="305"/>
      <c r="BC3" s="305"/>
      <c r="BD3" s="314" t="s">
        <v>1219</v>
      </c>
      <c r="BE3" s="39">
        <v>0.6</v>
      </c>
      <c r="BF3" s="323" t="s">
        <v>135</v>
      </c>
      <c r="BG3" s="323" t="s">
        <v>1220</v>
      </c>
      <c r="BJ3" s="326" t="s">
        <v>1221</v>
      </c>
      <c r="BK3" s="328">
        <f>60/BK2</f>
        <v>300</v>
      </c>
      <c r="BM3" s="342" t="s">
        <v>1222</v>
      </c>
      <c r="CC3" s="235">
        <v>75</v>
      </c>
      <c r="CE3" s="235">
        <v>150</v>
      </c>
      <c r="CG3" s="235">
        <v>225</v>
      </c>
      <c r="CK3" s="369"/>
      <c r="CL3" s="370"/>
      <c r="CM3" s="664"/>
      <c r="CN3" s="371">
        <v>1000</v>
      </c>
      <c r="CO3" s="372">
        <v>0.6</v>
      </c>
      <c r="CP3" s="122"/>
      <c r="CQ3" s="373" t="s">
        <v>1223</v>
      </c>
      <c r="CR3" s="374" t="e">
        <f>CR5/6/60</f>
        <v>#DIV/0!</v>
      </c>
      <c r="CS3" s="654" t="str">
        <f>CN3&amp;"倍炮掉落总额"</f>
        <v>1000倍炮掉落总额</v>
      </c>
      <c r="CT3" s="655"/>
      <c r="CU3" s="402"/>
      <c r="CV3" s="656" t="s">
        <v>1224</v>
      </c>
      <c r="CW3" s="657"/>
      <c r="CY3" s="403" t="s">
        <v>1110</v>
      </c>
      <c r="CZ3" s="106">
        <v>1</v>
      </c>
      <c r="DA3" s="642"/>
      <c r="DB3" s="645"/>
      <c r="DE3" s="229" t="s">
        <v>1225</v>
      </c>
      <c r="DF3" s="230" t="s">
        <v>95</v>
      </c>
      <c r="DI3" s="230" t="s">
        <v>95</v>
      </c>
      <c r="DL3" s="230" t="s">
        <v>95</v>
      </c>
      <c r="DO3" s="230" t="s">
        <v>95</v>
      </c>
      <c r="DR3" s="230" t="s">
        <v>95</v>
      </c>
      <c r="DU3" s="230" t="s">
        <v>95</v>
      </c>
      <c r="DX3" s="230" t="s">
        <v>95</v>
      </c>
      <c r="EA3" s="230" t="s">
        <v>95</v>
      </c>
      <c r="ED3" s="230" t="s">
        <v>95</v>
      </c>
      <c r="EG3" s="230" t="s">
        <v>95</v>
      </c>
      <c r="EJ3" s="230" t="s">
        <v>95</v>
      </c>
      <c r="EM3" s="230" t="s">
        <v>95</v>
      </c>
      <c r="EP3" s="230" t="s">
        <v>95</v>
      </c>
      <c r="ES3" s="230" t="s">
        <v>95</v>
      </c>
      <c r="EV3" s="230" t="s">
        <v>95</v>
      </c>
      <c r="EY3" s="230" t="s">
        <v>95</v>
      </c>
      <c r="FB3" s="230" t="s">
        <v>95</v>
      </c>
      <c r="FE3" s="230" t="s">
        <v>95</v>
      </c>
      <c r="FH3" s="230" t="s">
        <v>95</v>
      </c>
      <c r="FK3" s="230" t="s">
        <v>95</v>
      </c>
      <c r="FO3" s="419" t="s">
        <v>1226</v>
      </c>
      <c r="FP3" s="39">
        <v>20</v>
      </c>
      <c r="FQ3" s="39">
        <v>40</v>
      </c>
      <c r="FR3" s="39">
        <v>60</v>
      </c>
      <c r="FS3" s="39">
        <v>80</v>
      </c>
      <c r="FT3" s="39">
        <v>100</v>
      </c>
      <c r="FU3" s="39">
        <f>FP3*10</f>
        <v>200</v>
      </c>
      <c r="FV3" s="39">
        <f t="shared" ref="FV3" si="2">FQ3*10</f>
        <v>400</v>
      </c>
      <c r="FW3" s="39">
        <f t="shared" ref="FW3" si="3">FR3*10</f>
        <v>600</v>
      </c>
      <c r="FX3" s="39">
        <f t="shared" ref="FX3" si="4">FS3*10</f>
        <v>800</v>
      </c>
      <c r="FY3" s="39">
        <f t="shared" ref="FY3" si="5">FT3*10</f>
        <v>1000</v>
      </c>
      <c r="FZ3" s="39">
        <f t="shared" ref="FZ3" si="6">FU3*10</f>
        <v>2000</v>
      </c>
      <c r="GA3" s="39">
        <f t="shared" ref="GA3" si="7">FV3*10</f>
        <v>4000</v>
      </c>
      <c r="GB3" s="39">
        <f t="shared" ref="GB3" si="8">FW3*10</f>
        <v>6000</v>
      </c>
      <c r="GC3" s="39">
        <f t="shared" ref="GC3" si="9">FX3*10</f>
        <v>8000</v>
      </c>
      <c r="GD3" s="39">
        <f t="shared" ref="GD3" si="10">FY3*10</f>
        <v>10000</v>
      </c>
      <c r="GE3" s="39">
        <f t="shared" ref="GE3" si="11">FZ3*10</f>
        <v>20000</v>
      </c>
      <c r="GF3" s="39">
        <f t="shared" ref="GF3" si="12">GA3*10</f>
        <v>40000</v>
      </c>
      <c r="GG3" s="39">
        <f t="shared" ref="GG3" si="13">GB3*10</f>
        <v>60000</v>
      </c>
      <c r="GH3" s="39">
        <f t="shared" ref="GH3" si="14">GC3*10</f>
        <v>80000</v>
      </c>
      <c r="GI3" s="39">
        <f t="shared" ref="GI3" si="15">GD3*10</f>
        <v>100000</v>
      </c>
    </row>
    <row r="4" spans="1:211" ht="105.6" x14ac:dyDescent="0.35">
      <c r="A4" s="240" t="s">
        <v>1227</v>
      </c>
      <c r="B4" s="76" t="s">
        <v>1228</v>
      </c>
      <c r="C4" s="76" t="s">
        <v>1229</v>
      </c>
      <c r="D4" s="76" t="s">
        <v>1230</v>
      </c>
      <c r="E4" s="76" t="s">
        <v>1231</v>
      </c>
      <c r="F4" s="76" t="s">
        <v>1232</v>
      </c>
      <c r="G4" s="76" t="s">
        <v>1233</v>
      </c>
      <c r="H4" s="241" t="s">
        <v>1234</v>
      </c>
      <c r="I4" s="76" t="s">
        <v>1235</v>
      </c>
      <c r="J4" s="76" t="s">
        <v>1236</v>
      </c>
      <c r="K4" s="76" t="s">
        <v>1237</v>
      </c>
      <c r="L4" s="76" t="s">
        <v>1238</v>
      </c>
      <c r="M4" s="76" t="s">
        <v>1239</v>
      </c>
      <c r="N4" s="76" t="s">
        <v>1240</v>
      </c>
      <c r="O4" s="76" t="s">
        <v>1241</v>
      </c>
      <c r="P4" s="253" t="s">
        <v>1242</v>
      </c>
      <c r="Q4" s="253" t="s">
        <v>1243</v>
      </c>
      <c r="R4" s="253" t="s">
        <v>1244</v>
      </c>
      <c r="S4" s="253" t="s">
        <v>1245</v>
      </c>
      <c r="T4" s="76" t="s">
        <v>1246</v>
      </c>
      <c r="U4" s="273" t="s">
        <v>1247</v>
      </c>
      <c r="V4" s="274" t="s">
        <v>1248</v>
      </c>
      <c r="W4" s="275" t="s">
        <v>1249</v>
      </c>
      <c r="X4" s="276" t="s">
        <v>1250</v>
      </c>
      <c r="Y4" s="275" t="s">
        <v>1251</v>
      </c>
      <c r="Z4" s="301" t="s">
        <v>1252</v>
      </c>
      <c r="AA4" s="301" t="s">
        <v>1253</v>
      </c>
      <c r="AB4" s="302" t="s">
        <v>1254</v>
      </c>
      <c r="AC4" s="302" t="s">
        <v>1255</v>
      </c>
      <c r="AD4" s="303" t="s">
        <v>1256</v>
      </c>
      <c r="AE4" s="76" t="s">
        <v>1257</v>
      </c>
      <c r="AF4" s="76" t="s">
        <v>1258</v>
      </c>
      <c r="AG4" s="86" t="s">
        <v>1259</v>
      </c>
      <c r="AH4" s="76" t="s">
        <v>1260</v>
      </c>
      <c r="AI4" s="76" t="s">
        <v>1261</v>
      </c>
      <c r="AJ4" s="76" t="s">
        <v>1262</v>
      </c>
      <c r="AK4" s="76" t="s">
        <v>1263</v>
      </c>
      <c r="AL4" s="76" t="s">
        <v>1264</v>
      </c>
      <c r="AM4" s="307" t="s">
        <v>1265</v>
      </c>
      <c r="AN4" s="307" t="s">
        <v>1266</v>
      </c>
      <c r="AO4" s="76" t="s">
        <v>1267</v>
      </c>
      <c r="AP4" s="76" t="s">
        <v>1268</v>
      </c>
      <c r="AQ4" s="76" t="s">
        <v>1269</v>
      </c>
      <c r="AR4" s="174" t="s">
        <v>1270</v>
      </c>
      <c r="AS4" s="76" t="s">
        <v>1271</v>
      </c>
      <c r="AT4" s="76" t="s">
        <v>1272</v>
      </c>
      <c r="AU4" s="309" t="s">
        <v>1273</v>
      </c>
      <c r="AV4" s="309" t="s">
        <v>1274</v>
      </c>
      <c r="AW4" s="76" t="s">
        <v>1275</v>
      </c>
      <c r="AX4" s="76" t="s">
        <v>1276</v>
      </c>
      <c r="AY4" s="76" t="s">
        <v>1277</v>
      </c>
      <c r="AZ4" s="76" t="s">
        <v>1278</v>
      </c>
      <c r="BA4" s="174" t="s">
        <v>1279</v>
      </c>
      <c r="BB4" s="315" t="s">
        <v>1280</v>
      </c>
      <c r="BC4" s="315" t="s">
        <v>1281</v>
      </c>
      <c r="BD4" s="316"/>
      <c r="BE4" s="316"/>
      <c r="BF4" s="329" t="s">
        <v>1282</v>
      </c>
      <c r="BG4" s="329" t="s">
        <v>1283</v>
      </c>
      <c r="BI4" s="330" t="s">
        <v>1284</v>
      </c>
      <c r="BJ4" s="331" t="s">
        <v>1285</v>
      </c>
      <c r="BK4" s="332">
        <f>BK1/BK3*0</f>
        <v>0</v>
      </c>
      <c r="BT4" s="343" t="s">
        <v>1286</v>
      </c>
      <c r="BU4" s="349" t="s">
        <v>1149</v>
      </c>
      <c r="BV4" s="350" t="s">
        <v>1287</v>
      </c>
      <c r="BW4" s="350" t="s">
        <v>1288</v>
      </c>
      <c r="BX4" s="351" t="s">
        <v>1289</v>
      </c>
      <c r="BY4" s="351" t="s">
        <v>1290</v>
      </c>
      <c r="BZ4" s="352" t="s">
        <v>1291</v>
      </c>
      <c r="CA4" s="352" t="s">
        <v>1292</v>
      </c>
      <c r="CB4" s="349" t="s">
        <v>1293</v>
      </c>
      <c r="CC4" s="349" t="s">
        <v>1294</v>
      </c>
      <c r="CD4" s="356" t="s">
        <v>1295</v>
      </c>
      <c r="CE4" s="349" t="s">
        <v>1296</v>
      </c>
      <c r="CF4" s="356" t="s">
        <v>1297</v>
      </c>
      <c r="CG4" s="349" t="s">
        <v>1298</v>
      </c>
      <c r="CH4" s="357" t="s">
        <v>1299</v>
      </c>
      <c r="CK4" s="375" t="s">
        <v>1300</v>
      </c>
      <c r="CL4" s="376" t="s">
        <v>1301</v>
      </c>
      <c r="CM4" s="376" t="s">
        <v>1302</v>
      </c>
      <c r="CN4" s="377" t="s">
        <v>1303</v>
      </c>
      <c r="CO4" s="378" t="s">
        <v>1304</v>
      </c>
      <c r="CP4" s="379" t="s">
        <v>1305</v>
      </c>
      <c r="CQ4" s="380" t="s">
        <v>1306</v>
      </c>
      <c r="CR4" s="381" t="s">
        <v>1307</v>
      </c>
      <c r="CS4" s="404" t="s">
        <v>1308</v>
      </c>
      <c r="CT4" s="405" t="s">
        <v>1309</v>
      </c>
      <c r="CU4" s="406"/>
      <c r="CV4" s="404" t="s">
        <v>1310</v>
      </c>
      <c r="CW4" s="405" t="s">
        <v>1311</v>
      </c>
      <c r="CY4" s="403" t="s">
        <v>1151</v>
      </c>
      <c r="CZ4" s="11">
        <v>0.96</v>
      </c>
      <c r="DA4" s="642"/>
      <c r="DB4" s="645"/>
      <c r="DE4" s="63">
        <v>20</v>
      </c>
      <c r="DF4" s="63"/>
      <c r="DG4" s="413" t="s">
        <v>100</v>
      </c>
      <c r="DH4" s="63">
        <v>40</v>
      </c>
      <c r="DI4" s="63"/>
      <c r="DJ4" s="413" t="s">
        <v>100</v>
      </c>
      <c r="DK4" s="63">
        <v>60</v>
      </c>
      <c r="DL4" s="63"/>
      <c r="DM4" s="413" t="s">
        <v>100</v>
      </c>
      <c r="DN4" s="63">
        <v>80</v>
      </c>
      <c r="DO4" s="63"/>
      <c r="DP4" s="413" t="s">
        <v>100</v>
      </c>
      <c r="DQ4" s="63">
        <v>100</v>
      </c>
      <c r="DR4" s="63"/>
      <c r="DS4" s="413" t="s">
        <v>100</v>
      </c>
      <c r="DT4" s="63">
        <v>200</v>
      </c>
      <c r="DU4" s="63"/>
      <c r="DV4" s="413" t="s">
        <v>100</v>
      </c>
      <c r="DW4" s="63">
        <v>400</v>
      </c>
      <c r="DX4" s="63"/>
      <c r="DY4" s="413" t="s">
        <v>100</v>
      </c>
      <c r="DZ4" s="63">
        <v>600</v>
      </c>
      <c r="EA4" s="63"/>
      <c r="EB4" s="413" t="s">
        <v>100</v>
      </c>
      <c r="EC4" s="63">
        <v>800</v>
      </c>
      <c r="ED4" s="63"/>
      <c r="EE4" s="413" t="s">
        <v>100</v>
      </c>
      <c r="EF4" s="63">
        <v>1000</v>
      </c>
      <c r="EG4" s="63"/>
      <c r="EH4" s="413" t="s">
        <v>100</v>
      </c>
      <c r="EI4" s="63">
        <v>2000</v>
      </c>
      <c r="EJ4" s="63"/>
      <c r="EK4" s="413" t="s">
        <v>100</v>
      </c>
      <c r="EL4" s="63">
        <v>4000</v>
      </c>
      <c r="EM4" s="63"/>
      <c r="EN4" s="413" t="s">
        <v>100</v>
      </c>
      <c r="EO4" s="63">
        <v>6000</v>
      </c>
      <c r="EP4" s="63"/>
      <c r="EQ4" s="413" t="s">
        <v>100</v>
      </c>
      <c r="ER4" s="63">
        <v>8000</v>
      </c>
      <c r="ES4" s="63"/>
      <c r="ET4" s="413" t="s">
        <v>100</v>
      </c>
      <c r="EU4" s="63">
        <v>10000</v>
      </c>
      <c r="EV4" s="63"/>
      <c r="EW4" s="413" t="s">
        <v>100</v>
      </c>
      <c r="EX4" s="63">
        <v>20000</v>
      </c>
      <c r="EY4" s="63"/>
      <c r="EZ4" s="413" t="s">
        <v>100</v>
      </c>
      <c r="FA4" s="63">
        <v>40000</v>
      </c>
      <c r="FB4" s="63"/>
      <c r="FC4" s="413" t="s">
        <v>100</v>
      </c>
      <c r="FD4" s="63">
        <v>60000</v>
      </c>
      <c r="FE4" s="63"/>
      <c r="FF4" s="413" t="s">
        <v>100</v>
      </c>
      <c r="FG4" s="63">
        <v>80000</v>
      </c>
      <c r="FH4" s="63"/>
      <c r="FI4" s="413" t="s">
        <v>100</v>
      </c>
      <c r="FJ4" s="63">
        <v>100000</v>
      </c>
      <c r="FK4" s="63"/>
      <c r="FL4" s="413" t="s">
        <v>100</v>
      </c>
      <c r="FO4" s="420" t="s">
        <v>1312</v>
      </c>
      <c r="FP4" s="39">
        <v>0</v>
      </c>
      <c r="FQ4" s="39">
        <v>0</v>
      </c>
      <c r="FR4" s="39">
        <v>0</v>
      </c>
      <c r="FS4" s="39">
        <v>10000</v>
      </c>
      <c r="FT4" s="39">
        <v>10000</v>
      </c>
      <c r="FU4" s="39">
        <v>10000</v>
      </c>
      <c r="FV4" s="39">
        <v>10000</v>
      </c>
      <c r="FW4" s="39">
        <v>10000</v>
      </c>
      <c r="FX4" s="39">
        <v>10000</v>
      </c>
      <c r="FY4" s="39">
        <v>10000</v>
      </c>
      <c r="FZ4" s="39">
        <v>10000</v>
      </c>
      <c r="GA4" s="39">
        <v>10000</v>
      </c>
      <c r="GB4" s="39">
        <v>9000</v>
      </c>
      <c r="GC4" s="39">
        <v>8000</v>
      </c>
      <c r="GD4" s="39">
        <v>8000</v>
      </c>
      <c r="GE4" s="39">
        <v>5000</v>
      </c>
      <c r="GF4" s="39">
        <v>5000</v>
      </c>
      <c r="GG4" s="39">
        <v>5000</v>
      </c>
      <c r="GH4" s="39">
        <v>5000</v>
      </c>
      <c r="GI4" s="39">
        <v>4000</v>
      </c>
      <c r="GK4" s="60" t="s">
        <v>839</v>
      </c>
      <c r="GL4" s="424" t="s">
        <v>859</v>
      </c>
    </row>
    <row r="5" spans="1:211" s="230" customFormat="1" x14ac:dyDescent="0.35">
      <c r="A5" s="63">
        <v>1</v>
      </c>
      <c r="B5" s="242" t="s">
        <v>1313</v>
      </c>
      <c r="C5" s="63">
        <v>1</v>
      </c>
      <c r="D5" s="63">
        <v>-1</v>
      </c>
      <c r="E5" s="63">
        <v>2</v>
      </c>
      <c r="F5" s="63">
        <f t="shared" ref="F5:F25" si="16">IF(C5=4,BK5,E5)</f>
        <v>2</v>
      </c>
      <c r="G5" s="63">
        <f>E5</f>
        <v>2</v>
      </c>
      <c r="H5" s="63"/>
      <c r="I5" s="63">
        <f t="shared" ref="I5:I14" si="17">ROUND(IF(C5=4,E5*10%,0),0)</f>
        <v>0</v>
      </c>
      <c r="J5" s="63">
        <f t="shared" ref="J5:J29" si="18">ROUND(IF(C5=4,E5*2%,0),0)</f>
        <v>0</v>
      </c>
      <c r="K5" s="63">
        <v>0</v>
      </c>
      <c r="L5" s="254">
        <f>ROUND($BK$7/('全局参数|GlobalPar'!$B$18/10000/E5),6)*(7/5)</f>
        <v>1.3887999999999999E-3</v>
      </c>
      <c r="M5" s="255">
        <v>1</v>
      </c>
      <c r="N5" s="256">
        <f>ROUND(IF(M5&lt;&gt;0,$BK$4/('全局参数|GlobalPar'!$B$18/10000/E5)/M5,0),6)</f>
        <v>0</v>
      </c>
      <c r="O5" s="257">
        <f t="shared" ref="O5:O25" si="19">IF(A5=47,1,ROUND(E5*W5/$BN$2,6))</f>
        <v>4.0000000000000002E-4</v>
      </c>
      <c r="P5" s="258">
        <f t="shared" ref="P5:P32" si="20">CK5</f>
        <v>0</v>
      </c>
      <c r="Q5" s="277">
        <v>1</v>
      </c>
      <c r="R5" s="278">
        <v>1</v>
      </c>
      <c r="S5" s="279" t="str">
        <f t="shared" ref="S5:S59" si="21">"[["&amp;DE5&amp;","&amp;DF5&amp;"],["&amp;DH5&amp;","&amp;DI5&amp;"],["&amp;DK5&amp;","&amp;DL5&amp;"],["&amp;DN5&amp;","&amp;DO5&amp;"],["&amp;DQ5&amp;","&amp;DR5&amp;"],["&amp;DT5&amp;","&amp;DU5&amp;"],["&amp;DW5&amp;","&amp;DX5&amp;"],["&amp;DZ5&amp;","&amp;EA5&amp;"],["&amp;EC5&amp;","&amp;ED5&amp;"],["&amp;EF5&amp;","&amp;EG5&amp;"],["&amp;EI5&amp;","&amp;EJ5&amp;"],["&amp;EL5&amp;","&amp;EM5&amp;"],["&amp;EO5&amp;","&amp;EP5&amp;"],["&amp;ER5&amp;","&amp;ES5&amp;"],["&amp;EU5&amp;","&amp;EV5&amp;"],["&amp;EX5&amp;","&amp;EY5&amp;"],["&amp;FA5&amp;","&amp;FB5&amp;"],["&amp;FD5&amp;","&amp;FE5&amp;"],["&amp;FG5&amp;","&amp;FH5&amp;"],["&amp;FJ5&amp;","&amp;FK5&amp;"]]"</f>
        <v>[[0,1],[0,1],[0,1],[0,1],[0,1],[0,1],[0,1],[0,1],[0,1],[0,1],[0,2],[0,4],[0,6],[0,8],[0,10],[0,20],[0,40],[0,60],[0,80],[0,100]]</v>
      </c>
      <c r="T5" s="63">
        <v>0</v>
      </c>
      <c r="U5" s="256">
        <v>0</v>
      </c>
      <c r="V5" s="280">
        <f t="shared" ref="V5:V36" si="22">(I5+J5)/100</f>
        <v>0</v>
      </c>
      <c r="W5" s="280">
        <v>0.06</v>
      </c>
      <c r="X5" s="280">
        <f>BU5</f>
        <v>0.1</v>
      </c>
      <c r="Y5" s="304">
        <v>0.05</v>
      </c>
      <c r="Z5" s="63" t="str">
        <f>"[["&amp;BV5&amp;","&amp;BW5&amp;"],["&amp;BX5&amp;","&amp;BY5&amp;"],["&amp;BZ5&amp;","&amp;CA5&amp;"]]"</f>
        <v>[[1,5],[2,2],[3,1]]</v>
      </c>
      <c r="AA5" s="305" t="str">
        <f>"["&amp;CD5&amp;","&amp;CF5&amp;","&amp;CH5&amp;"]"</f>
        <v>[0.017778,0.008889,0.005926]</v>
      </c>
      <c r="AB5" s="305">
        <f>IF(E5&lt;5,0,E5/100*0.5)</f>
        <v>0</v>
      </c>
      <c r="AC5" s="305">
        <v>0</v>
      </c>
      <c r="AD5" s="306">
        <v>1</v>
      </c>
      <c r="AE5" s="63">
        <f t="shared" ref="AE5:AE23" si="23">IF(C5=4,1,IF(C5=6,2,-1))</f>
        <v>-1</v>
      </c>
      <c r="AF5" s="63">
        <v>0</v>
      </c>
      <c r="AG5" s="63"/>
      <c r="AH5" s="39"/>
      <c r="AI5" s="39">
        <v>1</v>
      </c>
      <c r="AJ5" s="63">
        <v>1</v>
      </c>
      <c r="AK5" s="63">
        <v>1</v>
      </c>
      <c r="AL5" s="63">
        <v>0.5</v>
      </c>
      <c r="AM5" s="63">
        <v>1</v>
      </c>
      <c r="AN5" s="63"/>
      <c r="AO5" s="39"/>
      <c r="AP5" s="39"/>
      <c r="AQ5" s="310">
        <v>0.6</v>
      </c>
      <c r="AR5" s="39">
        <v>2</v>
      </c>
      <c r="AS5" s="39">
        <v>0.18</v>
      </c>
      <c r="AT5" s="39">
        <v>0.8</v>
      </c>
      <c r="AU5" s="39">
        <v>1</v>
      </c>
      <c r="AV5" s="39" t="s">
        <v>1314</v>
      </c>
      <c r="AW5" s="317" t="s">
        <v>1315</v>
      </c>
      <c r="AX5" s="317" t="s">
        <v>1316</v>
      </c>
      <c r="AY5" s="316" t="s">
        <v>258</v>
      </c>
      <c r="AZ5" s="316" t="s">
        <v>258</v>
      </c>
      <c r="BA5" s="78">
        <f t="shared" ref="BA5:BA25" si="24">IF(C5&lt;4,MIN($BE$1*$BE$3,BF5*$BE$2),BF5*0.1)</f>
        <v>1.5</v>
      </c>
      <c r="BB5" s="318">
        <f t="shared" ref="BB5:BB36" si="25">IF(BA5=0,0,$BE$1/BA5)</f>
        <v>100</v>
      </c>
      <c r="BC5" s="78" t="s">
        <v>1317</v>
      </c>
      <c r="BD5" s="78">
        <f t="shared" ref="BD5:BD25" si="26">ROUND(IF(AF5=0,AJ5/2/0.67,AJ5),3)</f>
        <v>0.746</v>
      </c>
      <c r="BE5" s="78"/>
      <c r="BF5" s="63">
        <f t="shared" ref="BF5:BF36" si="27">(E5+I5+J5)</f>
        <v>2</v>
      </c>
      <c r="BG5" s="63">
        <f t="shared" ref="BG5:BG38" si="28">E5*(1+$BN$1)+I5+J5</f>
        <v>2.12</v>
      </c>
      <c r="BI5" s="63">
        <f t="shared" ref="BI5:BI36" si="29">IF(M5&lt;&gt;0,$BK$4/(0.96/BF5)/M5,0)</f>
        <v>0</v>
      </c>
      <c r="BJ5" s="314" t="s">
        <v>1318</v>
      </c>
      <c r="BK5" s="333"/>
      <c r="BP5" s="230" t="s">
        <v>1015</v>
      </c>
      <c r="BT5" s="344">
        <f t="shared" ref="BT5:BT36" si="30">E5*(1+$BW$1)</f>
        <v>2.2000000000000002</v>
      </c>
      <c r="BU5" s="353">
        <f>BW1</f>
        <v>0.1</v>
      </c>
      <c r="BV5" s="354">
        <v>1</v>
      </c>
      <c r="BW5" s="133">
        <v>5</v>
      </c>
      <c r="BX5" s="354">
        <v>2</v>
      </c>
      <c r="BY5" s="133">
        <v>2</v>
      </c>
      <c r="BZ5" s="354">
        <v>3</v>
      </c>
      <c r="CA5" s="133">
        <v>1</v>
      </c>
      <c r="CB5" s="133">
        <f>(BV5*BW5+BX5*BY5+BZ5*CA5)/(BW5+BY5+CA5)</f>
        <v>1.5</v>
      </c>
      <c r="CC5" s="133">
        <f>CC$3/10</f>
        <v>7.5</v>
      </c>
      <c r="CD5" s="358">
        <f t="shared" ref="CD5:CD19" si="31">ROUND(BF5*BU5/CC5/CB5,6)</f>
        <v>1.7777999999999999E-2</v>
      </c>
      <c r="CE5" s="133">
        <f t="shared" ref="CE5:CG20" si="32">CE$3/10</f>
        <v>15</v>
      </c>
      <c r="CF5" s="359">
        <f t="shared" ref="CF5:CF19" si="33">ROUND(BF5*BU5/CE5/CB5,6)</f>
        <v>8.8889999999999993E-3</v>
      </c>
      <c r="CG5" s="133">
        <f t="shared" si="32"/>
        <v>22.5</v>
      </c>
      <c r="CH5" s="360">
        <f t="shared" ref="CH5:CH19" si="34">ROUND(BF5*BU5/CG5/CB5,6)</f>
        <v>5.9259999999999998E-3</v>
      </c>
      <c r="CJ5" s="230">
        <v>2E-3</v>
      </c>
      <c r="CK5" s="382">
        <v>0</v>
      </c>
      <c r="CL5" s="259">
        <f t="shared" ref="CL5:CL36" si="35">E5*CK5</f>
        <v>0</v>
      </c>
      <c r="CM5" s="383">
        <f t="shared" ref="CM5:CM36" si="36">$E5*$CK5/$CL$2</f>
        <v>0</v>
      </c>
      <c r="CN5" s="383">
        <f t="shared" ref="CN5:CN59" si="37">$CM5*CN$3/CS5</f>
        <v>0</v>
      </c>
      <c r="CO5" s="384">
        <f>IF(CN5&gt;$CO$3,CK5*$CO$3/CN5,$CK5)</f>
        <v>0</v>
      </c>
      <c r="CP5" s="385">
        <f t="shared" ref="CP5:CP36" si="38">$E5*CO5/$CL$2</f>
        <v>0</v>
      </c>
      <c r="CQ5" s="383">
        <f t="shared" ref="CQ5:CQ59" si="39">$CP5*CN$3/CS5</f>
        <v>0</v>
      </c>
      <c r="CR5" s="386" t="e">
        <f t="shared" ref="CR5:CR36" si="40">1/($CK$2/($E5*(1+CO5))*CQ5)</f>
        <v>#DIV/0!</v>
      </c>
      <c r="CS5" s="407">
        <f>IF($CN$3&lt;$CV$2,CV5,CV5*INT($CN$3/$CV$2))</f>
        <v>1</v>
      </c>
      <c r="CT5" s="408">
        <f>IF($CN$3&lt;$CV$2,CW5,CW5*INT($CN$3/$CV$2))</f>
        <v>1</v>
      </c>
      <c r="CU5" s="279"/>
      <c r="CV5" s="277">
        <v>1</v>
      </c>
      <c r="CW5" s="278">
        <v>1</v>
      </c>
      <c r="CY5" s="403" t="s">
        <v>1226</v>
      </c>
      <c r="CZ5" s="106">
        <v>1</v>
      </c>
      <c r="DA5" s="642" t="s">
        <v>1319</v>
      </c>
      <c r="DB5" s="646">
        <f>DB2/CZ6</f>
        <v>8.0000000000000081E-6</v>
      </c>
      <c r="DD5" s="414"/>
      <c r="DE5" s="407">
        <v>0</v>
      </c>
      <c r="DF5" s="259">
        <v>1</v>
      </c>
      <c r="DG5" s="414">
        <f t="shared" ref="DG5:DG52" si="41">IF(DE5=0,0,DE$4*$E5/DE5*$DB$2)</f>
        <v>0</v>
      </c>
      <c r="DH5" s="407">
        <f t="shared" ref="DH5:DH59" si="42">DE5</f>
        <v>0</v>
      </c>
      <c r="DI5" s="259">
        <f t="shared" ref="DI5" si="43">DF5</f>
        <v>1</v>
      </c>
      <c r="DJ5" s="414">
        <f t="shared" ref="DJ5:DJ52" si="44">IF(DH5=0,0,DH$4*$E5/DH5*$DB$2)</f>
        <v>0</v>
      </c>
      <c r="DK5" s="407">
        <f t="shared" ref="DK5:DK59" si="45">DH5</f>
        <v>0</v>
      </c>
      <c r="DL5" s="259">
        <f t="shared" ref="DL5" si="46">DI5</f>
        <v>1</v>
      </c>
      <c r="DM5" s="414">
        <f t="shared" ref="DM5:DM52" si="47">IF(DK5=0,0,DK$4*$E5/DK5*$DB$2)</f>
        <v>0</v>
      </c>
      <c r="DN5" s="407">
        <f t="shared" ref="DN5" si="48">DK5</f>
        <v>0</v>
      </c>
      <c r="DO5" s="259">
        <f t="shared" ref="DO5" si="49">DL5</f>
        <v>1</v>
      </c>
      <c r="DP5" s="414">
        <f t="shared" ref="DP5:DP52" si="50">IF(DN5=0,0,DN$4*$E5/DN5*$DB$2)</f>
        <v>0</v>
      </c>
      <c r="DQ5" s="407">
        <f t="shared" ref="DQ5" si="51">DN5</f>
        <v>0</v>
      </c>
      <c r="DR5" s="259">
        <f t="shared" ref="DR5" si="52">DO5</f>
        <v>1</v>
      </c>
      <c r="DS5" s="414">
        <f t="shared" ref="DS5:DS52" si="53">IF(DQ5=0,0,DQ$4*$E5/DQ5*$DB$2)</f>
        <v>0</v>
      </c>
      <c r="DT5" s="407">
        <f t="shared" ref="DT5" si="54">DQ5</f>
        <v>0</v>
      </c>
      <c r="DU5" s="259">
        <f t="shared" ref="DU5" si="55">DR5</f>
        <v>1</v>
      </c>
      <c r="DV5" s="414">
        <f t="shared" ref="DV5:DV52" si="56">IF(DT5=0,0,DT$4*$E5/DT5*$DB$2)</f>
        <v>0</v>
      </c>
      <c r="DW5" s="407">
        <f t="shared" ref="DW5" si="57">DT5</f>
        <v>0</v>
      </c>
      <c r="DX5" s="259">
        <f t="shared" ref="DX5" si="58">DU5</f>
        <v>1</v>
      </c>
      <c r="DY5" s="414">
        <f t="shared" ref="DY5:DY52" si="59">IF(DW5=0,0,DW$4*$E5/DW5*$DB$2)</f>
        <v>0</v>
      </c>
      <c r="DZ5" s="407">
        <f t="shared" ref="DZ5" si="60">DW5</f>
        <v>0</v>
      </c>
      <c r="EA5" s="259">
        <f t="shared" ref="EA5" si="61">DX5</f>
        <v>1</v>
      </c>
      <c r="EB5" s="414">
        <f t="shared" ref="EB5:EB52" si="62">IF(DZ5=0,0,DZ$4*$E5/DZ5*$DB$2)</f>
        <v>0</v>
      </c>
      <c r="EC5" s="407">
        <f t="shared" ref="EC5" si="63">DZ5</f>
        <v>0</v>
      </c>
      <c r="ED5" s="259">
        <f t="shared" ref="ED5" si="64">EA5</f>
        <v>1</v>
      </c>
      <c r="EE5" s="414">
        <f t="shared" ref="EE5:EE52" si="65">IF(EC5=0,0,EC$4*$E5/EC5*$DB$2)</f>
        <v>0</v>
      </c>
      <c r="EF5" s="407">
        <f t="shared" ref="EF5" si="66">EC5</f>
        <v>0</v>
      </c>
      <c r="EG5" s="259">
        <f t="shared" ref="EG5" si="67">ED5</f>
        <v>1</v>
      </c>
      <c r="EH5" s="414">
        <f t="shared" ref="EH5:EH52" si="68">IF(EF5=0,0,EF$4*$E5/EF5*$DB$2)</f>
        <v>0</v>
      </c>
      <c r="EI5" s="407">
        <f t="shared" ref="EI5:EI45" si="69">$EF5*EI$4/$EF$4</f>
        <v>0</v>
      </c>
      <c r="EJ5" s="259">
        <f t="shared" ref="EJ5:EJ59" si="70">$EG5*EI$4/$EF$4</f>
        <v>2</v>
      </c>
      <c r="EK5" s="414">
        <f t="shared" ref="EK5:EK52" si="71">IF(EI5=0,0,EI$4*$E5/EI5*$DB$2)</f>
        <v>0</v>
      </c>
      <c r="EL5" s="407">
        <f t="shared" ref="EL5:EL45" si="72">$EF5*EL$4/$EF$4</f>
        <v>0</v>
      </c>
      <c r="EM5" s="259">
        <f t="shared" ref="EM5:EM59" si="73">$EG5*EL$4/$EF$4</f>
        <v>4</v>
      </c>
      <c r="EN5" s="414">
        <f t="shared" ref="EN5:EN52" si="74">IF(EL5=0,0,EL$4*$E5/EL5*$DB$2)</f>
        <v>0</v>
      </c>
      <c r="EO5" s="407">
        <f t="shared" ref="EO5:EO45" si="75">$EF5*EO$4/$EF$4</f>
        <v>0</v>
      </c>
      <c r="EP5" s="259">
        <f t="shared" ref="EP5:EP59" si="76">$EG5*EO$4/$EF$4</f>
        <v>6</v>
      </c>
      <c r="EQ5" s="414">
        <f t="shared" ref="EQ5:EQ52" si="77">IF(EO5=0,0,EO$4*$E5/EO5*$DB$2)</f>
        <v>0</v>
      </c>
      <c r="ER5" s="407">
        <f t="shared" ref="ER5:ER45" si="78">$EF5*ER$4/$EF$4</f>
        <v>0</v>
      </c>
      <c r="ES5" s="259">
        <f t="shared" ref="ES5:ES59" si="79">$EG5*ER$4/$EF$4</f>
        <v>8</v>
      </c>
      <c r="ET5" s="414">
        <f t="shared" ref="ET5:ET52" si="80">IF(ER5=0,0,ER$4*$E5/ER5*$DB$2)</f>
        <v>0</v>
      </c>
      <c r="EU5" s="407">
        <f t="shared" ref="EU5:EU45" si="81">$EF5*EU$4/$EF$4</f>
        <v>0</v>
      </c>
      <c r="EV5" s="259">
        <f t="shared" ref="EV5:EV59" si="82">$EG5*EU$4/$EF$4</f>
        <v>10</v>
      </c>
      <c r="EW5" s="414">
        <f t="shared" ref="EW5:EW52" si="83">IF(EU5=0,0,EU$4*$E5/EU5*$DB$2)</f>
        <v>0</v>
      </c>
      <c r="EX5" s="407">
        <f t="shared" ref="EX5:EX45" si="84">$EF5*EX$4/$EF$4</f>
        <v>0</v>
      </c>
      <c r="EY5" s="259">
        <f t="shared" ref="EY5:EY59" si="85">$EG5*EX$4/$EF$4</f>
        <v>20</v>
      </c>
      <c r="EZ5" s="414">
        <f t="shared" ref="EZ5:EZ52" si="86">IF(EX5=0,0,EX$4*$E5/EX5*$DB$2)</f>
        <v>0</v>
      </c>
      <c r="FA5" s="407">
        <f t="shared" ref="FA5:FA45" si="87">$EF5*FA$4/$EF$4</f>
        <v>0</v>
      </c>
      <c r="FB5" s="259">
        <f t="shared" ref="FB5:FB59" si="88">$EG5*FA$4/$EF$4</f>
        <v>40</v>
      </c>
      <c r="FC5" s="414">
        <f t="shared" ref="FC5:FC52" si="89">IF(FA5=0,0,FA$4*$E5/FA5*$DB$2)</f>
        <v>0</v>
      </c>
      <c r="FD5" s="407">
        <f t="shared" ref="FD5:FD45" si="90">$EF5*FD$4/$EF$4</f>
        <v>0</v>
      </c>
      <c r="FE5" s="259">
        <f t="shared" ref="FE5:FE59" si="91">$EG5*FD$4/$EF$4</f>
        <v>60</v>
      </c>
      <c r="FF5" s="414">
        <f t="shared" ref="FF5:FF52" si="92">IF(FD5=0,0,FD$4*$E5/FD5*$DB$2)</f>
        <v>0</v>
      </c>
      <c r="FG5" s="407">
        <f t="shared" ref="FG5:FG45" si="93">$EF5*FG$4/$EF$4</f>
        <v>0</v>
      </c>
      <c r="FH5" s="259">
        <f t="shared" ref="FH5:FH59" si="94">$EG5*FG$4/$EF$4</f>
        <v>80</v>
      </c>
      <c r="FI5" s="414">
        <f t="shared" ref="FI5:FI52" si="95">IF(FG5=0,0,FG$4*$E5/FG5*$DB$2)</f>
        <v>0</v>
      </c>
      <c r="FJ5" s="407">
        <f t="shared" ref="FJ5:FJ45" si="96">$EF5*FJ$4/$EF$4</f>
        <v>0</v>
      </c>
      <c r="FK5" s="259">
        <f t="shared" ref="FK5:FK59" si="97">$EG5*FJ$4/$EF$4</f>
        <v>100</v>
      </c>
      <c r="FL5" s="414">
        <f t="shared" ref="FL5:FL52" si="98">IF(FJ5=0,0,FJ$4*$E5/FJ5*$DB$2)</f>
        <v>0</v>
      </c>
      <c r="FP5" s="421">
        <f t="shared" ref="FP5:FY14" si="99">$Y5*FP$4/10000*$E5*FP$3/$FX$1</f>
        <v>0</v>
      </c>
      <c r="FQ5" s="421">
        <f t="shared" si="99"/>
        <v>0</v>
      </c>
      <c r="FR5" s="421">
        <f t="shared" si="99"/>
        <v>0</v>
      </c>
      <c r="FS5" s="421">
        <f t="shared" si="99"/>
        <v>8.3333333333333337E-6</v>
      </c>
      <c r="FT5" s="421">
        <f t="shared" si="99"/>
        <v>1.0416666666666666E-5</v>
      </c>
      <c r="FU5" s="421">
        <f t="shared" si="99"/>
        <v>2.0833333333333333E-5</v>
      </c>
      <c r="FV5" s="421">
        <f t="shared" si="99"/>
        <v>4.1666666666666665E-5</v>
      </c>
      <c r="FW5" s="421">
        <f t="shared" si="99"/>
        <v>6.2500000000000001E-5</v>
      </c>
      <c r="FX5" s="421">
        <f t="shared" si="99"/>
        <v>8.3333333333333331E-5</v>
      </c>
      <c r="FY5" s="421">
        <f t="shared" si="99"/>
        <v>1.0416666666666667E-4</v>
      </c>
      <c r="FZ5" s="421">
        <f t="shared" ref="FZ5:GI14" si="100">$Y5*FZ$4/10000*$E5*FZ$3/$FX$1</f>
        <v>2.0833333333333335E-4</v>
      </c>
      <c r="GA5" s="421">
        <f t="shared" si="100"/>
        <v>4.1666666666666669E-4</v>
      </c>
      <c r="GB5" s="421">
        <f t="shared" si="100"/>
        <v>5.6249999999999996E-4</v>
      </c>
      <c r="GC5" s="421">
        <f t="shared" si="100"/>
        <v>6.6666666666666664E-4</v>
      </c>
      <c r="GD5" s="421">
        <f t="shared" si="100"/>
        <v>8.3333333333333339E-4</v>
      </c>
      <c r="GE5" s="421">
        <f t="shared" si="100"/>
        <v>1.0416666666666667E-3</v>
      </c>
      <c r="GF5" s="421">
        <f t="shared" si="100"/>
        <v>2.0833333333333333E-3</v>
      </c>
      <c r="GG5" s="421">
        <f t="shared" si="100"/>
        <v>3.1250000000000002E-3</v>
      </c>
      <c r="GH5" s="421">
        <f t="shared" si="100"/>
        <v>4.1666666666666666E-3</v>
      </c>
      <c r="GI5" s="421">
        <f t="shared" si="100"/>
        <v>4.1666666666666666E-3</v>
      </c>
      <c r="GK5" s="1">
        <v>0</v>
      </c>
      <c r="GL5" s="6">
        <v>1</v>
      </c>
    </row>
    <row r="6" spans="1:211" s="230" customFormat="1" x14ac:dyDescent="0.35">
      <c r="A6" s="63">
        <v>2</v>
      </c>
      <c r="B6" s="242" t="s">
        <v>1320</v>
      </c>
      <c r="C6" s="63">
        <v>1</v>
      </c>
      <c r="D6" s="63">
        <v>-1</v>
      </c>
      <c r="E6" s="63">
        <v>2</v>
      </c>
      <c r="F6" s="63">
        <f t="shared" si="16"/>
        <v>2</v>
      </c>
      <c r="G6" s="63">
        <f t="shared" ref="G6:G55" si="101">E6</f>
        <v>2</v>
      </c>
      <c r="H6" s="63"/>
      <c r="I6" s="63">
        <f t="shared" si="17"/>
        <v>0</v>
      </c>
      <c r="J6" s="63">
        <f t="shared" si="18"/>
        <v>0</v>
      </c>
      <c r="K6" s="63">
        <v>0</v>
      </c>
      <c r="L6" s="254">
        <f>ROUND($BK$7/('全局参数|GlobalPar'!$B$18/10000/E6),6)*(7/5)</f>
        <v>1.3887999999999999E-3</v>
      </c>
      <c r="M6" s="255">
        <v>1</v>
      </c>
      <c r="N6" s="256">
        <f>ROUND(IF(M6&lt;&gt;0,$BK$4/('全局参数|GlobalPar'!$B$18/10000/E6)/M6,0),6)</f>
        <v>0</v>
      </c>
      <c r="O6" s="259">
        <f t="shared" si="19"/>
        <v>4.0000000000000002E-4</v>
      </c>
      <c r="P6" s="260">
        <f t="shared" si="20"/>
        <v>0</v>
      </c>
      <c r="Q6" s="277">
        <v>1</v>
      </c>
      <c r="R6" s="278">
        <v>1</v>
      </c>
      <c r="S6" s="279" t="str">
        <f t="shared" si="21"/>
        <v>[[0,1],[0,1],[0,1],[0,1],[0,1],[0,1],[0,1],[0,1],[0,1],[0,1],[0,2],[0,4],[0,6],[0,8],[0,10],[0,20],[0,40],[0,60],[0,80],[0,100]]</v>
      </c>
      <c r="T6" s="63">
        <v>0</v>
      </c>
      <c r="U6" s="256">
        <v>0</v>
      </c>
      <c r="V6" s="280">
        <f t="shared" si="22"/>
        <v>0</v>
      </c>
      <c r="W6" s="280">
        <v>0.06</v>
      </c>
      <c r="X6" s="280">
        <f t="shared" ref="X6:X59" si="102">BU6</f>
        <v>0.1</v>
      </c>
      <c r="Y6" s="304">
        <f>Y5</f>
        <v>0.05</v>
      </c>
      <c r="Z6" s="63" t="str">
        <f t="shared" ref="Z6:Z59" si="103">"[["&amp;BV6&amp;","&amp;BW6&amp;"],["&amp;BX6&amp;","&amp;BY6&amp;"],["&amp;BZ6&amp;","&amp;CA6&amp;"]]"</f>
        <v>[[1,5],[2,2],[3,1]]</v>
      </c>
      <c r="AA6" s="305" t="str">
        <f t="shared" ref="AA6:AA59" si="104">"["&amp;CD6&amp;","&amp;CF6&amp;","&amp;CH6&amp;"]"</f>
        <v>[0.017778,0.008889,0.005926]</v>
      </c>
      <c r="AB6" s="305">
        <f t="shared" ref="AB6:AB34" si="105">IF(E6&lt;5,0,E6/100*0.5)</f>
        <v>0</v>
      </c>
      <c r="AC6" s="305">
        <v>0</v>
      </c>
      <c r="AD6" s="306">
        <v>2</v>
      </c>
      <c r="AE6" s="63">
        <f t="shared" si="23"/>
        <v>-1</v>
      </c>
      <c r="AF6" s="63">
        <v>0</v>
      </c>
      <c r="AG6" s="63"/>
      <c r="AH6" s="39"/>
      <c r="AI6" s="39">
        <v>1</v>
      </c>
      <c r="AJ6" s="63">
        <v>1</v>
      </c>
      <c r="AK6" s="63">
        <v>1</v>
      </c>
      <c r="AL6" s="63">
        <v>0.5</v>
      </c>
      <c r="AM6" s="63">
        <v>1</v>
      </c>
      <c r="AN6" s="63"/>
      <c r="AO6" s="39"/>
      <c r="AP6" s="39"/>
      <c r="AQ6" s="310">
        <v>0.6</v>
      </c>
      <c r="AR6" s="39">
        <v>2</v>
      </c>
      <c r="AS6" s="39">
        <v>0.18</v>
      </c>
      <c r="AT6" s="39">
        <v>0.8</v>
      </c>
      <c r="AU6" s="39">
        <v>1</v>
      </c>
      <c r="AV6" s="39" t="s">
        <v>1314</v>
      </c>
      <c r="AW6" s="317" t="s">
        <v>1321</v>
      </c>
      <c r="AX6" s="317" t="s">
        <v>1322</v>
      </c>
      <c r="AY6" s="316" t="s">
        <v>403</v>
      </c>
      <c r="AZ6" s="316" t="s">
        <v>258</v>
      </c>
      <c r="BA6" s="78">
        <f t="shared" si="24"/>
        <v>1.5</v>
      </c>
      <c r="BB6" s="318">
        <f t="shared" si="25"/>
        <v>100</v>
      </c>
      <c r="BC6" s="78" t="s">
        <v>1317</v>
      </c>
      <c r="BD6" s="78">
        <f t="shared" si="26"/>
        <v>0.746</v>
      </c>
      <c r="BE6" s="78"/>
      <c r="BF6" s="63">
        <f t="shared" si="27"/>
        <v>2</v>
      </c>
      <c r="BG6" s="63">
        <f t="shared" si="28"/>
        <v>2.12</v>
      </c>
      <c r="BI6" s="63">
        <f t="shared" si="29"/>
        <v>0</v>
      </c>
      <c r="BJ6" s="334" t="s">
        <v>1323</v>
      </c>
      <c r="BK6" s="335">
        <f>1/7</f>
        <v>0.14285714285714285</v>
      </c>
      <c r="BT6" s="344">
        <f t="shared" si="30"/>
        <v>2.2000000000000002</v>
      </c>
      <c r="BU6" s="353">
        <f>BU5</f>
        <v>0.1</v>
      </c>
      <c r="BV6" s="354">
        <v>1</v>
      </c>
      <c r="BW6" s="133">
        <v>5</v>
      </c>
      <c r="BX6" s="354">
        <v>2</v>
      </c>
      <c r="BY6" s="133">
        <v>2</v>
      </c>
      <c r="BZ6" s="354">
        <v>3</v>
      </c>
      <c r="CA6" s="133">
        <v>1</v>
      </c>
      <c r="CB6" s="133">
        <f t="shared" ref="CB6:CB59" si="106">(BV6*BW6+BX6*BY6+BZ6*CA6)/(BW6+BY6+CA6)</f>
        <v>1.5</v>
      </c>
      <c r="CC6" s="133">
        <f t="shared" ref="CC6:CG37" si="107">CC$3/10</f>
        <v>7.5</v>
      </c>
      <c r="CD6" s="358">
        <f t="shared" si="31"/>
        <v>1.7777999999999999E-2</v>
      </c>
      <c r="CE6" s="133">
        <f t="shared" si="32"/>
        <v>15</v>
      </c>
      <c r="CF6" s="359">
        <f t="shared" si="33"/>
        <v>8.8889999999999993E-3</v>
      </c>
      <c r="CG6" s="133">
        <f t="shared" si="32"/>
        <v>22.5</v>
      </c>
      <c r="CH6" s="360">
        <f t="shared" si="34"/>
        <v>5.9259999999999998E-3</v>
      </c>
      <c r="CJ6" s="230">
        <v>2E-3</v>
      </c>
      <c r="CK6" s="387">
        <f>CK5</f>
        <v>0</v>
      </c>
      <c r="CL6" s="259">
        <f t="shared" si="35"/>
        <v>0</v>
      </c>
      <c r="CM6" s="383">
        <f t="shared" si="36"/>
        <v>0</v>
      </c>
      <c r="CN6" s="383">
        <f t="shared" si="37"/>
        <v>0</v>
      </c>
      <c r="CO6" s="384">
        <f t="shared" ref="CO6:CO59" si="108">IF(CN6&gt;$CO$3,CK6*$CO$3/CN6,$CK6)</f>
        <v>0</v>
      </c>
      <c r="CP6" s="385">
        <f t="shared" si="38"/>
        <v>0</v>
      </c>
      <c r="CQ6" s="383">
        <f t="shared" si="39"/>
        <v>0</v>
      </c>
      <c r="CR6" s="386" t="e">
        <f t="shared" si="40"/>
        <v>#DIV/0!</v>
      </c>
      <c r="CS6" s="407">
        <f t="shared" ref="CS6:CS59" si="109">IF($CN$3&lt;$CV$2,CV6,CV6*INT($CN$3/$CV$2))</f>
        <v>1</v>
      </c>
      <c r="CT6" s="408">
        <f t="shared" ref="CT6:CT59" si="110">IF($CN$3&lt;$CV$2,CW6,CW6*INT($CN$3/$CV$2))</f>
        <v>1</v>
      </c>
      <c r="CU6" s="279"/>
      <c r="CV6" s="277">
        <v>1</v>
      </c>
      <c r="CW6" s="278">
        <v>1</v>
      </c>
      <c r="CY6" s="409" t="s">
        <v>1324</v>
      </c>
      <c r="CZ6" s="136">
        <v>1</v>
      </c>
      <c r="DA6" s="643"/>
      <c r="DB6" s="647"/>
      <c r="DD6" s="414"/>
      <c r="DE6" s="407">
        <v>0</v>
      </c>
      <c r="DF6" s="259">
        <v>1</v>
      </c>
      <c r="DG6" s="414">
        <f t="shared" si="41"/>
        <v>0</v>
      </c>
      <c r="DH6" s="407">
        <f t="shared" si="42"/>
        <v>0</v>
      </c>
      <c r="DI6" s="259">
        <f t="shared" ref="DI6:DI59" si="111">DF6</f>
        <v>1</v>
      </c>
      <c r="DJ6" s="414">
        <f t="shared" si="44"/>
        <v>0</v>
      </c>
      <c r="DK6" s="407">
        <f t="shared" si="45"/>
        <v>0</v>
      </c>
      <c r="DL6" s="259">
        <f t="shared" ref="DL6:DL59" si="112">DI6</f>
        <v>1</v>
      </c>
      <c r="DM6" s="414">
        <f t="shared" si="47"/>
        <v>0</v>
      </c>
      <c r="DN6" s="407">
        <f t="shared" ref="DN6:DN59" si="113">DK6</f>
        <v>0</v>
      </c>
      <c r="DO6" s="259">
        <f t="shared" ref="DO6:DO59" si="114">DL6</f>
        <v>1</v>
      </c>
      <c r="DP6" s="414">
        <f t="shared" si="50"/>
        <v>0</v>
      </c>
      <c r="DQ6" s="407">
        <f t="shared" ref="DQ6:DQ59" si="115">DN6</f>
        <v>0</v>
      </c>
      <c r="DR6" s="259">
        <f t="shared" ref="DR6:DR59" si="116">DO6</f>
        <v>1</v>
      </c>
      <c r="DS6" s="414">
        <f t="shared" si="53"/>
        <v>0</v>
      </c>
      <c r="DT6" s="407">
        <f t="shared" ref="DT6:DT59" si="117">DQ6</f>
        <v>0</v>
      </c>
      <c r="DU6" s="259">
        <f t="shared" ref="DU6:DU59" si="118">DR6</f>
        <v>1</v>
      </c>
      <c r="DV6" s="414">
        <f t="shared" si="56"/>
        <v>0</v>
      </c>
      <c r="DW6" s="407">
        <f t="shared" ref="DW6:DW59" si="119">DT6</f>
        <v>0</v>
      </c>
      <c r="DX6" s="259">
        <f t="shared" ref="DX6:DX59" si="120">DU6</f>
        <v>1</v>
      </c>
      <c r="DY6" s="414">
        <f t="shared" si="59"/>
        <v>0</v>
      </c>
      <c r="DZ6" s="407">
        <f t="shared" ref="DZ6:DZ59" si="121">DW6</f>
        <v>0</v>
      </c>
      <c r="EA6" s="259">
        <f t="shared" ref="EA6:EA59" si="122">DX6</f>
        <v>1</v>
      </c>
      <c r="EB6" s="414">
        <f t="shared" si="62"/>
        <v>0</v>
      </c>
      <c r="EC6" s="407">
        <f t="shared" ref="EC6:EC59" si="123">DZ6</f>
        <v>0</v>
      </c>
      <c r="ED6" s="259">
        <f t="shared" ref="ED6:ED59" si="124">EA6</f>
        <v>1</v>
      </c>
      <c r="EE6" s="414">
        <f t="shared" si="65"/>
        <v>0</v>
      </c>
      <c r="EF6" s="407">
        <f t="shared" ref="EF6:EF59" si="125">EC6</f>
        <v>0</v>
      </c>
      <c r="EG6" s="259">
        <f t="shared" ref="EG6:EG59" si="126">ED6</f>
        <v>1</v>
      </c>
      <c r="EH6" s="414">
        <f t="shared" si="68"/>
        <v>0</v>
      </c>
      <c r="EI6" s="407">
        <f t="shared" si="69"/>
        <v>0</v>
      </c>
      <c r="EJ6" s="259">
        <f t="shared" si="70"/>
        <v>2</v>
      </c>
      <c r="EK6" s="414">
        <f t="shared" si="71"/>
        <v>0</v>
      </c>
      <c r="EL6" s="407">
        <f t="shared" si="72"/>
        <v>0</v>
      </c>
      <c r="EM6" s="259">
        <f t="shared" si="73"/>
        <v>4</v>
      </c>
      <c r="EN6" s="414">
        <f t="shared" si="74"/>
        <v>0</v>
      </c>
      <c r="EO6" s="407">
        <f t="shared" si="75"/>
        <v>0</v>
      </c>
      <c r="EP6" s="259">
        <f t="shared" si="76"/>
        <v>6</v>
      </c>
      <c r="EQ6" s="414">
        <f t="shared" si="77"/>
        <v>0</v>
      </c>
      <c r="ER6" s="407">
        <f t="shared" si="78"/>
        <v>0</v>
      </c>
      <c r="ES6" s="259">
        <f t="shared" si="79"/>
        <v>8</v>
      </c>
      <c r="ET6" s="414">
        <f t="shared" si="80"/>
        <v>0</v>
      </c>
      <c r="EU6" s="407">
        <f t="shared" si="81"/>
        <v>0</v>
      </c>
      <c r="EV6" s="259">
        <f t="shared" si="82"/>
        <v>10</v>
      </c>
      <c r="EW6" s="414">
        <f t="shared" si="83"/>
        <v>0</v>
      </c>
      <c r="EX6" s="407">
        <f t="shared" si="84"/>
        <v>0</v>
      </c>
      <c r="EY6" s="259">
        <f t="shared" si="85"/>
        <v>20</v>
      </c>
      <c r="EZ6" s="414">
        <f t="shared" si="86"/>
        <v>0</v>
      </c>
      <c r="FA6" s="407">
        <f t="shared" si="87"/>
        <v>0</v>
      </c>
      <c r="FB6" s="259">
        <f t="shared" si="88"/>
        <v>40</v>
      </c>
      <c r="FC6" s="414">
        <f t="shared" si="89"/>
        <v>0</v>
      </c>
      <c r="FD6" s="407">
        <f t="shared" si="90"/>
        <v>0</v>
      </c>
      <c r="FE6" s="259">
        <f t="shared" si="91"/>
        <v>60</v>
      </c>
      <c r="FF6" s="414">
        <f t="shared" si="92"/>
        <v>0</v>
      </c>
      <c r="FG6" s="407">
        <f t="shared" si="93"/>
        <v>0</v>
      </c>
      <c r="FH6" s="259">
        <f t="shared" si="94"/>
        <v>80</v>
      </c>
      <c r="FI6" s="414">
        <f t="shared" si="95"/>
        <v>0</v>
      </c>
      <c r="FJ6" s="407">
        <f t="shared" si="96"/>
        <v>0</v>
      </c>
      <c r="FK6" s="259">
        <f t="shared" si="97"/>
        <v>100</v>
      </c>
      <c r="FL6" s="414">
        <f t="shared" si="98"/>
        <v>0</v>
      </c>
      <c r="FP6" s="421">
        <f t="shared" si="99"/>
        <v>0</v>
      </c>
      <c r="FQ6" s="421">
        <f t="shared" si="99"/>
        <v>0</v>
      </c>
      <c r="FR6" s="421">
        <f t="shared" si="99"/>
        <v>0</v>
      </c>
      <c r="FS6" s="421">
        <f t="shared" si="99"/>
        <v>8.3333333333333337E-6</v>
      </c>
      <c r="FT6" s="421">
        <f t="shared" si="99"/>
        <v>1.0416666666666666E-5</v>
      </c>
      <c r="FU6" s="421">
        <f t="shared" si="99"/>
        <v>2.0833333333333333E-5</v>
      </c>
      <c r="FV6" s="421">
        <f t="shared" si="99"/>
        <v>4.1666666666666665E-5</v>
      </c>
      <c r="FW6" s="421">
        <f t="shared" si="99"/>
        <v>6.2500000000000001E-5</v>
      </c>
      <c r="FX6" s="421">
        <f t="shared" si="99"/>
        <v>8.3333333333333331E-5</v>
      </c>
      <c r="FY6" s="421">
        <f t="shared" si="99"/>
        <v>1.0416666666666667E-4</v>
      </c>
      <c r="FZ6" s="421">
        <f t="shared" si="100"/>
        <v>2.0833333333333335E-4</v>
      </c>
      <c r="GA6" s="421">
        <f t="shared" si="100"/>
        <v>4.1666666666666669E-4</v>
      </c>
      <c r="GB6" s="421">
        <f t="shared" si="100"/>
        <v>5.6249999999999996E-4</v>
      </c>
      <c r="GC6" s="421">
        <f t="shared" si="100"/>
        <v>6.6666666666666664E-4</v>
      </c>
      <c r="GD6" s="421">
        <f t="shared" si="100"/>
        <v>8.3333333333333339E-4</v>
      </c>
      <c r="GE6" s="421">
        <f t="shared" si="100"/>
        <v>1.0416666666666667E-3</v>
      </c>
      <c r="GF6" s="421">
        <f t="shared" si="100"/>
        <v>2.0833333333333333E-3</v>
      </c>
      <c r="GG6" s="421">
        <f t="shared" si="100"/>
        <v>3.1250000000000002E-3</v>
      </c>
      <c r="GH6" s="421">
        <f t="shared" si="100"/>
        <v>4.1666666666666666E-3</v>
      </c>
      <c r="GI6" s="421">
        <f t="shared" si="100"/>
        <v>4.1666666666666666E-3</v>
      </c>
      <c r="GK6" s="1">
        <v>1</v>
      </c>
      <c r="GL6" s="6">
        <v>2</v>
      </c>
    </row>
    <row r="7" spans="1:211" x14ac:dyDescent="0.35">
      <c r="A7" s="63">
        <v>3</v>
      </c>
      <c r="B7" s="242" t="s">
        <v>1325</v>
      </c>
      <c r="C7" s="63">
        <v>1</v>
      </c>
      <c r="D7" s="63">
        <v>-1</v>
      </c>
      <c r="E7" s="63">
        <v>3</v>
      </c>
      <c r="F7" s="63">
        <f t="shared" si="16"/>
        <v>3</v>
      </c>
      <c r="G7" s="63">
        <f t="shared" si="101"/>
        <v>3</v>
      </c>
      <c r="H7" s="63"/>
      <c r="I7" s="63">
        <f t="shared" si="17"/>
        <v>0</v>
      </c>
      <c r="J7" s="63">
        <f t="shared" si="18"/>
        <v>0</v>
      </c>
      <c r="K7" s="63">
        <v>0</v>
      </c>
      <c r="L7" s="254">
        <f>ROUND($BK$7/('全局参数|GlobalPar'!$B$18/10000/E7),6)*(7/5)</f>
        <v>2.0831999999999999E-3</v>
      </c>
      <c r="M7" s="255">
        <v>1</v>
      </c>
      <c r="N7" s="256">
        <f>ROUND(IF(M7&lt;&gt;0,$BK$4/('全局参数|GlobalPar'!$B$18/10000/E7)/M7,0),6)</f>
        <v>0</v>
      </c>
      <c r="O7" s="259">
        <f t="shared" si="19"/>
        <v>5.9999999999999995E-4</v>
      </c>
      <c r="P7" s="260">
        <f t="shared" si="20"/>
        <v>0</v>
      </c>
      <c r="Q7" s="277">
        <v>1</v>
      </c>
      <c r="R7" s="278">
        <v>1</v>
      </c>
      <c r="S7" s="279" t="str">
        <f t="shared" si="21"/>
        <v>[[0,1],[0,1],[0,1],[0,1],[0,1],[0,1],[0,1],[0,1],[0,1],[0,1],[0,2],[0,4],[0,6],[0,8],[0,10],[0,20],[0,40],[0,60],[0,80],[0,100]]</v>
      </c>
      <c r="T7" s="63">
        <v>0</v>
      </c>
      <c r="U7" s="256">
        <v>0</v>
      </c>
      <c r="V7" s="280">
        <f t="shared" si="22"/>
        <v>0</v>
      </c>
      <c r="W7" s="280">
        <v>0.06</v>
      </c>
      <c r="X7" s="280">
        <f t="shared" si="102"/>
        <v>0.1</v>
      </c>
      <c r="Y7" s="304">
        <f t="shared" ref="Y7:Y45" si="127">Y6</f>
        <v>0.05</v>
      </c>
      <c r="Z7" s="63" t="str">
        <f t="shared" si="103"/>
        <v>[[1,5],[2,2],[3,1]]</v>
      </c>
      <c r="AA7" s="305" t="str">
        <f t="shared" si="104"/>
        <v>[0.026667,0.013333,0.008889]</v>
      </c>
      <c r="AB7" s="305">
        <f t="shared" si="105"/>
        <v>0</v>
      </c>
      <c r="AC7" s="305">
        <v>0</v>
      </c>
      <c r="AD7" s="306">
        <v>2</v>
      </c>
      <c r="AE7" s="63">
        <f t="shared" si="23"/>
        <v>-1</v>
      </c>
      <c r="AF7" s="63">
        <v>0</v>
      </c>
      <c r="AG7" s="39"/>
      <c r="AH7" s="39"/>
      <c r="AI7" s="39">
        <v>1</v>
      </c>
      <c r="AJ7" s="63">
        <v>1</v>
      </c>
      <c r="AK7" s="63">
        <v>1</v>
      </c>
      <c r="AL7" s="63">
        <v>0.5</v>
      </c>
      <c r="AM7" s="63">
        <v>1</v>
      </c>
      <c r="AN7" s="63"/>
      <c r="AO7" s="39"/>
      <c r="AP7" s="39"/>
      <c r="AQ7" s="310">
        <v>0.6</v>
      </c>
      <c r="AR7" s="39">
        <v>3</v>
      </c>
      <c r="AS7" s="39">
        <v>0.18</v>
      </c>
      <c r="AT7" s="39">
        <v>0.8</v>
      </c>
      <c r="AU7" s="39">
        <v>1</v>
      </c>
      <c r="AV7" s="39" t="s">
        <v>1314</v>
      </c>
      <c r="AW7" s="317" t="s">
        <v>1326</v>
      </c>
      <c r="AX7" s="317" t="s">
        <v>1327</v>
      </c>
      <c r="AY7" s="316" t="s">
        <v>248</v>
      </c>
      <c r="AZ7" s="316" t="s">
        <v>258</v>
      </c>
      <c r="BA7" s="78">
        <f t="shared" si="24"/>
        <v>2.25</v>
      </c>
      <c r="BB7" s="318">
        <f t="shared" si="25"/>
        <v>66.666666666666671</v>
      </c>
      <c r="BC7" s="78" t="s">
        <v>1317</v>
      </c>
      <c r="BD7" s="78">
        <f t="shared" si="26"/>
        <v>0.746</v>
      </c>
      <c r="BE7" s="78"/>
      <c r="BF7" s="63">
        <f t="shared" si="27"/>
        <v>3</v>
      </c>
      <c r="BG7" s="63">
        <f t="shared" si="28"/>
        <v>3.18</v>
      </c>
      <c r="BI7" s="63">
        <f t="shared" si="29"/>
        <v>0</v>
      </c>
      <c r="BJ7" s="336" t="s">
        <v>1328</v>
      </c>
      <c r="BK7" s="337">
        <f>BK6/BK3</f>
        <v>4.7619047619047619E-4</v>
      </c>
      <c r="BT7" s="344">
        <f t="shared" si="30"/>
        <v>3.3000000000000003</v>
      </c>
      <c r="BU7" s="353">
        <f t="shared" ref="BU7:BU62" si="128">BU6</f>
        <v>0.1</v>
      </c>
      <c r="BV7" s="354">
        <v>1</v>
      </c>
      <c r="BW7" s="133">
        <v>5</v>
      </c>
      <c r="BX7" s="354">
        <v>2</v>
      </c>
      <c r="BY7" s="133">
        <v>2</v>
      </c>
      <c r="BZ7" s="354">
        <v>3</v>
      </c>
      <c r="CA7" s="133">
        <v>1</v>
      </c>
      <c r="CB7" s="133">
        <f t="shared" si="106"/>
        <v>1.5</v>
      </c>
      <c r="CC7" s="133">
        <f t="shared" si="107"/>
        <v>7.5</v>
      </c>
      <c r="CD7" s="358">
        <f t="shared" si="31"/>
        <v>2.6667E-2</v>
      </c>
      <c r="CE7" s="133">
        <f t="shared" si="32"/>
        <v>15</v>
      </c>
      <c r="CF7" s="359">
        <f t="shared" si="33"/>
        <v>1.3332999999999999E-2</v>
      </c>
      <c r="CG7" s="133">
        <f t="shared" si="32"/>
        <v>22.5</v>
      </c>
      <c r="CH7" s="360">
        <f t="shared" si="34"/>
        <v>8.8889999999999993E-3</v>
      </c>
      <c r="CJ7" s="229">
        <v>2E-3</v>
      </c>
      <c r="CK7" s="387">
        <f t="shared" ref="CK7:CK62" si="129">CK6</f>
        <v>0</v>
      </c>
      <c r="CL7" s="259">
        <f t="shared" si="35"/>
        <v>0</v>
      </c>
      <c r="CM7" s="383">
        <f t="shared" si="36"/>
        <v>0</v>
      </c>
      <c r="CN7" s="383">
        <f t="shared" si="37"/>
        <v>0</v>
      </c>
      <c r="CO7" s="384">
        <f t="shared" si="108"/>
        <v>0</v>
      </c>
      <c r="CP7" s="385">
        <f t="shared" si="38"/>
        <v>0</v>
      </c>
      <c r="CQ7" s="383">
        <f t="shared" si="39"/>
        <v>0</v>
      </c>
      <c r="CR7" s="386" t="e">
        <f t="shared" si="40"/>
        <v>#DIV/0!</v>
      </c>
      <c r="CS7" s="407">
        <f t="shared" si="109"/>
        <v>1</v>
      </c>
      <c r="CT7" s="408">
        <f t="shared" si="110"/>
        <v>1</v>
      </c>
      <c r="CU7" s="279"/>
      <c r="CV7" s="277">
        <v>1</v>
      </c>
      <c r="CW7" s="278">
        <v>1</v>
      </c>
      <c r="CZ7" s="1"/>
      <c r="DA7" s="1"/>
      <c r="DB7" s="1"/>
      <c r="DD7" s="414"/>
      <c r="DE7" s="407">
        <v>0</v>
      </c>
      <c r="DF7" s="259">
        <v>1</v>
      </c>
      <c r="DG7" s="414">
        <f t="shared" si="41"/>
        <v>0</v>
      </c>
      <c r="DH7" s="407">
        <f t="shared" si="42"/>
        <v>0</v>
      </c>
      <c r="DI7" s="259">
        <f t="shared" si="111"/>
        <v>1</v>
      </c>
      <c r="DJ7" s="414">
        <f t="shared" si="44"/>
        <v>0</v>
      </c>
      <c r="DK7" s="407">
        <f t="shared" si="45"/>
        <v>0</v>
      </c>
      <c r="DL7" s="259">
        <f t="shared" si="112"/>
        <v>1</v>
      </c>
      <c r="DM7" s="414">
        <f t="shared" si="47"/>
        <v>0</v>
      </c>
      <c r="DN7" s="407">
        <f t="shared" si="113"/>
        <v>0</v>
      </c>
      <c r="DO7" s="259">
        <f t="shared" si="114"/>
        <v>1</v>
      </c>
      <c r="DP7" s="414">
        <f t="shared" si="50"/>
        <v>0</v>
      </c>
      <c r="DQ7" s="407">
        <f t="shared" si="115"/>
        <v>0</v>
      </c>
      <c r="DR7" s="259">
        <f t="shared" si="116"/>
        <v>1</v>
      </c>
      <c r="DS7" s="414">
        <f t="shared" si="53"/>
        <v>0</v>
      </c>
      <c r="DT7" s="407">
        <f t="shared" si="117"/>
        <v>0</v>
      </c>
      <c r="DU7" s="259">
        <f t="shared" si="118"/>
        <v>1</v>
      </c>
      <c r="DV7" s="414">
        <f t="shared" si="56"/>
        <v>0</v>
      </c>
      <c r="DW7" s="407">
        <f t="shared" si="119"/>
        <v>0</v>
      </c>
      <c r="DX7" s="259">
        <f t="shared" si="120"/>
        <v>1</v>
      </c>
      <c r="DY7" s="414">
        <f t="shared" si="59"/>
        <v>0</v>
      </c>
      <c r="DZ7" s="407">
        <f t="shared" si="121"/>
        <v>0</v>
      </c>
      <c r="EA7" s="259">
        <f t="shared" si="122"/>
        <v>1</v>
      </c>
      <c r="EB7" s="414">
        <f t="shared" si="62"/>
        <v>0</v>
      </c>
      <c r="EC7" s="407">
        <f t="shared" si="123"/>
        <v>0</v>
      </c>
      <c r="ED7" s="259">
        <f t="shared" si="124"/>
        <v>1</v>
      </c>
      <c r="EE7" s="414">
        <f t="shared" si="65"/>
        <v>0</v>
      </c>
      <c r="EF7" s="407">
        <f t="shared" si="125"/>
        <v>0</v>
      </c>
      <c r="EG7" s="259">
        <f t="shared" si="126"/>
        <v>1</v>
      </c>
      <c r="EH7" s="414">
        <f t="shared" si="68"/>
        <v>0</v>
      </c>
      <c r="EI7" s="407">
        <f t="shared" si="69"/>
        <v>0</v>
      </c>
      <c r="EJ7" s="259">
        <f t="shared" si="70"/>
        <v>2</v>
      </c>
      <c r="EK7" s="414">
        <f t="shared" si="71"/>
        <v>0</v>
      </c>
      <c r="EL7" s="407">
        <f t="shared" si="72"/>
        <v>0</v>
      </c>
      <c r="EM7" s="259">
        <f t="shared" si="73"/>
        <v>4</v>
      </c>
      <c r="EN7" s="414">
        <f t="shared" si="74"/>
        <v>0</v>
      </c>
      <c r="EO7" s="407">
        <f t="shared" si="75"/>
        <v>0</v>
      </c>
      <c r="EP7" s="259">
        <f t="shared" si="76"/>
        <v>6</v>
      </c>
      <c r="EQ7" s="414">
        <f t="shared" si="77"/>
        <v>0</v>
      </c>
      <c r="ER7" s="407">
        <f t="shared" si="78"/>
        <v>0</v>
      </c>
      <c r="ES7" s="259">
        <f t="shared" si="79"/>
        <v>8</v>
      </c>
      <c r="ET7" s="414">
        <f t="shared" si="80"/>
        <v>0</v>
      </c>
      <c r="EU7" s="407">
        <f t="shared" si="81"/>
        <v>0</v>
      </c>
      <c r="EV7" s="259">
        <f t="shared" si="82"/>
        <v>10</v>
      </c>
      <c r="EW7" s="414">
        <f t="shared" si="83"/>
        <v>0</v>
      </c>
      <c r="EX7" s="407">
        <f t="shared" si="84"/>
        <v>0</v>
      </c>
      <c r="EY7" s="259">
        <f t="shared" si="85"/>
        <v>20</v>
      </c>
      <c r="EZ7" s="414">
        <f t="shared" si="86"/>
        <v>0</v>
      </c>
      <c r="FA7" s="407">
        <f t="shared" si="87"/>
        <v>0</v>
      </c>
      <c r="FB7" s="259">
        <f t="shared" si="88"/>
        <v>40</v>
      </c>
      <c r="FC7" s="414">
        <f t="shared" si="89"/>
        <v>0</v>
      </c>
      <c r="FD7" s="407">
        <f t="shared" si="90"/>
        <v>0</v>
      </c>
      <c r="FE7" s="259">
        <f t="shared" si="91"/>
        <v>60</v>
      </c>
      <c r="FF7" s="414">
        <f t="shared" si="92"/>
        <v>0</v>
      </c>
      <c r="FG7" s="407">
        <f t="shared" si="93"/>
        <v>0</v>
      </c>
      <c r="FH7" s="259">
        <f t="shared" si="94"/>
        <v>80</v>
      </c>
      <c r="FI7" s="414">
        <f t="shared" si="95"/>
        <v>0</v>
      </c>
      <c r="FJ7" s="407">
        <f t="shared" si="96"/>
        <v>0</v>
      </c>
      <c r="FK7" s="259">
        <f t="shared" si="97"/>
        <v>100</v>
      </c>
      <c r="FL7" s="414">
        <f t="shared" si="98"/>
        <v>0</v>
      </c>
      <c r="FP7" s="421">
        <f t="shared" si="99"/>
        <v>0</v>
      </c>
      <c r="FQ7" s="421">
        <f t="shared" si="99"/>
        <v>0</v>
      </c>
      <c r="FR7" s="421">
        <f t="shared" si="99"/>
        <v>0</v>
      </c>
      <c r="FS7" s="421">
        <f t="shared" si="99"/>
        <v>1.2500000000000002E-5</v>
      </c>
      <c r="FT7" s="421">
        <f t="shared" si="99"/>
        <v>1.5625E-5</v>
      </c>
      <c r="FU7" s="421">
        <f t="shared" si="99"/>
        <v>3.1250000000000001E-5</v>
      </c>
      <c r="FV7" s="421">
        <f t="shared" si="99"/>
        <v>6.2500000000000001E-5</v>
      </c>
      <c r="FW7" s="421">
        <f t="shared" si="99"/>
        <v>9.3750000000000016E-5</v>
      </c>
      <c r="FX7" s="421">
        <f t="shared" si="99"/>
        <v>1.25E-4</v>
      </c>
      <c r="FY7" s="421">
        <f t="shared" si="99"/>
        <v>1.5625000000000003E-4</v>
      </c>
      <c r="FZ7" s="421">
        <f t="shared" si="100"/>
        <v>3.1250000000000006E-4</v>
      </c>
      <c r="GA7" s="421">
        <f t="shared" si="100"/>
        <v>6.2500000000000012E-4</v>
      </c>
      <c r="GB7" s="421">
        <f t="shared" si="100"/>
        <v>8.4374999999999999E-4</v>
      </c>
      <c r="GC7" s="421">
        <f t="shared" si="100"/>
        <v>1E-3</v>
      </c>
      <c r="GD7" s="421">
        <f t="shared" si="100"/>
        <v>1.25E-3</v>
      </c>
      <c r="GE7" s="421">
        <f t="shared" si="100"/>
        <v>1.5625000000000003E-3</v>
      </c>
      <c r="GF7" s="421">
        <f t="shared" si="100"/>
        <v>3.1250000000000006E-3</v>
      </c>
      <c r="GG7" s="421">
        <f t="shared" si="100"/>
        <v>4.6875000000000007E-3</v>
      </c>
      <c r="GH7" s="421">
        <f t="shared" si="100"/>
        <v>6.2500000000000012E-3</v>
      </c>
      <c r="GI7" s="421">
        <f t="shared" si="100"/>
        <v>6.2500000000000003E-3</v>
      </c>
      <c r="GK7" s="1">
        <v>2</v>
      </c>
      <c r="GL7" s="6">
        <v>4</v>
      </c>
    </row>
    <row r="8" spans="1:211" s="230" customFormat="1" x14ac:dyDescent="0.35">
      <c r="A8" s="63">
        <v>4</v>
      </c>
      <c r="B8" s="242" t="s">
        <v>1329</v>
      </c>
      <c r="C8" s="63">
        <v>1</v>
      </c>
      <c r="D8" s="63">
        <v>-1</v>
      </c>
      <c r="E8" s="63">
        <v>4</v>
      </c>
      <c r="F8" s="63">
        <f t="shared" si="16"/>
        <v>4</v>
      </c>
      <c r="G8" s="63">
        <f t="shared" si="101"/>
        <v>4</v>
      </c>
      <c r="H8" s="63"/>
      <c r="I8" s="63">
        <f t="shared" si="17"/>
        <v>0</v>
      </c>
      <c r="J8" s="63">
        <f t="shared" si="18"/>
        <v>0</v>
      </c>
      <c r="K8" s="63">
        <v>0</v>
      </c>
      <c r="L8" s="254">
        <f>ROUND($BK$7/('全局参数|GlobalPar'!$B$18/10000/E8),6)*(7/5)</f>
        <v>2.7775999999999999E-3</v>
      </c>
      <c r="M8" s="255">
        <v>1</v>
      </c>
      <c r="N8" s="256">
        <f>ROUND(IF(M8&lt;&gt;0,$BK$4/('全局参数|GlobalPar'!$B$18/10000/E8)/M8,0),6)</f>
        <v>0</v>
      </c>
      <c r="O8" s="259">
        <f t="shared" si="19"/>
        <v>8.0000000000000004E-4</v>
      </c>
      <c r="P8" s="260">
        <f t="shared" si="20"/>
        <v>0</v>
      </c>
      <c r="Q8" s="277">
        <v>1</v>
      </c>
      <c r="R8" s="278">
        <v>1</v>
      </c>
      <c r="S8" s="279" t="str">
        <f t="shared" si="21"/>
        <v>[[0,1],[0,1],[0,1],[0,1],[0,1],[0,1],[0,1],[0,1],[0,1],[0,1],[0,2],[0,4],[0,6],[0,8],[0,10],[0,20],[0,40],[0,60],[0,80],[0,100]]</v>
      </c>
      <c r="T8" s="63">
        <v>0</v>
      </c>
      <c r="U8" s="256">
        <v>0</v>
      </c>
      <c r="V8" s="280">
        <f t="shared" si="22"/>
        <v>0</v>
      </c>
      <c r="W8" s="280">
        <v>0.06</v>
      </c>
      <c r="X8" s="280">
        <f t="shared" si="102"/>
        <v>0.1</v>
      </c>
      <c r="Y8" s="304">
        <f t="shared" si="127"/>
        <v>0.05</v>
      </c>
      <c r="Z8" s="63" t="str">
        <f t="shared" si="103"/>
        <v>[[1,5],[2,2],[3,1]]</v>
      </c>
      <c r="AA8" s="305" t="str">
        <f t="shared" si="104"/>
        <v>[0.035556,0.017778,0.011852]</v>
      </c>
      <c r="AB8" s="305">
        <f t="shared" si="105"/>
        <v>0</v>
      </c>
      <c r="AC8" s="305">
        <v>0</v>
      </c>
      <c r="AD8" s="306">
        <v>2</v>
      </c>
      <c r="AE8" s="63">
        <f t="shared" si="23"/>
        <v>-1</v>
      </c>
      <c r="AF8" s="63">
        <v>0</v>
      </c>
      <c r="AG8" s="63"/>
      <c r="AH8" s="39"/>
      <c r="AI8" s="39">
        <v>1</v>
      </c>
      <c r="AJ8" s="63">
        <v>1</v>
      </c>
      <c r="AK8" s="63">
        <v>1</v>
      </c>
      <c r="AL8" s="63">
        <v>0.5</v>
      </c>
      <c r="AM8" s="63">
        <v>1</v>
      </c>
      <c r="AN8" s="63"/>
      <c r="AO8" s="39"/>
      <c r="AP8" s="39"/>
      <c r="AQ8" s="310">
        <v>0.6</v>
      </c>
      <c r="AR8" s="39">
        <v>4</v>
      </c>
      <c r="AS8" s="39">
        <v>0.18</v>
      </c>
      <c r="AT8" s="39">
        <v>0.8</v>
      </c>
      <c r="AU8" s="39">
        <v>1</v>
      </c>
      <c r="AV8" s="39" t="s">
        <v>1314</v>
      </c>
      <c r="AW8" s="317" t="s">
        <v>1330</v>
      </c>
      <c r="AX8" s="317" t="s">
        <v>1331</v>
      </c>
      <c r="AY8" s="316" t="s">
        <v>521</v>
      </c>
      <c r="AZ8" s="316" t="s">
        <v>258</v>
      </c>
      <c r="BA8" s="78">
        <f t="shared" si="24"/>
        <v>3</v>
      </c>
      <c r="BB8" s="318">
        <f t="shared" si="25"/>
        <v>50</v>
      </c>
      <c r="BC8" s="78" t="s">
        <v>1317</v>
      </c>
      <c r="BD8" s="78">
        <f t="shared" si="26"/>
        <v>0.746</v>
      </c>
      <c r="BE8" s="78"/>
      <c r="BF8" s="63">
        <f t="shared" si="27"/>
        <v>4</v>
      </c>
      <c r="BG8" s="63">
        <f t="shared" si="28"/>
        <v>4.24</v>
      </c>
      <c r="BI8" s="63">
        <f t="shared" si="29"/>
        <v>0</v>
      </c>
      <c r="BP8" s="345"/>
      <c r="BT8" s="344">
        <f t="shared" si="30"/>
        <v>4.4000000000000004</v>
      </c>
      <c r="BU8" s="353">
        <f t="shared" si="128"/>
        <v>0.1</v>
      </c>
      <c r="BV8" s="354">
        <v>1</v>
      </c>
      <c r="BW8" s="133">
        <v>5</v>
      </c>
      <c r="BX8" s="354">
        <v>2</v>
      </c>
      <c r="BY8" s="133">
        <v>2</v>
      </c>
      <c r="BZ8" s="354">
        <v>3</v>
      </c>
      <c r="CA8" s="133">
        <v>1</v>
      </c>
      <c r="CB8" s="133">
        <f t="shared" si="106"/>
        <v>1.5</v>
      </c>
      <c r="CC8" s="133">
        <f t="shared" si="107"/>
        <v>7.5</v>
      </c>
      <c r="CD8" s="358">
        <f t="shared" si="31"/>
        <v>3.5555999999999997E-2</v>
      </c>
      <c r="CE8" s="133">
        <f t="shared" si="32"/>
        <v>15</v>
      </c>
      <c r="CF8" s="359">
        <f t="shared" si="33"/>
        <v>1.7777999999999999E-2</v>
      </c>
      <c r="CG8" s="133">
        <f t="shared" si="32"/>
        <v>22.5</v>
      </c>
      <c r="CH8" s="360">
        <f t="shared" si="34"/>
        <v>1.1852E-2</v>
      </c>
      <c r="CJ8" s="230">
        <v>2E-3</v>
      </c>
      <c r="CK8" s="387">
        <f t="shared" si="129"/>
        <v>0</v>
      </c>
      <c r="CL8" s="259">
        <f t="shared" si="35"/>
        <v>0</v>
      </c>
      <c r="CM8" s="383">
        <f t="shared" si="36"/>
        <v>0</v>
      </c>
      <c r="CN8" s="383">
        <f t="shared" si="37"/>
        <v>0</v>
      </c>
      <c r="CO8" s="384">
        <f t="shared" si="108"/>
        <v>0</v>
      </c>
      <c r="CP8" s="385">
        <f t="shared" si="38"/>
        <v>0</v>
      </c>
      <c r="CQ8" s="383">
        <f t="shared" si="39"/>
        <v>0</v>
      </c>
      <c r="CR8" s="386" t="e">
        <f t="shared" si="40"/>
        <v>#DIV/0!</v>
      </c>
      <c r="CS8" s="407">
        <f t="shared" si="109"/>
        <v>1</v>
      </c>
      <c r="CT8" s="408">
        <f t="shared" si="110"/>
        <v>1</v>
      </c>
      <c r="CU8" s="279"/>
      <c r="CV8" s="277">
        <v>1</v>
      </c>
      <c r="CW8" s="278">
        <v>1</v>
      </c>
      <c r="CY8" s="410"/>
      <c r="DD8" s="414"/>
      <c r="DE8" s="407">
        <v>0</v>
      </c>
      <c r="DF8" s="259">
        <v>1</v>
      </c>
      <c r="DG8" s="414">
        <f t="shared" si="41"/>
        <v>0</v>
      </c>
      <c r="DH8" s="407">
        <f t="shared" si="42"/>
        <v>0</v>
      </c>
      <c r="DI8" s="259">
        <f t="shared" si="111"/>
        <v>1</v>
      </c>
      <c r="DJ8" s="414">
        <f t="shared" si="44"/>
        <v>0</v>
      </c>
      <c r="DK8" s="407">
        <f t="shared" si="45"/>
        <v>0</v>
      </c>
      <c r="DL8" s="259">
        <f t="shared" si="112"/>
        <v>1</v>
      </c>
      <c r="DM8" s="414">
        <f t="shared" si="47"/>
        <v>0</v>
      </c>
      <c r="DN8" s="407">
        <f t="shared" si="113"/>
        <v>0</v>
      </c>
      <c r="DO8" s="259">
        <f t="shared" si="114"/>
        <v>1</v>
      </c>
      <c r="DP8" s="414">
        <f t="shared" si="50"/>
        <v>0</v>
      </c>
      <c r="DQ8" s="407">
        <f t="shared" si="115"/>
        <v>0</v>
      </c>
      <c r="DR8" s="259">
        <f t="shared" si="116"/>
        <v>1</v>
      </c>
      <c r="DS8" s="414">
        <f t="shared" si="53"/>
        <v>0</v>
      </c>
      <c r="DT8" s="407">
        <f t="shared" si="117"/>
        <v>0</v>
      </c>
      <c r="DU8" s="259">
        <f t="shared" si="118"/>
        <v>1</v>
      </c>
      <c r="DV8" s="414">
        <f t="shared" si="56"/>
        <v>0</v>
      </c>
      <c r="DW8" s="407">
        <f t="shared" si="119"/>
        <v>0</v>
      </c>
      <c r="DX8" s="259">
        <f t="shared" si="120"/>
        <v>1</v>
      </c>
      <c r="DY8" s="414">
        <f t="shared" si="59"/>
        <v>0</v>
      </c>
      <c r="DZ8" s="407">
        <f t="shared" si="121"/>
        <v>0</v>
      </c>
      <c r="EA8" s="259">
        <f t="shared" si="122"/>
        <v>1</v>
      </c>
      <c r="EB8" s="414">
        <f t="shared" si="62"/>
        <v>0</v>
      </c>
      <c r="EC8" s="407">
        <f t="shared" si="123"/>
        <v>0</v>
      </c>
      <c r="ED8" s="259">
        <f t="shared" si="124"/>
        <v>1</v>
      </c>
      <c r="EE8" s="414">
        <f t="shared" si="65"/>
        <v>0</v>
      </c>
      <c r="EF8" s="407">
        <f t="shared" si="125"/>
        <v>0</v>
      </c>
      <c r="EG8" s="259">
        <f t="shared" si="126"/>
        <v>1</v>
      </c>
      <c r="EH8" s="414">
        <f t="shared" si="68"/>
        <v>0</v>
      </c>
      <c r="EI8" s="407">
        <f t="shared" si="69"/>
        <v>0</v>
      </c>
      <c r="EJ8" s="259">
        <f t="shared" si="70"/>
        <v>2</v>
      </c>
      <c r="EK8" s="414">
        <f t="shared" si="71"/>
        <v>0</v>
      </c>
      <c r="EL8" s="407">
        <f t="shared" si="72"/>
        <v>0</v>
      </c>
      <c r="EM8" s="259">
        <f t="shared" si="73"/>
        <v>4</v>
      </c>
      <c r="EN8" s="414">
        <f t="shared" si="74"/>
        <v>0</v>
      </c>
      <c r="EO8" s="407">
        <f t="shared" si="75"/>
        <v>0</v>
      </c>
      <c r="EP8" s="259">
        <f t="shared" si="76"/>
        <v>6</v>
      </c>
      <c r="EQ8" s="414">
        <f t="shared" si="77"/>
        <v>0</v>
      </c>
      <c r="ER8" s="407">
        <f t="shared" si="78"/>
        <v>0</v>
      </c>
      <c r="ES8" s="259">
        <f t="shared" si="79"/>
        <v>8</v>
      </c>
      <c r="ET8" s="414">
        <f t="shared" si="80"/>
        <v>0</v>
      </c>
      <c r="EU8" s="407">
        <f t="shared" si="81"/>
        <v>0</v>
      </c>
      <c r="EV8" s="259">
        <f t="shared" si="82"/>
        <v>10</v>
      </c>
      <c r="EW8" s="414">
        <f t="shared" si="83"/>
        <v>0</v>
      </c>
      <c r="EX8" s="407">
        <f t="shared" si="84"/>
        <v>0</v>
      </c>
      <c r="EY8" s="259">
        <f t="shared" si="85"/>
        <v>20</v>
      </c>
      <c r="EZ8" s="414">
        <f t="shared" si="86"/>
        <v>0</v>
      </c>
      <c r="FA8" s="407">
        <f t="shared" si="87"/>
        <v>0</v>
      </c>
      <c r="FB8" s="259">
        <f t="shared" si="88"/>
        <v>40</v>
      </c>
      <c r="FC8" s="414">
        <f t="shared" si="89"/>
        <v>0</v>
      </c>
      <c r="FD8" s="407">
        <f t="shared" si="90"/>
        <v>0</v>
      </c>
      <c r="FE8" s="259">
        <f t="shared" si="91"/>
        <v>60</v>
      </c>
      <c r="FF8" s="414">
        <f t="shared" si="92"/>
        <v>0</v>
      </c>
      <c r="FG8" s="407">
        <f t="shared" si="93"/>
        <v>0</v>
      </c>
      <c r="FH8" s="259">
        <f t="shared" si="94"/>
        <v>80</v>
      </c>
      <c r="FI8" s="414">
        <f t="shared" si="95"/>
        <v>0</v>
      </c>
      <c r="FJ8" s="407">
        <f t="shared" si="96"/>
        <v>0</v>
      </c>
      <c r="FK8" s="259">
        <f t="shared" si="97"/>
        <v>100</v>
      </c>
      <c r="FL8" s="414">
        <f t="shared" si="98"/>
        <v>0</v>
      </c>
      <c r="FP8" s="421">
        <f t="shared" si="99"/>
        <v>0</v>
      </c>
      <c r="FQ8" s="421">
        <f t="shared" si="99"/>
        <v>0</v>
      </c>
      <c r="FR8" s="421">
        <f t="shared" si="99"/>
        <v>0</v>
      </c>
      <c r="FS8" s="421">
        <f t="shared" si="99"/>
        <v>1.6666666666666667E-5</v>
      </c>
      <c r="FT8" s="421">
        <f t="shared" si="99"/>
        <v>2.0833333333333333E-5</v>
      </c>
      <c r="FU8" s="421">
        <f t="shared" si="99"/>
        <v>4.1666666666666665E-5</v>
      </c>
      <c r="FV8" s="421">
        <f t="shared" si="99"/>
        <v>8.3333333333333331E-5</v>
      </c>
      <c r="FW8" s="421">
        <f t="shared" si="99"/>
        <v>1.25E-4</v>
      </c>
      <c r="FX8" s="421">
        <f t="shared" si="99"/>
        <v>1.6666666666666666E-4</v>
      </c>
      <c r="FY8" s="421">
        <f t="shared" si="99"/>
        <v>2.0833333333333335E-4</v>
      </c>
      <c r="FZ8" s="421">
        <f t="shared" si="100"/>
        <v>4.1666666666666669E-4</v>
      </c>
      <c r="GA8" s="421">
        <f t="shared" si="100"/>
        <v>8.3333333333333339E-4</v>
      </c>
      <c r="GB8" s="421">
        <f t="shared" si="100"/>
        <v>1.1249999999999999E-3</v>
      </c>
      <c r="GC8" s="421">
        <f t="shared" si="100"/>
        <v>1.3333333333333333E-3</v>
      </c>
      <c r="GD8" s="421">
        <f t="shared" si="100"/>
        <v>1.6666666666666668E-3</v>
      </c>
      <c r="GE8" s="421">
        <f t="shared" si="100"/>
        <v>2.0833333333333333E-3</v>
      </c>
      <c r="GF8" s="421">
        <f t="shared" si="100"/>
        <v>4.1666666666666666E-3</v>
      </c>
      <c r="GG8" s="421">
        <f t="shared" si="100"/>
        <v>6.2500000000000003E-3</v>
      </c>
      <c r="GH8" s="421">
        <f t="shared" si="100"/>
        <v>8.3333333333333332E-3</v>
      </c>
      <c r="GI8" s="421">
        <f t="shared" si="100"/>
        <v>8.3333333333333332E-3</v>
      </c>
      <c r="GK8" s="1">
        <v>3</v>
      </c>
      <c r="GL8" s="6">
        <v>6</v>
      </c>
    </row>
    <row r="9" spans="1:211" s="230" customFormat="1" x14ac:dyDescent="0.35">
      <c r="A9" s="63">
        <v>5</v>
      </c>
      <c r="B9" s="242" t="s">
        <v>1332</v>
      </c>
      <c r="C9" s="63">
        <v>1</v>
      </c>
      <c r="D9" s="63">
        <v>-1</v>
      </c>
      <c r="E9" s="63">
        <v>5</v>
      </c>
      <c r="F9" s="63">
        <f t="shared" si="16"/>
        <v>5</v>
      </c>
      <c r="G9" s="63">
        <f t="shared" si="101"/>
        <v>5</v>
      </c>
      <c r="H9" s="63"/>
      <c r="I9" s="63">
        <f t="shared" si="17"/>
        <v>0</v>
      </c>
      <c r="J9" s="63">
        <f t="shared" si="18"/>
        <v>0</v>
      </c>
      <c r="K9" s="63">
        <v>0</v>
      </c>
      <c r="L9" s="254">
        <f>ROUND($BK$7/('全局参数|GlobalPar'!$B$18/10000/E9),6)*(7/5)</f>
        <v>3.4719999999999998E-3</v>
      </c>
      <c r="M9" s="255">
        <v>1</v>
      </c>
      <c r="N9" s="256">
        <f>ROUND(IF(M9&lt;&gt;0,$BK$4/('全局参数|GlobalPar'!$B$18/10000/E9)/M9,0),6)</f>
        <v>0</v>
      </c>
      <c r="O9" s="259">
        <f t="shared" si="19"/>
        <v>1E-3</v>
      </c>
      <c r="P9" s="260">
        <f t="shared" si="20"/>
        <v>0</v>
      </c>
      <c r="Q9" s="277">
        <v>1</v>
      </c>
      <c r="R9" s="278">
        <v>1</v>
      </c>
      <c r="S9" s="279" t="str">
        <f t="shared" si="21"/>
        <v>[[0,1],[0,1],[0,1],[0,1],[0,1],[0,1],[0,1],[0,1],[0,1],[0,1],[0,2],[0,4],[0,6],[0,8],[0,10],[0,20],[0,40],[0,60],[0,80],[0,100]]</v>
      </c>
      <c r="T9" s="63">
        <v>0</v>
      </c>
      <c r="U9" s="256">
        <v>0</v>
      </c>
      <c r="V9" s="280">
        <f t="shared" si="22"/>
        <v>0</v>
      </c>
      <c r="W9" s="280">
        <v>0.06</v>
      </c>
      <c r="X9" s="280">
        <f t="shared" si="102"/>
        <v>0.1</v>
      </c>
      <c r="Y9" s="304">
        <f t="shared" si="127"/>
        <v>0.05</v>
      </c>
      <c r="Z9" s="63" t="str">
        <f t="shared" si="103"/>
        <v>[[1,5],[2,2],[3,1]]</v>
      </c>
      <c r="AA9" s="305" t="str">
        <f t="shared" si="104"/>
        <v>[0.044444,0.022222,0.014815]</v>
      </c>
      <c r="AB9" s="305">
        <f t="shared" si="105"/>
        <v>2.5000000000000001E-2</v>
      </c>
      <c r="AC9" s="305">
        <v>0</v>
      </c>
      <c r="AD9" s="306">
        <v>3</v>
      </c>
      <c r="AE9" s="63">
        <f t="shared" si="23"/>
        <v>-1</v>
      </c>
      <c r="AF9" s="63">
        <v>0</v>
      </c>
      <c r="AG9" s="63"/>
      <c r="AH9" s="39"/>
      <c r="AI9" s="39">
        <v>1</v>
      </c>
      <c r="AJ9" s="63">
        <v>1</v>
      </c>
      <c r="AK9" s="63">
        <v>1</v>
      </c>
      <c r="AL9" s="63">
        <v>0.5</v>
      </c>
      <c r="AM9" s="63">
        <v>1</v>
      </c>
      <c r="AN9" s="63"/>
      <c r="AO9" s="39"/>
      <c r="AP9" s="39"/>
      <c r="AQ9" s="310">
        <v>0.6</v>
      </c>
      <c r="AR9" s="39">
        <v>5</v>
      </c>
      <c r="AS9" s="39">
        <v>0.18</v>
      </c>
      <c r="AT9" s="39">
        <v>1</v>
      </c>
      <c r="AU9" s="39">
        <v>1</v>
      </c>
      <c r="AV9" s="39" t="s">
        <v>1314</v>
      </c>
      <c r="AW9" s="317" t="s">
        <v>1333</v>
      </c>
      <c r="AX9" s="317" t="s">
        <v>1334</v>
      </c>
      <c r="AY9" s="316" t="s">
        <v>518</v>
      </c>
      <c r="AZ9" s="316" t="s">
        <v>258</v>
      </c>
      <c r="BA9" s="78">
        <f t="shared" si="24"/>
        <v>3.75</v>
      </c>
      <c r="BB9" s="318">
        <f t="shared" si="25"/>
        <v>40</v>
      </c>
      <c r="BC9" s="78" t="s">
        <v>1317</v>
      </c>
      <c r="BD9" s="78">
        <f t="shared" si="26"/>
        <v>0.746</v>
      </c>
      <c r="BE9" s="78"/>
      <c r="BF9" s="63">
        <f t="shared" si="27"/>
        <v>5</v>
      </c>
      <c r="BG9" s="63">
        <f t="shared" si="28"/>
        <v>5.3000000000000007</v>
      </c>
      <c r="BI9" s="63">
        <f t="shared" si="29"/>
        <v>0</v>
      </c>
      <c r="BT9" s="344">
        <f t="shared" si="30"/>
        <v>5.5</v>
      </c>
      <c r="BU9" s="353">
        <f t="shared" si="128"/>
        <v>0.1</v>
      </c>
      <c r="BV9" s="354">
        <v>1</v>
      </c>
      <c r="BW9" s="133">
        <v>5</v>
      </c>
      <c r="BX9" s="354">
        <v>2</v>
      </c>
      <c r="BY9" s="133">
        <v>2</v>
      </c>
      <c r="BZ9" s="354">
        <v>3</v>
      </c>
      <c r="CA9" s="133">
        <v>1</v>
      </c>
      <c r="CB9" s="133">
        <f t="shared" si="106"/>
        <v>1.5</v>
      </c>
      <c r="CC9" s="133">
        <f t="shared" si="107"/>
        <v>7.5</v>
      </c>
      <c r="CD9" s="358">
        <f t="shared" si="31"/>
        <v>4.4443999999999997E-2</v>
      </c>
      <c r="CE9" s="133">
        <f t="shared" si="32"/>
        <v>15</v>
      </c>
      <c r="CF9" s="359">
        <f t="shared" si="33"/>
        <v>2.2221999999999999E-2</v>
      </c>
      <c r="CG9" s="133">
        <f t="shared" si="32"/>
        <v>22.5</v>
      </c>
      <c r="CH9" s="360">
        <f t="shared" si="34"/>
        <v>1.4815E-2</v>
      </c>
      <c r="CJ9" s="230">
        <v>2E-3</v>
      </c>
      <c r="CK9" s="387">
        <f t="shared" si="129"/>
        <v>0</v>
      </c>
      <c r="CL9" s="259">
        <f t="shared" si="35"/>
        <v>0</v>
      </c>
      <c r="CM9" s="383">
        <f t="shared" si="36"/>
        <v>0</v>
      </c>
      <c r="CN9" s="383">
        <f t="shared" si="37"/>
        <v>0</v>
      </c>
      <c r="CO9" s="384">
        <f t="shared" si="108"/>
        <v>0</v>
      </c>
      <c r="CP9" s="385">
        <f t="shared" si="38"/>
        <v>0</v>
      </c>
      <c r="CQ9" s="383">
        <f t="shared" si="39"/>
        <v>0</v>
      </c>
      <c r="CR9" s="386" t="e">
        <f t="shared" si="40"/>
        <v>#DIV/0!</v>
      </c>
      <c r="CS9" s="407">
        <f t="shared" si="109"/>
        <v>1</v>
      </c>
      <c r="CT9" s="408">
        <f t="shared" si="110"/>
        <v>1</v>
      </c>
      <c r="CU9" s="279"/>
      <c r="CV9" s="277">
        <v>1</v>
      </c>
      <c r="CW9" s="278">
        <v>1</v>
      </c>
      <c r="CY9" s="410"/>
      <c r="DD9" s="414"/>
      <c r="DE9" s="407">
        <v>0</v>
      </c>
      <c r="DF9" s="259">
        <v>1</v>
      </c>
      <c r="DG9" s="414">
        <f t="shared" si="41"/>
        <v>0</v>
      </c>
      <c r="DH9" s="407">
        <f t="shared" si="42"/>
        <v>0</v>
      </c>
      <c r="DI9" s="259">
        <f t="shared" si="111"/>
        <v>1</v>
      </c>
      <c r="DJ9" s="414">
        <f t="shared" si="44"/>
        <v>0</v>
      </c>
      <c r="DK9" s="407">
        <f t="shared" si="45"/>
        <v>0</v>
      </c>
      <c r="DL9" s="259">
        <f t="shared" si="112"/>
        <v>1</v>
      </c>
      <c r="DM9" s="414">
        <f t="shared" si="47"/>
        <v>0</v>
      </c>
      <c r="DN9" s="407">
        <f t="shared" si="113"/>
        <v>0</v>
      </c>
      <c r="DO9" s="259">
        <f t="shared" si="114"/>
        <v>1</v>
      </c>
      <c r="DP9" s="414">
        <f t="shared" si="50"/>
        <v>0</v>
      </c>
      <c r="DQ9" s="407">
        <f t="shared" si="115"/>
        <v>0</v>
      </c>
      <c r="DR9" s="259">
        <f t="shared" si="116"/>
        <v>1</v>
      </c>
      <c r="DS9" s="414">
        <f t="shared" si="53"/>
        <v>0</v>
      </c>
      <c r="DT9" s="407">
        <f t="shared" si="117"/>
        <v>0</v>
      </c>
      <c r="DU9" s="259">
        <f t="shared" si="118"/>
        <v>1</v>
      </c>
      <c r="DV9" s="414">
        <f t="shared" si="56"/>
        <v>0</v>
      </c>
      <c r="DW9" s="407">
        <f t="shared" si="119"/>
        <v>0</v>
      </c>
      <c r="DX9" s="259">
        <f t="shared" si="120"/>
        <v>1</v>
      </c>
      <c r="DY9" s="414">
        <f t="shared" si="59"/>
        <v>0</v>
      </c>
      <c r="DZ9" s="407">
        <f t="shared" si="121"/>
        <v>0</v>
      </c>
      <c r="EA9" s="259">
        <f t="shared" si="122"/>
        <v>1</v>
      </c>
      <c r="EB9" s="414">
        <f t="shared" si="62"/>
        <v>0</v>
      </c>
      <c r="EC9" s="407">
        <f t="shared" si="123"/>
        <v>0</v>
      </c>
      <c r="ED9" s="259">
        <f t="shared" si="124"/>
        <v>1</v>
      </c>
      <c r="EE9" s="414">
        <f t="shared" si="65"/>
        <v>0</v>
      </c>
      <c r="EF9" s="407">
        <f t="shared" si="125"/>
        <v>0</v>
      </c>
      <c r="EG9" s="259">
        <f t="shared" si="126"/>
        <v>1</v>
      </c>
      <c r="EH9" s="414">
        <f t="shared" si="68"/>
        <v>0</v>
      </c>
      <c r="EI9" s="407">
        <f t="shared" si="69"/>
        <v>0</v>
      </c>
      <c r="EJ9" s="259">
        <f t="shared" si="70"/>
        <v>2</v>
      </c>
      <c r="EK9" s="414">
        <f t="shared" si="71"/>
        <v>0</v>
      </c>
      <c r="EL9" s="407">
        <f t="shared" si="72"/>
        <v>0</v>
      </c>
      <c r="EM9" s="259">
        <f t="shared" si="73"/>
        <v>4</v>
      </c>
      <c r="EN9" s="414">
        <f t="shared" si="74"/>
        <v>0</v>
      </c>
      <c r="EO9" s="407">
        <f t="shared" si="75"/>
        <v>0</v>
      </c>
      <c r="EP9" s="259">
        <f t="shared" si="76"/>
        <v>6</v>
      </c>
      <c r="EQ9" s="414">
        <f t="shared" si="77"/>
        <v>0</v>
      </c>
      <c r="ER9" s="407">
        <f t="shared" si="78"/>
        <v>0</v>
      </c>
      <c r="ES9" s="259">
        <f t="shared" si="79"/>
        <v>8</v>
      </c>
      <c r="ET9" s="414">
        <f t="shared" si="80"/>
        <v>0</v>
      </c>
      <c r="EU9" s="407">
        <f t="shared" si="81"/>
        <v>0</v>
      </c>
      <c r="EV9" s="259">
        <f t="shared" si="82"/>
        <v>10</v>
      </c>
      <c r="EW9" s="414">
        <f t="shared" si="83"/>
        <v>0</v>
      </c>
      <c r="EX9" s="407">
        <f t="shared" si="84"/>
        <v>0</v>
      </c>
      <c r="EY9" s="259">
        <f t="shared" si="85"/>
        <v>20</v>
      </c>
      <c r="EZ9" s="414">
        <f t="shared" si="86"/>
        <v>0</v>
      </c>
      <c r="FA9" s="407">
        <f t="shared" si="87"/>
        <v>0</v>
      </c>
      <c r="FB9" s="259">
        <f t="shared" si="88"/>
        <v>40</v>
      </c>
      <c r="FC9" s="414">
        <f t="shared" si="89"/>
        <v>0</v>
      </c>
      <c r="FD9" s="407">
        <f t="shared" si="90"/>
        <v>0</v>
      </c>
      <c r="FE9" s="259">
        <f t="shared" si="91"/>
        <v>60</v>
      </c>
      <c r="FF9" s="414">
        <f t="shared" si="92"/>
        <v>0</v>
      </c>
      <c r="FG9" s="407">
        <f t="shared" si="93"/>
        <v>0</v>
      </c>
      <c r="FH9" s="259">
        <f t="shared" si="94"/>
        <v>80</v>
      </c>
      <c r="FI9" s="414">
        <f t="shared" si="95"/>
        <v>0</v>
      </c>
      <c r="FJ9" s="407">
        <f t="shared" si="96"/>
        <v>0</v>
      </c>
      <c r="FK9" s="259">
        <f t="shared" si="97"/>
        <v>100</v>
      </c>
      <c r="FL9" s="414">
        <f t="shared" si="98"/>
        <v>0</v>
      </c>
      <c r="FP9" s="421">
        <f t="shared" si="99"/>
        <v>0</v>
      </c>
      <c r="FQ9" s="421">
        <f t="shared" si="99"/>
        <v>0</v>
      </c>
      <c r="FR9" s="421">
        <f t="shared" si="99"/>
        <v>0</v>
      </c>
      <c r="FS9" s="421">
        <f t="shared" si="99"/>
        <v>2.0833333333333333E-5</v>
      </c>
      <c r="FT9" s="421">
        <f t="shared" si="99"/>
        <v>2.6041666666666668E-5</v>
      </c>
      <c r="FU9" s="421">
        <f t="shared" si="99"/>
        <v>5.2083333333333337E-5</v>
      </c>
      <c r="FV9" s="421">
        <f t="shared" si="99"/>
        <v>1.0416666666666667E-4</v>
      </c>
      <c r="FW9" s="421">
        <f t="shared" si="99"/>
        <v>1.5625E-4</v>
      </c>
      <c r="FX9" s="421">
        <f t="shared" si="99"/>
        <v>2.0833333333333335E-4</v>
      </c>
      <c r="FY9" s="421">
        <f t="shared" si="99"/>
        <v>2.6041666666666666E-4</v>
      </c>
      <c r="FZ9" s="421">
        <f t="shared" si="100"/>
        <v>5.2083333333333333E-4</v>
      </c>
      <c r="GA9" s="421">
        <f t="shared" si="100"/>
        <v>1.0416666666666667E-3</v>
      </c>
      <c r="GB9" s="421">
        <f t="shared" si="100"/>
        <v>1.4062499999999997E-3</v>
      </c>
      <c r="GC9" s="421">
        <f t="shared" si="100"/>
        <v>1.6666666666666668E-3</v>
      </c>
      <c r="GD9" s="421">
        <f t="shared" si="100"/>
        <v>2.0833333333333333E-3</v>
      </c>
      <c r="GE9" s="421">
        <f t="shared" si="100"/>
        <v>2.6041666666666665E-3</v>
      </c>
      <c r="GF9" s="421">
        <f t="shared" si="100"/>
        <v>5.208333333333333E-3</v>
      </c>
      <c r="GG9" s="421">
        <f t="shared" si="100"/>
        <v>7.8125E-3</v>
      </c>
      <c r="GH9" s="421">
        <f t="shared" si="100"/>
        <v>1.0416666666666666E-2</v>
      </c>
      <c r="GI9" s="421">
        <f t="shared" si="100"/>
        <v>1.0416666666666666E-2</v>
      </c>
      <c r="GK9" s="1">
        <v>4</v>
      </c>
      <c r="GL9" s="6">
        <v>8</v>
      </c>
    </row>
    <row r="10" spans="1:211" x14ac:dyDescent="0.35">
      <c r="A10" s="63">
        <v>6</v>
      </c>
      <c r="B10" s="242" t="s">
        <v>1335</v>
      </c>
      <c r="C10" s="63">
        <v>1</v>
      </c>
      <c r="D10" s="63">
        <v>-1</v>
      </c>
      <c r="E10" s="63">
        <v>5</v>
      </c>
      <c r="F10" s="63">
        <f t="shared" si="16"/>
        <v>5</v>
      </c>
      <c r="G10" s="63">
        <f t="shared" si="101"/>
        <v>5</v>
      </c>
      <c r="H10" s="63"/>
      <c r="I10" s="63">
        <f t="shared" si="17"/>
        <v>0</v>
      </c>
      <c r="J10" s="63">
        <f t="shared" si="18"/>
        <v>0</v>
      </c>
      <c r="K10" s="63">
        <v>0</v>
      </c>
      <c r="L10" s="254">
        <f>ROUND($BK$7/('全局参数|GlobalPar'!$B$18/10000/E10),6)*(7/5)</f>
        <v>3.4719999999999998E-3</v>
      </c>
      <c r="M10" s="255">
        <v>1</v>
      </c>
      <c r="N10" s="256">
        <f>ROUND(IF(M10&lt;&gt;0,$BK$4/('全局参数|GlobalPar'!$B$18/10000/E10)/M10,0),6)</f>
        <v>0</v>
      </c>
      <c r="O10" s="259">
        <f t="shared" si="19"/>
        <v>1E-3</v>
      </c>
      <c r="P10" s="260">
        <f t="shared" si="20"/>
        <v>0</v>
      </c>
      <c r="Q10" s="277">
        <v>2</v>
      </c>
      <c r="R10" s="278">
        <v>1</v>
      </c>
      <c r="S10" s="279" t="str">
        <f t="shared" si="21"/>
        <v>[[0,1],[0,1],[0,1],[0,1],[0,1],[0,1],[0,1],[0,1],[0,1],[0,1],[0,2],[0,4],[0,6],[0,8],[0,10],[0,20],[0,40],[0,60],[0,80],[0,100]]</v>
      </c>
      <c r="T10" s="63">
        <v>0</v>
      </c>
      <c r="U10" s="256">
        <v>0</v>
      </c>
      <c r="V10" s="280">
        <f t="shared" si="22"/>
        <v>0</v>
      </c>
      <c r="W10" s="280">
        <v>0.06</v>
      </c>
      <c r="X10" s="280">
        <f t="shared" si="102"/>
        <v>0.1</v>
      </c>
      <c r="Y10" s="304">
        <f t="shared" si="127"/>
        <v>0.05</v>
      </c>
      <c r="Z10" s="63" t="str">
        <f t="shared" si="103"/>
        <v>[[1,5],[2,2],[3,1]]</v>
      </c>
      <c r="AA10" s="305" t="str">
        <f t="shared" si="104"/>
        <v>[0.044444,0.022222,0.014815]</v>
      </c>
      <c r="AB10" s="305">
        <f t="shared" si="105"/>
        <v>2.5000000000000001E-2</v>
      </c>
      <c r="AC10" s="305">
        <v>0</v>
      </c>
      <c r="AD10" s="306">
        <v>3</v>
      </c>
      <c r="AE10" s="63">
        <f t="shared" si="23"/>
        <v>-1</v>
      </c>
      <c r="AF10" s="63">
        <v>0</v>
      </c>
      <c r="AG10" s="39"/>
      <c r="AH10" s="39"/>
      <c r="AI10" s="39">
        <v>1</v>
      </c>
      <c r="AJ10" s="63">
        <v>1</v>
      </c>
      <c r="AK10" s="63">
        <v>1</v>
      </c>
      <c r="AL10" s="63">
        <v>0.5</v>
      </c>
      <c r="AM10" s="63">
        <v>1</v>
      </c>
      <c r="AN10" s="63"/>
      <c r="AO10" s="39"/>
      <c r="AP10" s="39"/>
      <c r="AQ10" s="310">
        <v>0.6</v>
      </c>
      <c r="AR10" s="39">
        <v>5</v>
      </c>
      <c r="AS10" s="39">
        <v>0.18</v>
      </c>
      <c r="AT10" s="39">
        <v>0.8</v>
      </c>
      <c r="AU10" s="39">
        <v>1</v>
      </c>
      <c r="AV10" s="39" t="s">
        <v>1314</v>
      </c>
      <c r="AW10" s="317" t="s">
        <v>1336</v>
      </c>
      <c r="AX10" s="317" t="s">
        <v>1337</v>
      </c>
      <c r="AY10" s="316" t="s">
        <v>377</v>
      </c>
      <c r="AZ10" s="316" t="s">
        <v>258</v>
      </c>
      <c r="BA10" s="78">
        <f t="shared" si="24"/>
        <v>3.75</v>
      </c>
      <c r="BB10" s="318">
        <f t="shared" si="25"/>
        <v>40</v>
      </c>
      <c r="BC10" s="78" t="s">
        <v>1317</v>
      </c>
      <c r="BD10" s="78">
        <f t="shared" si="26"/>
        <v>0.746</v>
      </c>
      <c r="BE10" s="78"/>
      <c r="BF10" s="63">
        <f t="shared" si="27"/>
        <v>5</v>
      </c>
      <c r="BG10" s="63">
        <f t="shared" si="28"/>
        <v>5.3000000000000007</v>
      </c>
      <c r="BI10" s="63">
        <f t="shared" si="29"/>
        <v>0</v>
      </c>
      <c r="BT10" s="344">
        <f t="shared" si="30"/>
        <v>5.5</v>
      </c>
      <c r="BU10" s="353">
        <f t="shared" si="128"/>
        <v>0.1</v>
      </c>
      <c r="BV10" s="354">
        <v>1</v>
      </c>
      <c r="BW10" s="133">
        <v>5</v>
      </c>
      <c r="BX10" s="354">
        <v>2</v>
      </c>
      <c r="BY10" s="133">
        <v>2</v>
      </c>
      <c r="BZ10" s="354">
        <v>3</v>
      </c>
      <c r="CA10" s="133">
        <v>1</v>
      </c>
      <c r="CB10" s="133">
        <f t="shared" si="106"/>
        <v>1.5</v>
      </c>
      <c r="CC10" s="133">
        <f t="shared" si="107"/>
        <v>7.5</v>
      </c>
      <c r="CD10" s="358">
        <f t="shared" si="31"/>
        <v>4.4443999999999997E-2</v>
      </c>
      <c r="CE10" s="133">
        <f t="shared" si="32"/>
        <v>15</v>
      </c>
      <c r="CF10" s="359">
        <f t="shared" si="33"/>
        <v>2.2221999999999999E-2</v>
      </c>
      <c r="CG10" s="133">
        <f t="shared" si="32"/>
        <v>22.5</v>
      </c>
      <c r="CH10" s="360">
        <f t="shared" si="34"/>
        <v>1.4815E-2</v>
      </c>
      <c r="CJ10" s="229">
        <v>2E-3</v>
      </c>
      <c r="CK10" s="387">
        <f t="shared" si="129"/>
        <v>0</v>
      </c>
      <c r="CL10" s="259">
        <f t="shared" si="35"/>
        <v>0</v>
      </c>
      <c r="CM10" s="383">
        <f t="shared" si="36"/>
        <v>0</v>
      </c>
      <c r="CN10" s="383">
        <f t="shared" si="37"/>
        <v>0</v>
      </c>
      <c r="CO10" s="384">
        <f t="shared" si="108"/>
        <v>0</v>
      </c>
      <c r="CP10" s="385">
        <f t="shared" si="38"/>
        <v>0</v>
      </c>
      <c r="CQ10" s="383">
        <f t="shared" si="39"/>
        <v>0</v>
      </c>
      <c r="CR10" s="386" t="e">
        <f t="shared" si="40"/>
        <v>#DIV/0!</v>
      </c>
      <c r="CS10" s="407">
        <f t="shared" si="109"/>
        <v>2</v>
      </c>
      <c r="CT10" s="408">
        <f t="shared" si="110"/>
        <v>1</v>
      </c>
      <c r="CU10" s="279"/>
      <c r="CV10" s="277">
        <v>2</v>
      </c>
      <c r="CW10" s="278">
        <v>1</v>
      </c>
      <c r="CY10" s="411"/>
      <c r="CZ10" s="412"/>
      <c r="DD10" s="414"/>
      <c r="DE10" s="407">
        <v>0</v>
      </c>
      <c r="DF10" s="259">
        <v>1</v>
      </c>
      <c r="DG10" s="414">
        <f t="shared" si="41"/>
        <v>0</v>
      </c>
      <c r="DH10" s="407">
        <f t="shared" si="42"/>
        <v>0</v>
      </c>
      <c r="DI10" s="259">
        <f t="shared" si="111"/>
        <v>1</v>
      </c>
      <c r="DJ10" s="414">
        <f t="shared" si="44"/>
        <v>0</v>
      </c>
      <c r="DK10" s="407">
        <f t="shared" si="45"/>
        <v>0</v>
      </c>
      <c r="DL10" s="259">
        <f t="shared" si="112"/>
        <v>1</v>
      </c>
      <c r="DM10" s="414">
        <f t="shared" si="47"/>
        <v>0</v>
      </c>
      <c r="DN10" s="407">
        <f t="shared" si="113"/>
        <v>0</v>
      </c>
      <c r="DO10" s="259">
        <f t="shared" si="114"/>
        <v>1</v>
      </c>
      <c r="DP10" s="414">
        <f t="shared" si="50"/>
        <v>0</v>
      </c>
      <c r="DQ10" s="407">
        <f t="shared" si="115"/>
        <v>0</v>
      </c>
      <c r="DR10" s="259">
        <f t="shared" si="116"/>
        <v>1</v>
      </c>
      <c r="DS10" s="414">
        <f t="shared" si="53"/>
        <v>0</v>
      </c>
      <c r="DT10" s="407">
        <f t="shared" si="117"/>
        <v>0</v>
      </c>
      <c r="DU10" s="259">
        <f t="shared" si="118"/>
        <v>1</v>
      </c>
      <c r="DV10" s="414">
        <f t="shared" si="56"/>
        <v>0</v>
      </c>
      <c r="DW10" s="407">
        <f t="shared" si="119"/>
        <v>0</v>
      </c>
      <c r="DX10" s="259">
        <f t="shared" si="120"/>
        <v>1</v>
      </c>
      <c r="DY10" s="414">
        <f t="shared" si="59"/>
        <v>0</v>
      </c>
      <c r="DZ10" s="407">
        <f t="shared" si="121"/>
        <v>0</v>
      </c>
      <c r="EA10" s="259">
        <f t="shared" si="122"/>
        <v>1</v>
      </c>
      <c r="EB10" s="414">
        <f t="shared" si="62"/>
        <v>0</v>
      </c>
      <c r="EC10" s="407">
        <f t="shared" si="123"/>
        <v>0</v>
      </c>
      <c r="ED10" s="259">
        <f t="shared" si="124"/>
        <v>1</v>
      </c>
      <c r="EE10" s="414">
        <f t="shared" si="65"/>
        <v>0</v>
      </c>
      <c r="EF10" s="407">
        <f t="shared" si="125"/>
        <v>0</v>
      </c>
      <c r="EG10" s="259">
        <f t="shared" si="126"/>
        <v>1</v>
      </c>
      <c r="EH10" s="414">
        <f t="shared" si="68"/>
        <v>0</v>
      </c>
      <c r="EI10" s="407">
        <f t="shared" si="69"/>
        <v>0</v>
      </c>
      <c r="EJ10" s="259">
        <f t="shared" si="70"/>
        <v>2</v>
      </c>
      <c r="EK10" s="414">
        <f t="shared" si="71"/>
        <v>0</v>
      </c>
      <c r="EL10" s="407">
        <f t="shared" si="72"/>
        <v>0</v>
      </c>
      <c r="EM10" s="259">
        <f t="shared" si="73"/>
        <v>4</v>
      </c>
      <c r="EN10" s="414">
        <f t="shared" si="74"/>
        <v>0</v>
      </c>
      <c r="EO10" s="407">
        <f t="shared" si="75"/>
        <v>0</v>
      </c>
      <c r="EP10" s="259">
        <f t="shared" si="76"/>
        <v>6</v>
      </c>
      <c r="EQ10" s="414">
        <f t="shared" si="77"/>
        <v>0</v>
      </c>
      <c r="ER10" s="407">
        <f t="shared" si="78"/>
        <v>0</v>
      </c>
      <c r="ES10" s="259">
        <f t="shared" si="79"/>
        <v>8</v>
      </c>
      <c r="ET10" s="414">
        <f t="shared" si="80"/>
        <v>0</v>
      </c>
      <c r="EU10" s="407">
        <f t="shared" si="81"/>
        <v>0</v>
      </c>
      <c r="EV10" s="259">
        <f t="shared" si="82"/>
        <v>10</v>
      </c>
      <c r="EW10" s="414">
        <f t="shared" si="83"/>
        <v>0</v>
      </c>
      <c r="EX10" s="407">
        <f t="shared" si="84"/>
        <v>0</v>
      </c>
      <c r="EY10" s="259">
        <f t="shared" si="85"/>
        <v>20</v>
      </c>
      <c r="EZ10" s="414">
        <f t="shared" si="86"/>
        <v>0</v>
      </c>
      <c r="FA10" s="407">
        <f t="shared" si="87"/>
        <v>0</v>
      </c>
      <c r="FB10" s="259">
        <f t="shared" si="88"/>
        <v>40</v>
      </c>
      <c r="FC10" s="414">
        <f t="shared" si="89"/>
        <v>0</v>
      </c>
      <c r="FD10" s="407">
        <f t="shared" si="90"/>
        <v>0</v>
      </c>
      <c r="FE10" s="259">
        <f t="shared" si="91"/>
        <v>60</v>
      </c>
      <c r="FF10" s="414">
        <f t="shared" si="92"/>
        <v>0</v>
      </c>
      <c r="FG10" s="407">
        <f t="shared" si="93"/>
        <v>0</v>
      </c>
      <c r="FH10" s="259">
        <f t="shared" si="94"/>
        <v>80</v>
      </c>
      <c r="FI10" s="414">
        <f t="shared" si="95"/>
        <v>0</v>
      </c>
      <c r="FJ10" s="407">
        <f t="shared" si="96"/>
        <v>0</v>
      </c>
      <c r="FK10" s="259">
        <f t="shared" si="97"/>
        <v>100</v>
      </c>
      <c r="FL10" s="414">
        <f t="shared" si="98"/>
        <v>0</v>
      </c>
      <c r="FP10" s="421">
        <f t="shared" si="99"/>
        <v>0</v>
      </c>
      <c r="FQ10" s="421">
        <f t="shared" si="99"/>
        <v>0</v>
      </c>
      <c r="FR10" s="421">
        <f t="shared" si="99"/>
        <v>0</v>
      </c>
      <c r="FS10" s="421">
        <f t="shared" si="99"/>
        <v>2.0833333333333333E-5</v>
      </c>
      <c r="FT10" s="421">
        <f t="shared" si="99"/>
        <v>2.6041666666666668E-5</v>
      </c>
      <c r="FU10" s="421">
        <f t="shared" si="99"/>
        <v>5.2083333333333337E-5</v>
      </c>
      <c r="FV10" s="421">
        <f t="shared" si="99"/>
        <v>1.0416666666666667E-4</v>
      </c>
      <c r="FW10" s="421">
        <f t="shared" si="99"/>
        <v>1.5625E-4</v>
      </c>
      <c r="FX10" s="421">
        <f t="shared" si="99"/>
        <v>2.0833333333333335E-4</v>
      </c>
      <c r="FY10" s="421">
        <f t="shared" si="99"/>
        <v>2.6041666666666666E-4</v>
      </c>
      <c r="FZ10" s="421">
        <f t="shared" si="100"/>
        <v>5.2083333333333333E-4</v>
      </c>
      <c r="GA10" s="421">
        <f t="shared" si="100"/>
        <v>1.0416666666666667E-3</v>
      </c>
      <c r="GB10" s="421">
        <f t="shared" si="100"/>
        <v>1.4062499999999997E-3</v>
      </c>
      <c r="GC10" s="421">
        <f t="shared" si="100"/>
        <v>1.6666666666666668E-3</v>
      </c>
      <c r="GD10" s="421">
        <f t="shared" si="100"/>
        <v>2.0833333333333333E-3</v>
      </c>
      <c r="GE10" s="421">
        <f t="shared" si="100"/>
        <v>2.6041666666666665E-3</v>
      </c>
      <c r="GF10" s="421">
        <f t="shared" si="100"/>
        <v>5.208333333333333E-3</v>
      </c>
      <c r="GG10" s="421">
        <f t="shared" si="100"/>
        <v>7.8125E-3</v>
      </c>
      <c r="GH10" s="421">
        <f t="shared" si="100"/>
        <v>1.0416666666666666E-2</v>
      </c>
      <c r="GI10" s="421">
        <f t="shared" si="100"/>
        <v>1.0416666666666666E-2</v>
      </c>
      <c r="GK10" s="1">
        <v>5</v>
      </c>
      <c r="GL10" s="6">
        <v>10</v>
      </c>
    </row>
    <row r="11" spans="1:211" s="231" customFormat="1" x14ac:dyDescent="0.35">
      <c r="A11" s="63">
        <v>7</v>
      </c>
      <c r="B11" s="242" t="s">
        <v>1338</v>
      </c>
      <c r="C11" s="63">
        <v>1</v>
      </c>
      <c r="D11" s="63">
        <v>-1</v>
      </c>
      <c r="E11" s="63">
        <v>6</v>
      </c>
      <c r="F11" s="63">
        <f t="shared" si="16"/>
        <v>6</v>
      </c>
      <c r="G11" s="63">
        <f t="shared" si="101"/>
        <v>6</v>
      </c>
      <c r="H11" s="63"/>
      <c r="I11" s="63">
        <f t="shared" si="17"/>
        <v>0</v>
      </c>
      <c r="J11" s="63">
        <f t="shared" si="18"/>
        <v>0</v>
      </c>
      <c r="K11" s="63">
        <v>0</v>
      </c>
      <c r="L11" s="254">
        <f>ROUND($BK$7/('全局参数|GlobalPar'!$B$18/10000/E11),6)*(7/5)</f>
        <v>4.1663999999999998E-3</v>
      </c>
      <c r="M11" s="255">
        <v>1</v>
      </c>
      <c r="N11" s="256">
        <f>ROUND(IF(M11&lt;&gt;0,$BK$4/('全局参数|GlobalPar'!$B$18/10000/E11)/M11,0),6)</f>
        <v>0</v>
      </c>
      <c r="O11" s="259">
        <f t="shared" si="19"/>
        <v>1.1999999999999999E-3</v>
      </c>
      <c r="P11" s="260">
        <f t="shared" si="20"/>
        <v>0</v>
      </c>
      <c r="Q11" s="277">
        <v>2</v>
      </c>
      <c r="R11" s="278">
        <v>1</v>
      </c>
      <c r="S11" s="279" t="str">
        <f t="shared" si="21"/>
        <v>[[0,1],[0,1],[0,1],[0,1],[0,1],[0,1],[0,1],[0,1],[0,1],[0,1],[0,2],[0,4],[0,6],[0,8],[0,10],[0,20],[0,40],[0,60],[0,80],[0,100]]</v>
      </c>
      <c r="T11" s="63">
        <v>0</v>
      </c>
      <c r="U11" s="256">
        <v>0</v>
      </c>
      <c r="V11" s="280">
        <f t="shared" si="22"/>
        <v>0</v>
      </c>
      <c r="W11" s="280">
        <v>0.06</v>
      </c>
      <c r="X11" s="280">
        <f t="shared" si="102"/>
        <v>0.1</v>
      </c>
      <c r="Y11" s="304">
        <f t="shared" si="127"/>
        <v>0.05</v>
      </c>
      <c r="Z11" s="63" t="str">
        <f t="shared" si="103"/>
        <v>[[1,5],[2,2],[3,1]]</v>
      </c>
      <c r="AA11" s="305" t="str">
        <f t="shared" si="104"/>
        <v>[0.053333,0.026667,0.017778]</v>
      </c>
      <c r="AB11" s="305">
        <f t="shared" si="105"/>
        <v>0.03</v>
      </c>
      <c r="AC11" s="305">
        <v>0</v>
      </c>
      <c r="AD11" s="306">
        <v>3</v>
      </c>
      <c r="AE11" s="63">
        <f t="shared" si="23"/>
        <v>-1</v>
      </c>
      <c r="AF11" s="63">
        <v>0</v>
      </c>
      <c r="AG11" s="63"/>
      <c r="AH11" s="39"/>
      <c r="AI11" s="39">
        <v>1</v>
      </c>
      <c r="AJ11" s="63">
        <v>1</v>
      </c>
      <c r="AK11" s="63">
        <v>1</v>
      </c>
      <c r="AL11" s="63">
        <v>0.5</v>
      </c>
      <c r="AM11" s="63">
        <v>1</v>
      </c>
      <c r="AN11" s="63"/>
      <c r="AO11" s="39"/>
      <c r="AP11" s="39"/>
      <c r="AQ11" s="310">
        <v>0.6</v>
      </c>
      <c r="AR11" s="39">
        <v>7</v>
      </c>
      <c r="AS11" s="39">
        <v>0.18</v>
      </c>
      <c r="AT11" s="39">
        <v>0.8</v>
      </c>
      <c r="AU11" s="39">
        <v>1</v>
      </c>
      <c r="AV11" s="39" t="s">
        <v>1314</v>
      </c>
      <c r="AW11" s="317" t="s">
        <v>1339</v>
      </c>
      <c r="AX11" s="317" t="s">
        <v>1340</v>
      </c>
      <c r="AY11" s="316" t="s">
        <v>1341</v>
      </c>
      <c r="AZ11" s="316" t="s">
        <v>258</v>
      </c>
      <c r="BA11" s="78">
        <f t="shared" si="24"/>
        <v>4.5</v>
      </c>
      <c r="BB11" s="318">
        <f t="shared" si="25"/>
        <v>33.333333333333336</v>
      </c>
      <c r="BC11" s="78" t="s">
        <v>1317</v>
      </c>
      <c r="BD11" s="78">
        <f t="shared" si="26"/>
        <v>0.746</v>
      </c>
      <c r="BE11" s="78"/>
      <c r="BF11" s="63">
        <f t="shared" si="27"/>
        <v>6</v>
      </c>
      <c r="BG11" s="63">
        <f t="shared" si="28"/>
        <v>6.36</v>
      </c>
      <c r="BI11" s="63">
        <f t="shared" si="29"/>
        <v>0</v>
      </c>
      <c r="BT11" s="344">
        <f t="shared" si="30"/>
        <v>6.6000000000000005</v>
      </c>
      <c r="BU11" s="353">
        <f t="shared" si="128"/>
        <v>0.1</v>
      </c>
      <c r="BV11" s="354">
        <v>1</v>
      </c>
      <c r="BW11" s="133">
        <v>5</v>
      </c>
      <c r="BX11" s="354">
        <v>2</v>
      </c>
      <c r="BY11" s="133">
        <v>2</v>
      </c>
      <c r="BZ11" s="354">
        <v>3</v>
      </c>
      <c r="CA11" s="133">
        <v>1</v>
      </c>
      <c r="CB11" s="133">
        <f t="shared" si="106"/>
        <v>1.5</v>
      </c>
      <c r="CC11" s="133">
        <f t="shared" si="107"/>
        <v>7.5</v>
      </c>
      <c r="CD11" s="358">
        <f t="shared" si="31"/>
        <v>5.3332999999999998E-2</v>
      </c>
      <c r="CE11" s="133">
        <f t="shared" si="32"/>
        <v>15</v>
      </c>
      <c r="CF11" s="359">
        <f t="shared" si="33"/>
        <v>2.6667E-2</v>
      </c>
      <c r="CG11" s="133">
        <f t="shared" si="32"/>
        <v>22.5</v>
      </c>
      <c r="CH11" s="360">
        <f t="shared" si="34"/>
        <v>1.7777999999999999E-2</v>
      </c>
      <c r="CI11" s="230"/>
      <c r="CJ11" s="230">
        <v>2E-3</v>
      </c>
      <c r="CK11" s="387">
        <f t="shared" si="129"/>
        <v>0</v>
      </c>
      <c r="CL11" s="259">
        <f t="shared" si="35"/>
        <v>0</v>
      </c>
      <c r="CM11" s="383">
        <f t="shared" si="36"/>
        <v>0</v>
      </c>
      <c r="CN11" s="383">
        <f t="shared" si="37"/>
        <v>0</v>
      </c>
      <c r="CO11" s="384">
        <f t="shared" si="108"/>
        <v>0</v>
      </c>
      <c r="CP11" s="385">
        <f t="shared" si="38"/>
        <v>0</v>
      </c>
      <c r="CQ11" s="383">
        <f t="shared" si="39"/>
        <v>0</v>
      </c>
      <c r="CR11" s="386" t="e">
        <f t="shared" si="40"/>
        <v>#DIV/0!</v>
      </c>
      <c r="CS11" s="407">
        <f t="shared" si="109"/>
        <v>2</v>
      </c>
      <c r="CT11" s="408">
        <f t="shared" si="110"/>
        <v>1</v>
      </c>
      <c r="CU11" s="279"/>
      <c r="CV11" s="277">
        <v>2</v>
      </c>
      <c r="CW11" s="278">
        <v>1</v>
      </c>
      <c r="CX11" s="230"/>
      <c r="CY11" s="410"/>
      <c r="CZ11" s="230"/>
      <c r="DA11" s="230"/>
      <c r="DB11" s="230"/>
      <c r="DC11" s="230"/>
      <c r="DD11" s="414"/>
      <c r="DE11" s="407">
        <v>0</v>
      </c>
      <c r="DF11" s="259">
        <v>1</v>
      </c>
      <c r="DG11" s="414">
        <f t="shared" si="41"/>
        <v>0</v>
      </c>
      <c r="DH11" s="407">
        <f t="shared" si="42"/>
        <v>0</v>
      </c>
      <c r="DI11" s="259">
        <f t="shared" si="111"/>
        <v>1</v>
      </c>
      <c r="DJ11" s="414">
        <f t="shared" si="44"/>
        <v>0</v>
      </c>
      <c r="DK11" s="407">
        <f t="shared" si="45"/>
        <v>0</v>
      </c>
      <c r="DL11" s="259">
        <f t="shared" si="112"/>
        <v>1</v>
      </c>
      <c r="DM11" s="414">
        <f t="shared" si="47"/>
        <v>0</v>
      </c>
      <c r="DN11" s="407">
        <f t="shared" si="113"/>
        <v>0</v>
      </c>
      <c r="DO11" s="259">
        <f t="shared" si="114"/>
        <v>1</v>
      </c>
      <c r="DP11" s="414">
        <f t="shared" si="50"/>
        <v>0</v>
      </c>
      <c r="DQ11" s="407">
        <f t="shared" si="115"/>
        <v>0</v>
      </c>
      <c r="DR11" s="259">
        <f t="shared" si="116"/>
        <v>1</v>
      </c>
      <c r="DS11" s="414">
        <f t="shared" si="53"/>
        <v>0</v>
      </c>
      <c r="DT11" s="407">
        <f t="shared" si="117"/>
        <v>0</v>
      </c>
      <c r="DU11" s="259">
        <f t="shared" si="118"/>
        <v>1</v>
      </c>
      <c r="DV11" s="414">
        <f t="shared" si="56"/>
        <v>0</v>
      </c>
      <c r="DW11" s="407">
        <f t="shared" si="119"/>
        <v>0</v>
      </c>
      <c r="DX11" s="259">
        <f t="shared" si="120"/>
        <v>1</v>
      </c>
      <c r="DY11" s="414">
        <f t="shared" si="59"/>
        <v>0</v>
      </c>
      <c r="DZ11" s="407">
        <f t="shared" si="121"/>
        <v>0</v>
      </c>
      <c r="EA11" s="259">
        <f t="shared" si="122"/>
        <v>1</v>
      </c>
      <c r="EB11" s="414">
        <f t="shared" si="62"/>
        <v>0</v>
      </c>
      <c r="EC11" s="407">
        <f t="shared" si="123"/>
        <v>0</v>
      </c>
      <c r="ED11" s="259">
        <f t="shared" si="124"/>
        <v>1</v>
      </c>
      <c r="EE11" s="414">
        <f t="shared" si="65"/>
        <v>0</v>
      </c>
      <c r="EF11" s="407">
        <f t="shared" si="125"/>
        <v>0</v>
      </c>
      <c r="EG11" s="259">
        <f t="shared" si="126"/>
        <v>1</v>
      </c>
      <c r="EH11" s="414">
        <f t="shared" si="68"/>
        <v>0</v>
      </c>
      <c r="EI11" s="407">
        <f t="shared" si="69"/>
        <v>0</v>
      </c>
      <c r="EJ11" s="259">
        <f t="shared" si="70"/>
        <v>2</v>
      </c>
      <c r="EK11" s="414">
        <f t="shared" si="71"/>
        <v>0</v>
      </c>
      <c r="EL11" s="407">
        <f t="shared" si="72"/>
        <v>0</v>
      </c>
      <c r="EM11" s="259">
        <f t="shared" si="73"/>
        <v>4</v>
      </c>
      <c r="EN11" s="414">
        <f t="shared" si="74"/>
        <v>0</v>
      </c>
      <c r="EO11" s="407">
        <f t="shared" si="75"/>
        <v>0</v>
      </c>
      <c r="EP11" s="259">
        <f t="shared" si="76"/>
        <v>6</v>
      </c>
      <c r="EQ11" s="414">
        <f t="shared" si="77"/>
        <v>0</v>
      </c>
      <c r="ER11" s="407">
        <f t="shared" si="78"/>
        <v>0</v>
      </c>
      <c r="ES11" s="259">
        <f t="shared" si="79"/>
        <v>8</v>
      </c>
      <c r="ET11" s="414">
        <f t="shared" si="80"/>
        <v>0</v>
      </c>
      <c r="EU11" s="407">
        <f t="shared" si="81"/>
        <v>0</v>
      </c>
      <c r="EV11" s="259">
        <f t="shared" si="82"/>
        <v>10</v>
      </c>
      <c r="EW11" s="414">
        <f t="shared" si="83"/>
        <v>0</v>
      </c>
      <c r="EX11" s="407">
        <f t="shared" si="84"/>
        <v>0</v>
      </c>
      <c r="EY11" s="259">
        <f t="shared" si="85"/>
        <v>20</v>
      </c>
      <c r="EZ11" s="414">
        <f t="shared" si="86"/>
        <v>0</v>
      </c>
      <c r="FA11" s="407">
        <f t="shared" si="87"/>
        <v>0</v>
      </c>
      <c r="FB11" s="259">
        <f t="shared" si="88"/>
        <v>40</v>
      </c>
      <c r="FC11" s="414">
        <f t="shared" si="89"/>
        <v>0</v>
      </c>
      <c r="FD11" s="407">
        <f t="shared" si="90"/>
        <v>0</v>
      </c>
      <c r="FE11" s="259">
        <f t="shared" si="91"/>
        <v>60</v>
      </c>
      <c r="FF11" s="414">
        <f t="shared" si="92"/>
        <v>0</v>
      </c>
      <c r="FG11" s="407">
        <f t="shared" si="93"/>
        <v>0</v>
      </c>
      <c r="FH11" s="259">
        <f t="shared" si="94"/>
        <v>80</v>
      </c>
      <c r="FI11" s="414">
        <f t="shared" si="95"/>
        <v>0</v>
      </c>
      <c r="FJ11" s="407">
        <f t="shared" si="96"/>
        <v>0</v>
      </c>
      <c r="FK11" s="259">
        <f t="shared" si="97"/>
        <v>100</v>
      </c>
      <c r="FL11" s="414">
        <f t="shared" si="98"/>
        <v>0</v>
      </c>
      <c r="FM11" s="230"/>
      <c r="FN11" s="230"/>
      <c r="FO11" s="230"/>
      <c r="FP11" s="421">
        <f t="shared" si="99"/>
        <v>0</v>
      </c>
      <c r="FQ11" s="421">
        <f t="shared" si="99"/>
        <v>0</v>
      </c>
      <c r="FR11" s="421">
        <f t="shared" si="99"/>
        <v>0</v>
      </c>
      <c r="FS11" s="421">
        <f t="shared" si="99"/>
        <v>2.5000000000000005E-5</v>
      </c>
      <c r="FT11" s="421">
        <f t="shared" si="99"/>
        <v>3.1250000000000001E-5</v>
      </c>
      <c r="FU11" s="421">
        <f t="shared" si="99"/>
        <v>6.2500000000000001E-5</v>
      </c>
      <c r="FV11" s="421">
        <f t="shared" si="99"/>
        <v>1.25E-4</v>
      </c>
      <c r="FW11" s="421">
        <f t="shared" si="99"/>
        <v>1.8750000000000003E-4</v>
      </c>
      <c r="FX11" s="421">
        <f t="shared" si="99"/>
        <v>2.5000000000000001E-4</v>
      </c>
      <c r="FY11" s="421">
        <f t="shared" si="99"/>
        <v>3.1250000000000006E-4</v>
      </c>
      <c r="FZ11" s="421">
        <f t="shared" si="100"/>
        <v>6.2500000000000012E-4</v>
      </c>
      <c r="GA11" s="421">
        <f t="shared" si="100"/>
        <v>1.2500000000000002E-3</v>
      </c>
      <c r="GB11" s="421">
        <f t="shared" si="100"/>
        <v>1.6875E-3</v>
      </c>
      <c r="GC11" s="421">
        <f t="shared" si="100"/>
        <v>2E-3</v>
      </c>
      <c r="GD11" s="421">
        <f t="shared" si="100"/>
        <v>2.5000000000000001E-3</v>
      </c>
      <c r="GE11" s="421">
        <f t="shared" si="100"/>
        <v>3.1250000000000006E-3</v>
      </c>
      <c r="GF11" s="421">
        <f t="shared" si="100"/>
        <v>6.2500000000000012E-3</v>
      </c>
      <c r="GG11" s="421">
        <f t="shared" si="100"/>
        <v>9.3750000000000014E-3</v>
      </c>
      <c r="GH11" s="421">
        <f t="shared" si="100"/>
        <v>1.2500000000000002E-2</v>
      </c>
      <c r="GI11" s="421">
        <f t="shared" si="100"/>
        <v>1.2500000000000001E-2</v>
      </c>
      <c r="GJ11" s="230"/>
      <c r="GK11" s="1">
        <v>6</v>
      </c>
      <c r="GL11" s="6">
        <v>12</v>
      </c>
      <c r="GM11" s="230"/>
      <c r="GN11" s="230"/>
      <c r="GO11" s="230"/>
      <c r="GP11" s="230"/>
      <c r="GQ11" s="230"/>
      <c r="GR11" s="230"/>
      <c r="GS11" s="230"/>
      <c r="GT11" s="230"/>
      <c r="GU11" s="230"/>
      <c r="GV11" s="230"/>
      <c r="GW11" s="230"/>
      <c r="GX11" s="230"/>
      <c r="GY11" s="230"/>
      <c r="GZ11" s="230"/>
      <c r="HA11" s="230"/>
      <c r="HB11" s="230"/>
      <c r="HC11" s="230"/>
    </row>
    <row r="12" spans="1:211" x14ac:dyDescent="0.35">
      <c r="A12" s="63">
        <v>8</v>
      </c>
      <c r="B12" s="242" t="s">
        <v>1342</v>
      </c>
      <c r="C12" s="63">
        <v>1</v>
      </c>
      <c r="D12" s="63">
        <v>-1</v>
      </c>
      <c r="E12" s="63">
        <v>7</v>
      </c>
      <c r="F12" s="63">
        <f t="shared" si="16"/>
        <v>7</v>
      </c>
      <c r="G12" s="63">
        <f t="shared" si="101"/>
        <v>7</v>
      </c>
      <c r="H12" s="63"/>
      <c r="I12" s="63">
        <f t="shared" si="17"/>
        <v>0</v>
      </c>
      <c r="J12" s="63">
        <f t="shared" si="18"/>
        <v>0</v>
      </c>
      <c r="K12" s="63">
        <v>0</v>
      </c>
      <c r="L12" s="254">
        <f>ROUND($BK$7/('全局参数|GlobalPar'!$B$18/10000/E12),6)*(7/5)</f>
        <v>4.8607999999999993E-3</v>
      </c>
      <c r="M12" s="255">
        <v>1</v>
      </c>
      <c r="N12" s="256">
        <f>ROUND(IF(M12&lt;&gt;0,$BK$4/('全局参数|GlobalPar'!$B$18/10000/E12)/M12,0),6)</f>
        <v>0</v>
      </c>
      <c r="O12" s="259">
        <f t="shared" si="19"/>
        <v>1.4E-3</v>
      </c>
      <c r="P12" s="260">
        <f t="shared" si="20"/>
        <v>0</v>
      </c>
      <c r="Q12" s="277">
        <v>2</v>
      </c>
      <c r="R12" s="278">
        <v>1</v>
      </c>
      <c r="S12" s="279" t="str">
        <f t="shared" si="21"/>
        <v>[[0,1],[0,1],[0,1],[0,1],[0,1],[0,1],[0,1],[0,1],[0,1],[0,1],[0,2],[0,4],[0,6],[0,8],[0,10],[0,20],[0,40],[0,60],[0,80],[0,100]]</v>
      </c>
      <c r="T12" s="63">
        <v>0</v>
      </c>
      <c r="U12" s="256">
        <v>0</v>
      </c>
      <c r="V12" s="280">
        <f t="shared" si="22"/>
        <v>0</v>
      </c>
      <c r="W12" s="280">
        <v>0.06</v>
      </c>
      <c r="X12" s="280">
        <f t="shared" si="102"/>
        <v>0.1</v>
      </c>
      <c r="Y12" s="304">
        <f t="shared" si="127"/>
        <v>0.05</v>
      </c>
      <c r="Z12" s="63" t="str">
        <f t="shared" si="103"/>
        <v>[[1,5],[2,2],[3,1]]</v>
      </c>
      <c r="AA12" s="305" t="str">
        <f t="shared" si="104"/>
        <v>[0.062222,0.031111,0.020741]</v>
      </c>
      <c r="AB12" s="305">
        <f t="shared" si="105"/>
        <v>3.5000000000000003E-2</v>
      </c>
      <c r="AC12" s="305">
        <v>0</v>
      </c>
      <c r="AD12" s="306">
        <v>4</v>
      </c>
      <c r="AE12" s="63">
        <f t="shared" si="23"/>
        <v>-1</v>
      </c>
      <c r="AF12" s="63">
        <v>0</v>
      </c>
      <c r="AG12" s="39"/>
      <c r="AH12" s="39"/>
      <c r="AI12" s="39">
        <v>1</v>
      </c>
      <c r="AJ12" s="63">
        <v>1</v>
      </c>
      <c r="AK12" s="63">
        <v>1</v>
      </c>
      <c r="AL12" s="63">
        <v>0.5</v>
      </c>
      <c r="AM12" s="63">
        <v>1</v>
      </c>
      <c r="AN12" s="63"/>
      <c r="AO12" s="39"/>
      <c r="AP12" s="39"/>
      <c r="AQ12" s="310">
        <v>0.6</v>
      </c>
      <c r="AR12" s="39">
        <v>8</v>
      </c>
      <c r="AS12" s="39">
        <v>0.18</v>
      </c>
      <c r="AT12" s="39">
        <v>0.8</v>
      </c>
      <c r="AU12" s="39">
        <v>1</v>
      </c>
      <c r="AV12" s="39" t="s">
        <v>1314</v>
      </c>
      <c r="AW12" s="319" t="s">
        <v>1343</v>
      </c>
      <c r="AX12" s="319" t="s">
        <v>1344</v>
      </c>
      <c r="AY12" s="316" t="s">
        <v>151</v>
      </c>
      <c r="AZ12" s="316" t="s">
        <v>258</v>
      </c>
      <c r="BA12" s="78">
        <f t="shared" si="24"/>
        <v>5.25</v>
      </c>
      <c r="BB12" s="318">
        <f t="shared" si="25"/>
        <v>28.571428571428573</v>
      </c>
      <c r="BC12" s="78" t="s">
        <v>1317</v>
      </c>
      <c r="BD12" s="78">
        <f t="shared" si="26"/>
        <v>0.746</v>
      </c>
      <c r="BE12" s="78"/>
      <c r="BF12" s="63">
        <f t="shared" si="27"/>
        <v>7</v>
      </c>
      <c r="BG12" s="63">
        <f t="shared" si="28"/>
        <v>7.42</v>
      </c>
      <c r="BI12" s="63">
        <f t="shared" si="29"/>
        <v>0</v>
      </c>
      <c r="BT12" s="344">
        <f t="shared" si="30"/>
        <v>7.7000000000000011</v>
      </c>
      <c r="BU12" s="353">
        <f t="shared" si="128"/>
        <v>0.1</v>
      </c>
      <c r="BV12" s="354">
        <v>1</v>
      </c>
      <c r="BW12" s="133">
        <v>5</v>
      </c>
      <c r="BX12" s="354">
        <v>2</v>
      </c>
      <c r="BY12" s="133">
        <v>2</v>
      </c>
      <c r="BZ12" s="354">
        <v>3</v>
      </c>
      <c r="CA12" s="133">
        <v>1</v>
      </c>
      <c r="CB12" s="133">
        <f t="shared" si="106"/>
        <v>1.5</v>
      </c>
      <c r="CC12" s="133">
        <f t="shared" si="107"/>
        <v>7.5</v>
      </c>
      <c r="CD12" s="358">
        <f t="shared" si="31"/>
        <v>6.2222E-2</v>
      </c>
      <c r="CE12" s="133">
        <f t="shared" si="32"/>
        <v>15</v>
      </c>
      <c r="CF12" s="359">
        <f t="shared" si="33"/>
        <v>3.1111E-2</v>
      </c>
      <c r="CG12" s="133">
        <f t="shared" si="32"/>
        <v>22.5</v>
      </c>
      <c r="CH12" s="360">
        <f t="shared" si="34"/>
        <v>2.0740999999999999E-2</v>
      </c>
      <c r="CJ12" s="229">
        <v>2E-3</v>
      </c>
      <c r="CK12" s="387">
        <f t="shared" si="129"/>
        <v>0</v>
      </c>
      <c r="CL12" s="259">
        <f t="shared" si="35"/>
        <v>0</v>
      </c>
      <c r="CM12" s="383">
        <f t="shared" si="36"/>
        <v>0</v>
      </c>
      <c r="CN12" s="383">
        <f t="shared" si="37"/>
        <v>0</v>
      </c>
      <c r="CO12" s="384">
        <f t="shared" si="108"/>
        <v>0</v>
      </c>
      <c r="CP12" s="385">
        <f t="shared" si="38"/>
        <v>0</v>
      </c>
      <c r="CQ12" s="383">
        <f t="shared" si="39"/>
        <v>0</v>
      </c>
      <c r="CR12" s="386" t="e">
        <f t="shared" si="40"/>
        <v>#DIV/0!</v>
      </c>
      <c r="CS12" s="407">
        <f t="shared" si="109"/>
        <v>2</v>
      </c>
      <c r="CT12" s="408">
        <f t="shared" si="110"/>
        <v>1</v>
      </c>
      <c r="CU12" s="279"/>
      <c r="CV12" s="277">
        <v>2</v>
      </c>
      <c r="CW12" s="278">
        <v>1</v>
      </c>
      <c r="CY12" s="411"/>
      <c r="CZ12" s="230"/>
      <c r="DD12" s="414"/>
      <c r="DE12" s="407">
        <v>0</v>
      </c>
      <c r="DF12" s="259">
        <v>1</v>
      </c>
      <c r="DG12" s="414">
        <f t="shared" si="41"/>
        <v>0</v>
      </c>
      <c r="DH12" s="407">
        <f t="shared" si="42"/>
        <v>0</v>
      </c>
      <c r="DI12" s="259">
        <f t="shared" si="111"/>
        <v>1</v>
      </c>
      <c r="DJ12" s="414">
        <f t="shared" si="44"/>
        <v>0</v>
      </c>
      <c r="DK12" s="407">
        <f t="shared" si="45"/>
        <v>0</v>
      </c>
      <c r="DL12" s="259">
        <f t="shared" si="112"/>
        <v>1</v>
      </c>
      <c r="DM12" s="414">
        <f t="shared" si="47"/>
        <v>0</v>
      </c>
      <c r="DN12" s="407">
        <f t="shared" si="113"/>
        <v>0</v>
      </c>
      <c r="DO12" s="259">
        <f t="shared" si="114"/>
        <v>1</v>
      </c>
      <c r="DP12" s="414">
        <f t="shared" si="50"/>
        <v>0</v>
      </c>
      <c r="DQ12" s="407">
        <f t="shared" si="115"/>
        <v>0</v>
      </c>
      <c r="DR12" s="259">
        <f t="shared" si="116"/>
        <v>1</v>
      </c>
      <c r="DS12" s="414">
        <f t="shared" si="53"/>
        <v>0</v>
      </c>
      <c r="DT12" s="407">
        <f t="shared" si="117"/>
        <v>0</v>
      </c>
      <c r="DU12" s="259">
        <f t="shared" si="118"/>
        <v>1</v>
      </c>
      <c r="DV12" s="414">
        <f t="shared" si="56"/>
        <v>0</v>
      </c>
      <c r="DW12" s="407">
        <f t="shared" si="119"/>
        <v>0</v>
      </c>
      <c r="DX12" s="259">
        <f t="shared" si="120"/>
        <v>1</v>
      </c>
      <c r="DY12" s="414">
        <f t="shared" si="59"/>
        <v>0</v>
      </c>
      <c r="DZ12" s="407">
        <f t="shared" si="121"/>
        <v>0</v>
      </c>
      <c r="EA12" s="259">
        <f t="shared" si="122"/>
        <v>1</v>
      </c>
      <c r="EB12" s="414">
        <f t="shared" si="62"/>
        <v>0</v>
      </c>
      <c r="EC12" s="407">
        <f t="shared" si="123"/>
        <v>0</v>
      </c>
      <c r="ED12" s="259">
        <f t="shared" si="124"/>
        <v>1</v>
      </c>
      <c r="EE12" s="414">
        <f t="shared" si="65"/>
        <v>0</v>
      </c>
      <c r="EF12" s="407">
        <f t="shared" si="125"/>
        <v>0</v>
      </c>
      <c r="EG12" s="259">
        <f t="shared" si="126"/>
        <v>1</v>
      </c>
      <c r="EH12" s="414">
        <f t="shared" si="68"/>
        <v>0</v>
      </c>
      <c r="EI12" s="407">
        <f t="shared" si="69"/>
        <v>0</v>
      </c>
      <c r="EJ12" s="259">
        <f t="shared" si="70"/>
        <v>2</v>
      </c>
      <c r="EK12" s="414">
        <f t="shared" si="71"/>
        <v>0</v>
      </c>
      <c r="EL12" s="407">
        <f t="shared" si="72"/>
        <v>0</v>
      </c>
      <c r="EM12" s="259">
        <f t="shared" si="73"/>
        <v>4</v>
      </c>
      <c r="EN12" s="414">
        <f t="shared" si="74"/>
        <v>0</v>
      </c>
      <c r="EO12" s="407">
        <f t="shared" si="75"/>
        <v>0</v>
      </c>
      <c r="EP12" s="259">
        <f t="shared" si="76"/>
        <v>6</v>
      </c>
      <c r="EQ12" s="414">
        <f t="shared" si="77"/>
        <v>0</v>
      </c>
      <c r="ER12" s="407">
        <f t="shared" si="78"/>
        <v>0</v>
      </c>
      <c r="ES12" s="259">
        <f t="shared" si="79"/>
        <v>8</v>
      </c>
      <c r="ET12" s="414">
        <f t="shared" si="80"/>
        <v>0</v>
      </c>
      <c r="EU12" s="407">
        <f t="shared" si="81"/>
        <v>0</v>
      </c>
      <c r="EV12" s="259">
        <f t="shared" si="82"/>
        <v>10</v>
      </c>
      <c r="EW12" s="414">
        <f t="shared" si="83"/>
        <v>0</v>
      </c>
      <c r="EX12" s="407">
        <f t="shared" si="84"/>
        <v>0</v>
      </c>
      <c r="EY12" s="259">
        <f t="shared" si="85"/>
        <v>20</v>
      </c>
      <c r="EZ12" s="414">
        <f t="shared" si="86"/>
        <v>0</v>
      </c>
      <c r="FA12" s="407">
        <f t="shared" si="87"/>
        <v>0</v>
      </c>
      <c r="FB12" s="259">
        <f t="shared" si="88"/>
        <v>40</v>
      </c>
      <c r="FC12" s="414">
        <f t="shared" si="89"/>
        <v>0</v>
      </c>
      <c r="FD12" s="407">
        <f t="shared" si="90"/>
        <v>0</v>
      </c>
      <c r="FE12" s="259">
        <f t="shared" si="91"/>
        <v>60</v>
      </c>
      <c r="FF12" s="414">
        <f t="shared" si="92"/>
        <v>0</v>
      </c>
      <c r="FG12" s="407">
        <f t="shared" si="93"/>
        <v>0</v>
      </c>
      <c r="FH12" s="259">
        <f t="shared" si="94"/>
        <v>80</v>
      </c>
      <c r="FI12" s="414">
        <f t="shared" si="95"/>
        <v>0</v>
      </c>
      <c r="FJ12" s="407">
        <f t="shared" si="96"/>
        <v>0</v>
      </c>
      <c r="FK12" s="259">
        <f t="shared" si="97"/>
        <v>100</v>
      </c>
      <c r="FL12" s="414">
        <f t="shared" si="98"/>
        <v>0</v>
      </c>
      <c r="FP12" s="421">
        <f t="shared" si="99"/>
        <v>0</v>
      </c>
      <c r="FQ12" s="421">
        <f t="shared" si="99"/>
        <v>0</v>
      </c>
      <c r="FR12" s="421">
        <f t="shared" si="99"/>
        <v>0</v>
      </c>
      <c r="FS12" s="421">
        <f t="shared" si="99"/>
        <v>2.916666666666667E-5</v>
      </c>
      <c r="FT12" s="421">
        <f t="shared" si="99"/>
        <v>3.6458333333333336E-5</v>
      </c>
      <c r="FU12" s="421">
        <f t="shared" si="99"/>
        <v>7.2916666666666673E-5</v>
      </c>
      <c r="FV12" s="421">
        <f t="shared" si="99"/>
        <v>1.4583333333333335E-4</v>
      </c>
      <c r="FW12" s="421">
        <f t="shared" si="99"/>
        <v>2.1875000000000003E-4</v>
      </c>
      <c r="FX12" s="421">
        <f t="shared" si="99"/>
        <v>2.9166666666666669E-4</v>
      </c>
      <c r="FY12" s="421">
        <f t="shared" si="99"/>
        <v>3.645833333333334E-4</v>
      </c>
      <c r="FZ12" s="421">
        <f t="shared" si="100"/>
        <v>7.2916666666666681E-4</v>
      </c>
      <c r="GA12" s="421">
        <f t="shared" si="100"/>
        <v>1.4583333333333336E-3</v>
      </c>
      <c r="GB12" s="421">
        <f t="shared" si="100"/>
        <v>1.96875E-3</v>
      </c>
      <c r="GC12" s="421">
        <f t="shared" si="100"/>
        <v>2.3333333333333335E-3</v>
      </c>
      <c r="GD12" s="421">
        <f t="shared" si="100"/>
        <v>2.9166666666666672E-3</v>
      </c>
      <c r="GE12" s="421">
        <f t="shared" si="100"/>
        <v>3.6458333333333338E-3</v>
      </c>
      <c r="GF12" s="421">
        <f t="shared" si="100"/>
        <v>7.2916666666666676E-3</v>
      </c>
      <c r="GG12" s="421">
        <f t="shared" si="100"/>
        <v>1.0937500000000001E-2</v>
      </c>
      <c r="GH12" s="421">
        <f t="shared" si="100"/>
        <v>1.4583333333333335E-2</v>
      </c>
      <c r="GI12" s="421">
        <f t="shared" si="100"/>
        <v>1.4583333333333335E-2</v>
      </c>
      <c r="GK12" s="1">
        <v>7</v>
      </c>
      <c r="GL12" s="6">
        <v>15</v>
      </c>
    </row>
    <row r="13" spans="1:211" ht="16.2" x14ac:dyDescent="0.4">
      <c r="A13" s="63">
        <v>9</v>
      </c>
      <c r="B13" s="242" t="s">
        <v>1345</v>
      </c>
      <c r="C13" s="63">
        <v>1</v>
      </c>
      <c r="D13" s="63">
        <v>-1</v>
      </c>
      <c r="E13" s="63">
        <v>4</v>
      </c>
      <c r="F13" s="63">
        <f t="shared" si="16"/>
        <v>4</v>
      </c>
      <c r="G13" s="63">
        <f t="shared" si="101"/>
        <v>4</v>
      </c>
      <c r="H13" s="63"/>
      <c r="I13" s="63">
        <f t="shared" si="17"/>
        <v>0</v>
      </c>
      <c r="J13" s="63">
        <f t="shared" si="18"/>
        <v>0</v>
      </c>
      <c r="K13" s="63">
        <v>0</v>
      </c>
      <c r="L13" s="254">
        <f>ROUND($BK$7/('全局参数|GlobalPar'!$B$18/10000/E13),6)*(7/5)</f>
        <v>2.7775999999999999E-3</v>
      </c>
      <c r="M13" s="255">
        <v>1</v>
      </c>
      <c r="N13" s="256">
        <f>ROUND(IF(M13&lt;&gt;0,$BK$4/('全局参数|GlobalPar'!$B$18/10000/E13)/M13,0),6)</f>
        <v>0</v>
      </c>
      <c r="O13" s="259">
        <f t="shared" si="19"/>
        <v>8.0000000000000004E-4</v>
      </c>
      <c r="P13" s="260">
        <f t="shared" si="20"/>
        <v>0</v>
      </c>
      <c r="Q13" s="277">
        <v>2</v>
      </c>
      <c r="R13" s="278">
        <v>1</v>
      </c>
      <c r="S13" s="279" t="str">
        <f t="shared" si="21"/>
        <v>[[0,1],[0,1],[0,1],[0,1],[0,1],[0,1],[0,1],[0,1],[0,1],[0,1],[0,2],[0,4],[0,6],[0,8],[0,10],[0,20],[0,40],[0,60],[0,80],[0,100]]</v>
      </c>
      <c r="T13" s="63">
        <v>0</v>
      </c>
      <c r="U13" s="281">
        <v>0</v>
      </c>
      <c r="V13" s="280">
        <f t="shared" si="22"/>
        <v>0</v>
      </c>
      <c r="W13" s="280">
        <v>0.06</v>
      </c>
      <c r="X13" s="280">
        <f t="shared" si="102"/>
        <v>0.1</v>
      </c>
      <c r="Y13" s="304">
        <f t="shared" si="127"/>
        <v>0.05</v>
      </c>
      <c r="Z13" s="63" t="str">
        <f t="shared" si="103"/>
        <v>[[1,5],[2,2],[3,1]]</v>
      </c>
      <c r="AA13" s="305" t="str">
        <f t="shared" si="104"/>
        <v>[0.035556,0.017778,0.011852]</v>
      </c>
      <c r="AB13" s="305">
        <f t="shared" si="105"/>
        <v>0</v>
      </c>
      <c r="AC13" s="305">
        <v>0</v>
      </c>
      <c r="AD13" s="306">
        <v>4</v>
      </c>
      <c r="AE13" s="63">
        <f t="shared" si="23"/>
        <v>-1</v>
      </c>
      <c r="AF13" s="63">
        <v>0</v>
      </c>
      <c r="AG13" s="63"/>
      <c r="AH13" s="39"/>
      <c r="AI13" s="39">
        <v>1</v>
      </c>
      <c r="AJ13" s="63">
        <v>1</v>
      </c>
      <c r="AK13" s="63">
        <v>1</v>
      </c>
      <c r="AL13" s="63">
        <v>0.5</v>
      </c>
      <c r="AM13" s="63">
        <v>1</v>
      </c>
      <c r="AN13" s="63"/>
      <c r="AO13" s="39"/>
      <c r="AP13" s="39"/>
      <c r="AQ13" s="310">
        <v>0.6</v>
      </c>
      <c r="AR13" s="39">
        <v>10</v>
      </c>
      <c r="AS13" s="39">
        <v>0.18</v>
      </c>
      <c r="AT13" s="39">
        <v>0.8</v>
      </c>
      <c r="AU13" s="39">
        <v>1</v>
      </c>
      <c r="AV13" s="39" t="s">
        <v>1346</v>
      </c>
      <c r="AW13" s="317" t="s">
        <v>1347</v>
      </c>
      <c r="AX13" s="317" t="s">
        <v>1348</v>
      </c>
      <c r="AY13" s="316" t="s">
        <v>346</v>
      </c>
      <c r="AZ13" s="316" t="s">
        <v>258</v>
      </c>
      <c r="BA13" s="78">
        <f t="shared" si="24"/>
        <v>3</v>
      </c>
      <c r="BB13" s="318">
        <f t="shared" si="25"/>
        <v>50</v>
      </c>
      <c r="BC13" s="78" t="s">
        <v>1317</v>
      </c>
      <c r="BD13" s="78">
        <f t="shared" si="26"/>
        <v>0.746</v>
      </c>
      <c r="BE13" s="78"/>
      <c r="BF13" s="63">
        <f t="shared" si="27"/>
        <v>4</v>
      </c>
      <c r="BG13" s="63">
        <f t="shared" si="28"/>
        <v>4.24</v>
      </c>
      <c r="BI13" s="63">
        <f t="shared" si="29"/>
        <v>0</v>
      </c>
      <c r="BT13" s="344">
        <f t="shared" si="30"/>
        <v>4.4000000000000004</v>
      </c>
      <c r="BU13" s="353">
        <f t="shared" si="128"/>
        <v>0.1</v>
      </c>
      <c r="BV13" s="354">
        <v>1</v>
      </c>
      <c r="BW13" s="133">
        <v>5</v>
      </c>
      <c r="BX13" s="354">
        <v>2</v>
      </c>
      <c r="BY13" s="133">
        <v>2</v>
      </c>
      <c r="BZ13" s="354">
        <v>3</v>
      </c>
      <c r="CA13" s="133">
        <v>1</v>
      </c>
      <c r="CB13" s="133">
        <f t="shared" si="106"/>
        <v>1.5</v>
      </c>
      <c r="CC13" s="133">
        <f t="shared" si="107"/>
        <v>7.5</v>
      </c>
      <c r="CD13" s="358">
        <f t="shared" si="31"/>
        <v>3.5555999999999997E-2</v>
      </c>
      <c r="CE13" s="133">
        <f t="shared" si="32"/>
        <v>15</v>
      </c>
      <c r="CF13" s="359">
        <f t="shared" si="33"/>
        <v>1.7777999999999999E-2</v>
      </c>
      <c r="CG13" s="133">
        <f t="shared" si="32"/>
        <v>22.5</v>
      </c>
      <c r="CH13" s="360">
        <f t="shared" si="34"/>
        <v>1.1852E-2</v>
      </c>
      <c r="CJ13" s="229">
        <v>2E-3</v>
      </c>
      <c r="CK13" s="387">
        <f t="shared" si="129"/>
        <v>0</v>
      </c>
      <c r="CL13" s="259">
        <f t="shared" si="35"/>
        <v>0</v>
      </c>
      <c r="CM13" s="383">
        <f t="shared" si="36"/>
        <v>0</v>
      </c>
      <c r="CN13" s="383">
        <f t="shared" si="37"/>
        <v>0</v>
      </c>
      <c r="CO13" s="384">
        <f t="shared" si="108"/>
        <v>0</v>
      </c>
      <c r="CP13" s="385">
        <f t="shared" si="38"/>
        <v>0</v>
      </c>
      <c r="CQ13" s="383">
        <f t="shared" si="39"/>
        <v>0</v>
      </c>
      <c r="CR13" s="386" t="e">
        <f t="shared" si="40"/>
        <v>#DIV/0!</v>
      </c>
      <c r="CS13" s="407">
        <f t="shared" si="109"/>
        <v>2</v>
      </c>
      <c r="CT13" s="408">
        <f t="shared" si="110"/>
        <v>1</v>
      </c>
      <c r="CU13" s="279"/>
      <c r="CV13" s="277">
        <v>2</v>
      </c>
      <c r="CW13" s="278">
        <v>1</v>
      </c>
      <c r="CY13" s="411"/>
      <c r="CZ13" s="230"/>
      <c r="DD13" s="414"/>
      <c r="DE13" s="407">
        <v>0</v>
      </c>
      <c r="DF13" s="259">
        <v>1</v>
      </c>
      <c r="DG13" s="414">
        <f t="shared" si="41"/>
        <v>0</v>
      </c>
      <c r="DH13" s="407">
        <f t="shared" si="42"/>
        <v>0</v>
      </c>
      <c r="DI13" s="259">
        <f t="shared" si="111"/>
        <v>1</v>
      </c>
      <c r="DJ13" s="414">
        <f t="shared" si="44"/>
        <v>0</v>
      </c>
      <c r="DK13" s="407">
        <f t="shared" si="45"/>
        <v>0</v>
      </c>
      <c r="DL13" s="259">
        <f t="shared" si="112"/>
        <v>1</v>
      </c>
      <c r="DM13" s="414">
        <f t="shared" si="47"/>
        <v>0</v>
      </c>
      <c r="DN13" s="407">
        <f t="shared" si="113"/>
        <v>0</v>
      </c>
      <c r="DO13" s="259">
        <f t="shared" si="114"/>
        <v>1</v>
      </c>
      <c r="DP13" s="414">
        <f t="shared" si="50"/>
        <v>0</v>
      </c>
      <c r="DQ13" s="407">
        <f t="shared" si="115"/>
        <v>0</v>
      </c>
      <c r="DR13" s="259">
        <f t="shared" si="116"/>
        <v>1</v>
      </c>
      <c r="DS13" s="414">
        <f t="shared" si="53"/>
        <v>0</v>
      </c>
      <c r="DT13" s="407">
        <f t="shared" si="117"/>
        <v>0</v>
      </c>
      <c r="DU13" s="259">
        <f t="shared" si="118"/>
        <v>1</v>
      </c>
      <c r="DV13" s="414">
        <f t="shared" si="56"/>
        <v>0</v>
      </c>
      <c r="DW13" s="407">
        <f t="shared" si="119"/>
        <v>0</v>
      </c>
      <c r="DX13" s="259">
        <f t="shared" si="120"/>
        <v>1</v>
      </c>
      <c r="DY13" s="414">
        <f t="shared" si="59"/>
        <v>0</v>
      </c>
      <c r="DZ13" s="407">
        <f t="shared" si="121"/>
        <v>0</v>
      </c>
      <c r="EA13" s="259">
        <f t="shared" si="122"/>
        <v>1</v>
      </c>
      <c r="EB13" s="414">
        <f t="shared" si="62"/>
        <v>0</v>
      </c>
      <c r="EC13" s="407">
        <f t="shared" si="123"/>
        <v>0</v>
      </c>
      <c r="ED13" s="259">
        <f t="shared" si="124"/>
        <v>1</v>
      </c>
      <c r="EE13" s="414">
        <f t="shared" si="65"/>
        <v>0</v>
      </c>
      <c r="EF13" s="407">
        <f t="shared" si="125"/>
        <v>0</v>
      </c>
      <c r="EG13" s="259">
        <f t="shared" si="126"/>
        <v>1</v>
      </c>
      <c r="EH13" s="414">
        <f t="shared" si="68"/>
        <v>0</v>
      </c>
      <c r="EI13" s="407">
        <f t="shared" si="69"/>
        <v>0</v>
      </c>
      <c r="EJ13" s="259">
        <f t="shared" si="70"/>
        <v>2</v>
      </c>
      <c r="EK13" s="414">
        <f t="shared" si="71"/>
        <v>0</v>
      </c>
      <c r="EL13" s="407">
        <f t="shared" si="72"/>
        <v>0</v>
      </c>
      <c r="EM13" s="259">
        <f t="shared" si="73"/>
        <v>4</v>
      </c>
      <c r="EN13" s="414">
        <f t="shared" si="74"/>
        <v>0</v>
      </c>
      <c r="EO13" s="407">
        <f t="shared" si="75"/>
        <v>0</v>
      </c>
      <c r="EP13" s="259">
        <f t="shared" si="76"/>
        <v>6</v>
      </c>
      <c r="EQ13" s="414">
        <f t="shared" si="77"/>
        <v>0</v>
      </c>
      <c r="ER13" s="407">
        <f t="shared" si="78"/>
        <v>0</v>
      </c>
      <c r="ES13" s="259">
        <f t="shared" si="79"/>
        <v>8</v>
      </c>
      <c r="ET13" s="414">
        <f t="shared" si="80"/>
        <v>0</v>
      </c>
      <c r="EU13" s="407">
        <f t="shared" si="81"/>
        <v>0</v>
      </c>
      <c r="EV13" s="259">
        <f t="shared" si="82"/>
        <v>10</v>
      </c>
      <c r="EW13" s="414">
        <f t="shared" si="83"/>
        <v>0</v>
      </c>
      <c r="EX13" s="407">
        <f t="shared" si="84"/>
        <v>0</v>
      </c>
      <c r="EY13" s="259">
        <f t="shared" si="85"/>
        <v>20</v>
      </c>
      <c r="EZ13" s="414">
        <f t="shared" si="86"/>
        <v>0</v>
      </c>
      <c r="FA13" s="407">
        <f t="shared" si="87"/>
        <v>0</v>
      </c>
      <c r="FB13" s="259">
        <f t="shared" si="88"/>
        <v>40</v>
      </c>
      <c r="FC13" s="414">
        <f t="shared" si="89"/>
        <v>0</v>
      </c>
      <c r="FD13" s="407">
        <f t="shared" si="90"/>
        <v>0</v>
      </c>
      <c r="FE13" s="259">
        <f t="shared" si="91"/>
        <v>60</v>
      </c>
      <c r="FF13" s="414">
        <f t="shared" si="92"/>
        <v>0</v>
      </c>
      <c r="FG13" s="407">
        <f t="shared" si="93"/>
        <v>0</v>
      </c>
      <c r="FH13" s="259">
        <f t="shared" si="94"/>
        <v>80</v>
      </c>
      <c r="FI13" s="414">
        <f t="shared" si="95"/>
        <v>0</v>
      </c>
      <c r="FJ13" s="407">
        <f t="shared" si="96"/>
        <v>0</v>
      </c>
      <c r="FK13" s="259">
        <f t="shared" si="97"/>
        <v>100</v>
      </c>
      <c r="FL13" s="414">
        <f t="shared" si="98"/>
        <v>0</v>
      </c>
      <c r="FP13" s="421">
        <f t="shared" si="99"/>
        <v>0</v>
      </c>
      <c r="FQ13" s="421">
        <f t="shared" si="99"/>
        <v>0</v>
      </c>
      <c r="FR13" s="421">
        <f t="shared" si="99"/>
        <v>0</v>
      </c>
      <c r="FS13" s="421">
        <f t="shared" si="99"/>
        <v>1.6666666666666667E-5</v>
      </c>
      <c r="FT13" s="421">
        <f t="shared" si="99"/>
        <v>2.0833333333333333E-5</v>
      </c>
      <c r="FU13" s="421">
        <f t="shared" si="99"/>
        <v>4.1666666666666665E-5</v>
      </c>
      <c r="FV13" s="421">
        <f t="shared" si="99"/>
        <v>8.3333333333333331E-5</v>
      </c>
      <c r="FW13" s="421">
        <f t="shared" si="99"/>
        <v>1.25E-4</v>
      </c>
      <c r="FX13" s="421">
        <f t="shared" si="99"/>
        <v>1.6666666666666666E-4</v>
      </c>
      <c r="FY13" s="421">
        <f t="shared" si="99"/>
        <v>2.0833333333333335E-4</v>
      </c>
      <c r="FZ13" s="421">
        <f t="shared" si="100"/>
        <v>4.1666666666666669E-4</v>
      </c>
      <c r="GA13" s="421">
        <f t="shared" si="100"/>
        <v>8.3333333333333339E-4</v>
      </c>
      <c r="GB13" s="421">
        <f t="shared" si="100"/>
        <v>1.1249999999999999E-3</v>
      </c>
      <c r="GC13" s="421">
        <f t="shared" si="100"/>
        <v>1.3333333333333333E-3</v>
      </c>
      <c r="GD13" s="421">
        <f t="shared" si="100"/>
        <v>1.6666666666666668E-3</v>
      </c>
      <c r="GE13" s="421">
        <f t="shared" si="100"/>
        <v>2.0833333333333333E-3</v>
      </c>
      <c r="GF13" s="421">
        <f t="shared" si="100"/>
        <v>4.1666666666666666E-3</v>
      </c>
      <c r="GG13" s="421">
        <f t="shared" si="100"/>
        <v>6.2500000000000003E-3</v>
      </c>
      <c r="GH13" s="421">
        <f t="shared" si="100"/>
        <v>8.3333333333333332E-3</v>
      </c>
      <c r="GI13" s="421">
        <f t="shared" si="100"/>
        <v>8.3333333333333332E-3</v>
      </c>
      <c r="GK13" s="1">
        <v>8</v>
      </c>
      <c r="GL13" s="6">
        <v>20</v>
      </c>
    </row>
    <row r="14" spans="1:211" s="230" customFormat="1" ht="16.2" x14ac:dyDescent="0.4">
      <c r="A14" s="63">
        <v>10</v>
      </c>
      <c r="B14" s="242" t="s">
        <v>1349</v>
      </c>
      <c r="C14" s="63">
        <v>1</v>
      </c>
      <c r="D14" s="63">
        <v>-1</v>
      </c>
      <c r="E14" s="63">
        <v>9</v>
      </c>
      <c r="F14" s="63">
        <f t="shared" si="16"/>
        <v>9</v>
      </c>
      <c r="G14" s="63">
        <f t="shared" si="101"/>
        <v>9</v>
      </c>
      <c r="H14" s="63"/>
      <c r="I14" s="63">
        <f t="shared" si="17"/>
        <v>0</v>
      </c>
      <c r="J14" s="63">
        <f t="shared" si="18"/>
        <v>0</v>
      </c>
      <c r="K14" s="63">
        <v>0</v>
      </c>
      <c r="L14" s="254">
        <f>ROUND($BK$7/('全局参数|GlobalPar'!$B$18/10000/E14),6)*(7/5)</f>
        <v>6.2496000000000001E-3</v>
      </c>
      <c r="M14" s="255">
        <v>1</v>
      </c>
      <c r="N14" s="256">
        <f>ROUND(IF(M14&lt;&gt;0,$BK$4/('全局参数|GlobalPar'!$B$18/10000/E14)/M14,0),6)</f>
        <v>0</v>
      </c>
      <c r="O14" s="259">
        <f t="shared" si="19"/>
        <v>1.8E-3</v>
      </c>
      <c r="P14" s="260">
        <f t="shared" si="20"/>
        <v>0</v>
      </c>
      <c r="Q14" s="277">
        <v>3</v>
      </c>
      <c r="R14" s="278">
        <v>1</v>
      </c>
      <c r="S14" s="279" t="str">
        <f t="shared" si="21"/>
        <v>[[0,1],[0,1],[0,1],[0,1],[0,1],[0,1],[0,1],[0,1],[0,1],[0,1],[0,2],[0,4],[0,6],[0,8],[0,10],[0,20],[0,40],[0,60],[0,80],[0,100]]</v>
      </c>
      <c r="T14" s="63">
        <v>0</v>
      </c>
      <c r="U14" s="281">
        <v>0</v>
      </c>
      <c r="V14" s="280">
        <f t="shared" si="22"/>
        <v>0</v>
      </c>
      <c r="W14" s="280">
        <v>0.06</v>
      </c>
      <c r="X14" s="280">
        <f t="shared" si="102"/>
        <v>0.1</v>
      </c>
      <c r="Y14" s="304">
        <f t="shared" si="127"/>
        <v>0.05</v>
      </c>
      <c r="Z14" s="63" t="str">
        <f t="shared" si="103"/>
        <v>[[1,5],[2,2],[3,1]]</v>
      </c>
      <c r="AA14" s="305" t="str">
        <f t="shared" si="104"/>
        <v>[0.08,0.04,0.026667]</v>
      </c>
      <c r="AB14" s="305">
        <f t="shared" si="105"/>
        <v>4.4999999999999998E-2</v>
      </c>
      <c r="AC14" s="305">
        <v>0</v>
      </c>
      <c r="AD14" s="306">
        <v>4</v>
      </c>
      <c r="AE14" s="63">
        <f t="shared" si="23"/>
        <v>-1</v>
      </c>
      <c r="AF14" s="63">
        <v>0</v>
      </c>
      <c r="AG14" s="39"/>
      <c r="AH14" s="39"/>
      <c r="AI14" s="39">
        <v>1</v>
      </c>
      <c r="AJ14" s="63">
        <v>1</v>
      </c>
      <c r="AK14" s="63">
        <v>1</v>
      </c>
      <c r="AL14" s="63">
        <v>0.5</v>
      </c>
      <c r="AM14" s="63">
        <v>1</v>
      </c>
      <c r="AN14" s="63"/>
      <c r="AO14" s="39"/>
      <c r="AP14" s="39"/>
      <c r="AQ14" s="310">
        <v>0.6</v>
      </c>
      <c r="AR14" s="39">
        <v>12</v>
      </c>
      <c r="AS14" s="39">
        <v>0.18</v>
      </c>
      <c r="AT14" s="39">
        <v>1</v>
      </c>
      <c r="AU14" s="39">
        <v>1</v>
      </c>
      <c r="AV14" s="39" t="s">
        <v>1314</v>
      </c>
      <c r="AW14" s="317" t="s">
        <v>1350</v>
      </c>
      <c r="AX14" s="317" t="s">
        <v>1351</v>
      </c>
      <c r="AY14" s="316" t="s">
        <v>390</v>
      </c>
      <c r="AZ14" s="316" t="s">
        <v>258</v>
      </c>
      <c r="BA14" s="78">
        <f t="shared" si="24"/>
        <v>6.75</v>
      </c>
      <c r="BB14" s="318">
        <f t="shared" si="25"/>
        <v>22.222222222222221</v>
      </c>
      <c r="BC14" s="78" t="s">
        <v>1317</v>
      </c>
      <c r="BD14" s="78">
        <f t="shared" si="26"/>
        <v>0.746</v>
      </c>
      <c r="BE14" s="78"/>
      <c r="BF14" s="63">
        <f t="shared" si="27"/>
        <v>9</v>
      </c>
      <c r="BG14" s="63">
        <f t="shared" si="28"/>
        <v>9.5400000000000009</v>
      </c>
      <c r="BI14" s="63">
        <f t="shared" si="29"/>
        <v>0</v>
      </c>
      <c r="BT14" s="344">
        <f t="shared" si="30"/>
        <v>9.9</v>
      </c>
      <c r="BU14" s="353">
        <f t="shared" si="128"/>
        <v>0.1</v>
      </c>
      <c r="BV14" s="354">
        <v>1</v>
      </c>
      <c r="BW14" s="133">
        <v>5</v>
      </c>
      <c r="BX14" s="354">
        <v>2</v>
      </c>
      <c r="BY14" s="133">
        <v>2</v>
      </c>
      <c r="BZ14" s="354">
        <v>3</v>
      </c>
      <c r="CA14" s="133">
        <v>1</v>
      </c>
      <c r="CB14" s="133">
        <f t="shared" si="106"/>
        <v>1.5</v>
      </c>
      <c r="CC14" s="133">
        <f t="shared" si="107"/>
        <v>7.5</v>
      </c>
      <c r="CD14" s="358">
        <f t="shared" si="31"/>
        <v>0.08</v>
      </c>
      <c r="CE14" s="133">
        <f t="shared" si="32"/>
        <v>15</v>
      </c>
      <c r="CF14" s="359">
        <f t="shared" si="33"/>
        <v>0.04</v>
      </c>
      <c r="CG14" s="133">
        <f t="shared" si="32"/>
        <v>22.5</v>
      </c>
      <c r="CH14" s="360">
        <f t="shared" si="34"/>
        <v>2.6667E-2</v>
      </c>
      <c r="CJ14" s="230">
        <v>2E-3</v>
      </c>
      <c r="CK14" s="387">
        <f t="shared" si="129"/>
        <v>0</v>
      </c>
      <c r="CL14" s="259">
        <f t="shared" si="35"/>
        <v>0</v>
      </c>
      <c r="CM14" s="383">
        <f t="shared" si="36"/>
        <v>0</v>
      </c>
      <c r="CN14" s="383">
        <f t="shared" si="37"/>
        <v>0</v>
      </c>
      <c r="CO14" s="384">
        <f t="shared" si="108"/>
        <v>0</v>
      </c>
      <c r="CP14" s="385">
        <f t="shared" si="38"/>
        <v>0</v>
      </c>
      <c r="CQ14" s="383">
        <f t="shared" si="39"/>
        <v>0</v>
      </c>
      <c r="CR14" s="386" t="e">
        <f t="shared" si="40"/>
        <v>#DIV/0!</v>
      </c>
      <c r="CS14" s="407">
        <f t="shared" si="109"/>
        <v>3</v>
      </c>
      <c r="CT14" s="408">
        <f t="shared" si="110"/>
        <v>1</v>
      </c>
      <c r="CU14" s="279"/>
      <c r="CV14" s="277">
        <v>3</v>
      </c>
      <c r="CW14" s="278">
        <v>1</v>
      </c>
      <c r="CY14" s="410"/>
      <c r="DD14" s="414"/>
      <c r="DE14" s="407">
        <v>0</v>
      </c>
      <c r="DF14" s="259">
        <v>1</v>
      </c>
      <c r="DG14" s="414">
        <f t="shared" si="41"/>
        <v>0</v>
      </c>
      <c r="DH14" s="407">
        <f t="shared" si="42"/>
        <v>0</v>
      </c>
      <c r="DI14" s="259">
        <f t="shared" si="111"/>
        <v>1</v>
      </c>
      <c r="DJ14" s="414">
        <f t="shared" si="44"/>
        <v>0</v>
      </c>
      <c r="DK14" s="407">
        <f t="shared" si="45"/>
        <v>0</v>
      </c>
      <c r="DL14" s="259">
        <f t="shared" si="112"/>
        <v>1</v>
      </c>
      <c r="DM14" s="414">
        <f t="shared" si="47"/>
        <v>0</v>
      </c>
      <c r="DN14" s="407">
        <f t="shared" si="113"/>
        <v>0</v>
      </c>
      <c r="DO14" s="259">
        <f t="shared" si="114"/>
        <v>1</v>
      </c>
      <c r="DP14" s="414">
        <f t="shared" si="50"/>
        <v>0</v>
      </c>
      <c r="DQ14" s="407">
        <f t="shared" si="115"/>
        <v>0</v>
      </c>
      <c r="DR14" s="259">
        <f t="shared" si="116"/>
        <v>1</v>
      </c>
      <c r="DS14" s="414">
        <f t="shared" si="53"/>
        <v>0</v>
      </c>
      <c r="DT14" s="407">
        <f t="shared" si="117"/>
        <v>0</v>
      </c>
      <c r="DU14" s="259">
        <f t="shared" si="118"/>
        <v>1</v>
      </c>
      <c r="DV14" s="414">
        <f t="shared" si="56"/>
        <v>0</v>
      </c>
      <c r="DW14" s="407">
        <f t="shared" si="119"/>
        <v>0</v>
      </c>
      <c r="DX14" s="259">
        <f t="shared" si="120"/>
        <v>1</v>
      </c>
      <c r="DY14" s="414">
        <f t="shared" si="59"/>
        <v>0</v>
      </c>
      <c r="DZ14" s="407">
        <f t="shared" si="121"/>
        <v>0</v>
      </c>
      <c r="EA14" s="259">
        <f t="shared" si="122"/>
        <v>1</v>
      </c>
      <c r="EB14" s="414">
        <f t="shared" si="62"/>
        <v>0</v>
      </c>
      <c r="EC14" s="407">
        <f t="shared" si="123"/>
        <v>0</v>
      </c>
      <c r="ED14" s="259">
        <f t="shared" si="124"/>
        <v>1</v>
      </c>
      <c r="EE14" s="414">
        <f t="shared" si="65"/>
        <v>0</v>
      </c>
      <c r="EF14" s="407">
        <f t="shared" si="125"/>
        <v>0</v>
      </c>
      <c r="EG14" s="259">
        <f t="shared" si="126"/>
        <v>1</v>
      </c>
      <c r="EH14" s="414">
        <f t="shared" si="68"/>
        <v>0</v>
      </c>
      <c r="EI14" s="407">
        <f t="shared" si="69"/>
        <v>0</v>
      </c>
      <c r="EJ14" s="259">
        <f t="shared" si="70"/>
        <v>2</v>
      </c>
      <c r="EK14" s="414">
        <f t="shared" si="71"/>
        <v>0</v>
      </c>
      <c r="EL14" s="407">
        <f t="shared" si="72"/>
        <v>0</v>
      </c>
      <c r="EM14" s="259">
        <f t="shared" si="73"/>
        <v>4</v>
      </c>
      <c r="EN14" s="414">
        <f t="shared" si="74"/>
        <v>0</v>
      </c>
      <c r="EO14" s="407">
        <f t="shared" si="75"/>
        <v>0</v>
      </c>
      <c r="EP14" s="259">
        <f t="shared" si="76"/>
        <v>6</v>
      </c>
      <c r="EQ14" s="414">
        <f t="shared" si="77"/>
        <v>0</v>
      </c>
      <c r="ER14" s="407">
        <f t="shared" si="78"/>
        <v>0</v>
      </c>
      <c r="ES14" s="259">
        <f t="shared" si="79"/>
        <v>8</v>
      </c>
      <c r="ET14" s="414">
        <f t="shared" si="80"/>
        <v>0</v>
      </c>
      <c r="EU14" s="407">
        <f t="shared" si="81"/>
        <v>0</v>
      </c>
      <c r="EV14" s="259">
        <f t="shared" si="82"/>
        <v>10</v>
      </c>
      <c r="EW14" s="414">
        <f t="shared" si="83"/>
        <v>0</v>
      </c>
      <c r="EX14" s="407">
        <f t="shared" si="84"/>
        <v>0</v>
      </c>
      <c r="EY14" s="259">
        <f t="shared" si="85"/>
        <v>20</v>
      </c>
      <c r="EZ14" s="414">
        <f t="shared" si="86"/>
        <v>0</v>
      </c>
      <c r="FA14" s="407">
        <f t="shared" si="87"/>
        <v>0</v>
      </c>
      <c r="FB14" s="259">
        <f t="shared" si="88"/>
        <v>40</v>
      </c>
      <c r="FC14" s="414">
        <f t="shared" si="89"/>
        <v>0</v>
      </c>
      <c r="FD14" s="407">
        <f t="shared" si="90"/>
        <v>0</v>
      </c>
      <c r="FE14" s="259">
        <f t="shared" si="91"/>
        <v>60</v>
      </c>
      <c r="FF14" s="414">
        <f t="shared" si="92"/>
        <v>0</v>
      </c>
      <c r="FG14" s="407">
        <f t="shared" si="93"/>
        <v>0</v>
      </c>
      <c r="FH14" s="259">
        <f t="shared" si="94"/>
        <v>80</v>
      </c>
      <c r="FI14" s="414">
        <f t="shared" si="95"/>
        <v>0</v>
      </c>
      <c r="FJ14" s="407">
        <f t="shared" si="96"/>
        <v>0</v>
      </c>
      <c r="FK14" s="259">
        <f t="shared" si="97"/>
        <v>100</v>
      </c>
      <c r="FL14" s="414">
        <f t="shared" si="98"/>
        <v>0</v>
      </c>
      <c r="FP14" s="421">
        <f t="shared" si="99"/>
        <v>0</v>
      </c>
      <c r="FQ14" s="421">
        <f t="shared" si="99"/>
        <v>0</v>
      </c>
      <c r="FR14" s="421">
        <f t="shared" si="99"/>
        <v>0</v>
      </c>
      <c r="FS14" s="421">
        <f t="shared" si="99"/>
        <v>3.7499999999999997E-5</v>
      </c>
      <c r="FT14" s="421">
        <f t="shared" si="99"/>
        <v>4.6875000000000001E-5</v>
      </c>
      <c r="FU14" s="421">
        <f t="shared" si="99"/>
        <v>9.3750000000000002E-5</v>
      </c>
      <c r="FV14" s="421">
        <f t="shared" si="99"/>
        <v>1.875E-4</v>
      </c>
      <c r="FW14" s="421">
        <f t="shared" si="99"/>
        <v>2.8124999999999998E-4</v>
      </c>
      <c r="FX14" s="421">
        <f t="shared" si="99"/>
        <v>3.7500000000000001E-4</v>
      </c>
      <c r="FY14" s="421">
        <f t="shared" si="99"/>
        <v>4.6874999999999998E-4</v>
      </c>
      <c r="FZ14" s="421">
        <f t="shared" si="100"/>
        <v>9.3749999999999997E-4</v>
      </c>
      <c r="GA14" s="421">
        <f t="shared" si="100"/>
        <v>1.8749999999999999E-3</v>
      </c>
      <c r="GB14" s="421">
        <f t="shared" si="100"/>
        <v>2.5312500000000001E-3</v>
      </c>
      <c r="GC14" s="421">
        <f t="shared" si="100"/>
        <v>3.0000000000000001E-3</v>
      </c>
      <c r="GD14" s="421">
        <f t="shared" si="100"/>
        <v>3.7499999999999999E-3</v>
      </c>
      <c r="GE14" s="421">
        <f t="shared" si="100"/>
        <v>4.6874999999999998E-3</v>
      </c>
      <c r="GF14" s="421">
        <f t="shared" si="100"/>
        <v>9.3749999999999997E-3</v>
      </c>
      <c r="GG14" s="421">
        <f t="shared" si="100"/>
        <v>1.40625E-2</v>
      </c>
      <c r="GH14" s="421">
        <f t="shared" si="100"/>
        <v>1.8749999999999999E-2</v>
      </c>
      <c r="GI14" s="421">
        <f t="shared" si="100"/>
        <v>1.8749999999999999E-2</v>
      </c>
      <c r="GK14" s="1">
        <v>9</v>
      </c>
      <c r="GL14" s="6">
        <v>25</v>
      </c>
    </row>
    <row r="15" spans="1:211" ht="16.2" x14ac:dyDescent="0.4">
      <c r="A15" s="63">
        <v>11</v>
      </c>
      <c r="B15" s="242" t="s">
        <v>1352</v>
      </c>
      <c r="C15" s="63">
        <v>1</v>
      </c>
      <c r="D15" s="63">
        <v>-1</v>
      </c>
      <c r="E15" s="63">
        <v>10</v>
      </c>
      <c r="F15" s="63">
        <f t="shared" si="16"/>
        <v>10</v>
      </c>
      <c r="G15" s="63">
        <f t="shared" si="101"/>
        <v>10</v>
      </c>
      <c r="H15" s="63"/>
      <c r="I15" s="63">
        <v>0</v>
      </c>
      <c r="J15" s="63">
        <f t="shared" si="18"/>
        <v>0</v>
      </c>
      <c r="K15" s="63">
        <v>0</v>
      </c>
      <c r="L15" s="254">
        <f>ROUND($BK$7/('全局参数|GlobalPar'!$B$18/10000/E15),6)*(7/5)</f>
        <v>6.9439999999999997E-3</v>
      </c>
      <c r="M15" s="255">
        <v>1</v>
      </c>
      <c r="N15" s="256">
        <f>ROUND(IF(M15&lt;&gt;0,$BK$4/('全局参数|GlobalPar'!$B$18/10000/E15)/M15,0),6)</f>
        <v>0</v>
      </c>
      <c r="O15" s="259">
        <f t="shared" si="19"/>
        <v>2E-3</v>
      </c>
      <c r="P15" s="260">
        <f t="shared" si="20"/>
        <v>0</v>
      </c>
      <c r="Q15" s="277">
        <v>3</v>
      </c>
      <c r="R15" s="278">
        <v>1</v>
      </c>
      <c r="S15" s="279" t="str">
        <f t="shared" si="21"/>
        <v>[[0,1],[0,1],[0,1],[0,1],[0,1],[0,1],[0,1],[0,1],[0,1],[0,1],[0,2],[0,4],[0,6],[0,8],[0,10],[0,20],[0,40],[0,60],[0,80],[0,100]]</v>
      </c>
      <c r="T15" s="63">
        <v>0</v>
      </c>
      <c r="U15" s="281">
        <v>0</v>
      </c>
      <c r="V15" s="280">
        <f t="shared" si="22"/>
        <v>0</v>
      </c>
      <c r="W15" s="280">
        <v>0.06</v>
      </c>
      <c r="X15" s="280">
        <f t="shared" si="102"/>
        <v>0.1</v>
      </c>
      <c r="Y15" s="304">
        <f t="shared" si="127"/>
        <v>0.05</v>
      </c>
      <c r="Z15" s="63" t="str">
        <f t="shared" si="103"/>
        <v>[[1,5],[2,2],[3,1]]</v>
      </c>
      <c r="AA15" s="305" t="str">
        <f t="shared" si="104"/>
        <v>[0.088889,0.044444,0.02963]</v>
      </c>
      <c r="AB15" s="305">
        <f t="shared" si="105"/>
        <v>0.05</v>
      </c>
      <c r="AC15" s="305">
        <v>0</v>
      </c>
      <c r="AD15" s="306">
        <v>5</v>
      </c>
      <c r="AE15" s="63">
        <f t="shared" si="23"/>
        <v>-1</v>
      </c>
      <c r="AF15" s="63">
        <v>0</v>
      </c>
      <c r="AG15" s="63"/>
      <c r="AH15" s="39"/>
      <c r="AI15" s="39">
        <v>1</v>
      </c>
      <c r="AJ15" s="63">
        <v>1</v>
      </c>
      <c r="AK15" s="63">
        <v>1</v>
      </c>
      <c r="AL15" s="63">
        <v>0.5</v>
      </c>
      <c r="AM15" s="63">
        <v>1</v>
      </c>
      <c r="AN15" s="63"/>
      <c r="AO15" s="39"/>
      <c r="AP15" s="39"/>
      <c r="AQ15" s="310">
        <v>0.6</v>
      </c>
      <c r="AR15" s="39">
        <v>14</v>
      </c>
      <c r="AS15" s="39">
        <v>0.18</v>
      </c>
      <c r="AT15" s="39">
        <v>0.8</v>
      </c>
      <c r="AU15" s="39">
        <v>1</v>
      </c>
      <c r="AV15" s="39" t="s">
        <v>1314</v>
      </c>
      <c r="AW15" s="317" t="s">
        <v>1353</v>
      </c>
      <c r="AX15" s="317" t="s">
        <v>1354</v>
      </c>
      <c r="AY15" s="316" t="s">
        <v>1355</v>
      </c>
      <c r="AZ15" s="316" t="s">
        <v>258</v>
      </c>
      <c r="BA15" s="78">
        <f t="shared" si="24"/>
        <v>7.5</v>
      </c>
      <c r="BB15" s="318">
        <f t="shared" si="25"/>
        <v>20</v>
      </c>
      <c r="BC15" s="78" t="s">
        <v>1317</v>
      </c>
      <c r="BD15" s="78">
        <f t="shared" si="26"/>
        <v>0.746</v>
      </c>
      <c r="BE15" s="78"/>
      <c r="BF15" s="63">
        <f t="shared" si="27"/>
        <v>10</v>
      </c>
      <c r="BG15" s="63">
        <f t="shared" si="28"/>
        <v>10.600000000000001</v>
      </c>
      <c r="BI15" s="63">
        <f t="shared" si="29"/>
        <v>0</v>
      </c>
      <c r="BO15"/>
      <c r="BT15" s="344">
        <f t="shared" si="30"/>
        <v>11</v>
      </c>
      <c r="BU15" s="353">
        <f t="shared" si="128"/>
        <v>0.1</v>
      </c>
      <c r="BV15" s="354">
        <v>1</v>
      </c>
      <c r="BW15" s="133">
        <v>5</v>
      </c>
      <c r="BX15" s="354">
        <v>2</v>
      </c>
      <c r="BY15" s="133">
        <v>2</v>
      </c>
      <c r="BZ15" s="354">
        <v>3</v>
      </c>
      <c r="CA15" s="133">
        <v>1</v>
      </c>
      <c r="CB15" s="133">
        <f t="shared" si="106"/>
        <v>1.5</v>
      </c>
      <c r="CC15" s="133">
        <f t="shared" si="107"/>
        <v>7.5</v>
      </c>
      <c r="CD15" s="358">
        <f t="shared" si="31"/>
        <v>8.8888999999999996E-2</v>
      </c>
      <c r="CE15" s="133">
        <f t="shared" si="32"/>
        <v>15</v>
      </c>
      <c r="CF15" s="359">
        <f t="shared" si="33"/>
        <v>4.4443999999999997E-2</v>
      </c>
      <c r="CG15" s="133">
        <f t="shared" si="32"/>
        <v>22.5</v>
      </c>
      <c r="CH15" s="360">
        <f t="shared" si="34"/>
        <v>2.963E-2</v>
      </c>
      <c r="CJ15" s="229">
        <v>2E-3</v>
      </c>
      <c r="CK15" s="387">
        <f t="shared" si="129"/>
        <v>0</v>
      </c>
      <c r="CL15" s="259">
        <f t="shared" si="35"/>
        <v>0</v>
      </c>
      <c r="CM15" s="383">
        <f t="shared" si="36"/>
        <v>0</v>
      </c>
      <c r="CN15" s="383">
        <f t="shared" si="37"/>
        <v>0</v>
      </c>
      <c r="CO15" s="384">
        <f t="shared" si="108"/>
        <v>0</v>
      </c>
      <c r="CP15" s="385">
        <f t="shared" si="38"/>
        <v>0</v>
      </c>
      <c r="CQ15" s="383">
        <f t="shared" si="39"/>
        <v>0</v>
      </c>
      <c r="CR15" s="386" t="e">
        <f t="shared" si="40"/>
        <v>#DIV/0!</v>
      </c>
      <c r="CS15" s="407">
        <f t="shared" si="109"/>
        <v>3</v>
      </c>
      <c r="CT15" s="408">
        <f t="shared" si="110"/>
        <v>1</v>
      </c>
      <c r="CU15" s="279"/>
      <c r="CV15" s="277">
        <v>3</v>
      </c>
      <c r="CW15" s="278">
        <v>1</v>
      </c>
      <c r="CY15" s="411"/>
      <c r="CZ15" s="230"/>
      <c r="DD15" s="414"/>
      <c r="DE15" s="407">
        <v>0</v>
      </c>
      <c r="DF15" s="259">
        <v>1</v>
      </c>
      <c r="DG15" s="414">
        <f t="shared" si="41"/>
        <v>0</v>
      </c>
      <c r="DH15" s="407">
        <f t="shared" si="42"/>
        <v>0</v>
      </c>
      <c r="DI15" s="259">
        <f t="shared" si="111"/>
        <v>1</v>
      </c>
      <c r="DJ15" s="414">
        <f t="shared" si="44"/>
        <v>0</v>
      </c>
      <c r="DK15" s="407">
        <f t="shared" si="45"/>
        <v>0</v>
      </c>
      <c r="DL15" s="259">
        <f t="shared" si="112"/>
        <v>1</v>
      </c>
      <c r="DM15" s="414">
        <f t="shared" si="47"/>
        <v>0</v>
      </c>
      <c r="DN15" s="407">
        <f t="shared" si="113"/>
        <v>0</v>
      </c>
      <c r="DO15" s="259">
        <f t="shared" si="114"/>
        <v>1</v>
      </c>
      <c r="DP15" s="414">
        <f t="shared" si="50"/>
        <v>0</v>
      </c>
      <c r="DQ15" s="407">
        <f t="shared" si="115"/>
        <v>0</v>
      </c>
      <c r="DR15" s="259">
        <f t="shared" si="116"/>
        <v>1</v>
      </c>
      <c r="DS15" s="414">
        <f t="shared" si="53"/>
        <v>0</v>
      </c>
      <c r="DT15" s="407">
        <f t="shared" si="117"/>
        <v>0</v>
      </c>
      <c r="DU15" s="259">
        <f t="shared" si="118"/>
        <v>1</v>
      </c>
      <c r="DV15" s="414">
        <f t="shared" si="56"/>
        <v>0</v>
      </c>
      <c r="DW15" s="407">
        <f t="shared" si="119"/>
        <v>0</v>
      </c>
      <c r="DX15" s="259">
        <f t="shared" si="120"/>
        <v>1</v>
      </c>
      <c r="DY15" s="414">
        <f t="shared" si="59"/>
        <v>0</v>
      </c>
      <c r="DZ15" s="407">
        <f t="shared" si="121"/>
        <v>0</v>
      </c>
      <c r="EA15" s="259">
        <f t="shared" si="122"/>
        <v>1</v>
      </c>
      <c r="EB15" s="414">
        <f t="shared" si="62"/>
        <v>0</v>
      </c>
      <c r="EC15" s="407">
        <f t="shared" si="123"/>
        <v>0</v>
      </c>
      <c r="ED15" s="259">
        <f t="shared" si="124"/>
        <v>1</v>
      </c>
      <c r="EE15" s="414">
        <f t="shared" si="65"/>
        <v>0</v>
      </c>
      <c r="EF15" s="407">
        <f t="shared" si="125"/>
        <v>0</v>
      </c>
      <c r="EG15" s="259">
        <f t="shared" si="126"/>
        <v>1</v>
      </c>
      <c r="EH15" s="414">
        <f t="shared" si="68"/>
        <v>0</v>
      </c>
      <c r="EI15" s="407">
        <f t="shared" si="69"/>
        <v>0</v>
      </c>
      <c r="EJ15" s="259">
        <f t="shared" si="70"/>
        <v>2</v>
      </c>
      <c r="EK15" s="414">
        <f t="shared" si="71"/>
        <v>0</v>
      </c>
      <c r="EL15" s="407">
        <f t="shared" si="72"/>
        <v>0</v>
      </c>
      <c r="EM15" s="259">
        <f t="shared" si="73"/>
        <v>4</v>
      </c>
      <c r="EN15" s="414">
        <f t="shared" si="74"/>
        <v>0</v>
      </c>
      <c r="EO15" s="407">
        <f t="shared" si="75"/>
        <v>0</v>
      </c>
      <c r="EP15" s="259">
        <f t="shared" si="76"/>
        <v>6</v>
      </c>
      <c r="EQ15" s="414">
        <f t="shared" si="77"/>
        <v>0</v>
      </c>
      <c r="ER15" s="407">
        <f t="shared" si="78"/>
        <v>0</v>
      </c>
      <c r="ES15" s="259">
        <f t="shared" si="79"/>
        <v>8</v>
      </c>
      <c r="ET15" s="414">
        <f t="shared" si="80"/>
        <v>0</v>
      </c>
      <c r="EU15" s="407">
        <f t="shared" si="81"/>
        <v>0</v>
      </c>
      <c r="EV15" s="259">
        <f t="shared" si="82"/>
        <v>10</v>
      </c>
      <c r="EW15" s="414">
        <f t="shared" si="83"/>
        <v>0</v>
      </c>
      <c r="EX15" s="407">
        <f t="shared" si="84"/>
        <v>0</v>
      </c>
      <c r="EY15" s="259">
        <f t="shared" si="85"/>
        <v>20</v>
      </c>
      <c r="EZ15" s="414">
        <f t="shared" si="86"/>
        <v>0</v>
      </c>
      <c r="FA15" s="407">
        <f t="shared" si="87"/>
        <v>0</v>
      </c>
      <c r="FB15" s="259">
        <f t="shared" si="88"/>
        <v>40</v>
      </c>
      <c r="FC15" s="414">
        <f t="shared" si="89"/>
        <v>0</v>
      </c>
      <c r="FD15" s="407">
        <f t="shared" si="90"/>
        <v>0</v>
      </c>
      <c r="FE15" s="259">
        <f t="shared" si="91"/>
        <v>60</v>
      </c>
      <c r="FF15" s="414">
        <f t="shared" si="92"/>
        <v>0</v>
      </c>
      <c r="FG15" s="407">
        <f t="shared" si="93"/>
        <v>0</v>
      </c>
      <c r="FH15" s="259">
        <f t="shared" si="94"/>
        <v>80</v>
      </c>
      <c r="FI15" s="414">
        <f t="shared" si="95"/>
        <v>0</v>
      </c>
      <c r="FJ15" s="407">
        <f t="shared" si="96"/>
        <v>0</v>
      </c>
      <c r="FK15" s="259">
        <f t="shared" si="97"/>
        <v>100</v>
      </c>
      <c r="FL15" s="414">
        <f t="shared" si="98"/>
        <v>0</v>
      </c>
      <c r="FP15" s="421">
        <f t="shared" ref="FP15:FY24" si="130">$Y15*FP$4/10000*$E15*FP$3/$FX$1</f>
        <v>0</v>
      </c>
      <c r="FQ15" s="421">
        <f t="shared" si="130"/>
        <v>0</v>
      </c>
      <c r="FR15" s="421">
        <f t="shared" si="130"/>
        <v>0</v>
      </c>
      <c r="FS15" s="421">
        <f t="shared" si="130"/>
        <v>4.1666666666666665E-5</v>
      </c>
      <c r="FT15" s="421">
        <f t="shared" si="130"/>
        <v>5.2083333333333337E-5</v>
      </c>
      <c r="FU15" s="421">
        <f t="shared" si="130"/>
        <v>1.0416666666666667E-4</v>
      </c>
      <c r="FV15" s="421">
        <f t="shared" si="130"/>
        <v>2.0833333333333335E-4</v>
      </c>
      <c r="FW15" s="421">
        <f t="shared" si="130"/>
        <v>3.1250000000000001E-4</v>
      </c>
      <c r="FX15" s="421">
        <f t="shared" si="130"/>
        <v>4.1666666666666669E-4</v>
      </c>
      <c r="FY15" s="421">
        <f t="shared" si="130"/>
        <v>5.2083333333333333E-4</v>
      </c>
      <c r="FZ15" s="421">
        <f t="shared" ref="FZ15:GI24" si="131">$Y15*FZ$4/10000*$E15*FZ$3/$FX$1</f>
        <v>1.0416666666666667E-3</v>
      </c>
      <c r="GA15" s="421">
        <f t="shared" si="131"/>
        <v>2.0833333333333333E-3</v>
      </c>
      <c r="GB15" s="421">
        <f t="shared" si="131"/>
        <v>2.8124999999999995E-3</v>
      </c>
      <c r="GC15" s="421">
        <f t="shared" si="131"/>
        <v>3.3333333333333335E-3</v>
      </c>
      <c r="GD15" s="421">
        <f t="shared" si="131"/>
        <v>4.1666666666666666E-3</v>
      </c>
      <c r="GE15" s="421">
        <f t="shared" si="131"/>
        <v>5.208333333333333E-3</v>
      </c>
      <c r="GF15" s="421">
        <f t="shared" si="131"/>
        <v>1.0416666666666666E-2</v>
      </c>
      <c r="GG15" s="421">
        <f t="shared" si="131"/>
        <v>1.5625E-2</v>
      </c>
      <c r="GH15" s="421">
        <f t="shared" si="131"/>
        <v>2.0833333333333332E-2</v>
      </c>
      <c r="GI15" s="421">
        <f t="shared" si="131"/>
        <v>2.0833333333333332E-2</v>
      </c>
      <c r="GK15" s="1">
        <v>10</v>
      </c>
      <c r="GL15" s="6">
        <v>30</v>
      </c>
    </row>
    <row r="16" spans="1:211" ht="16.2" x14ac:dyDescent="0.4">
      <c r="A16" s="63">
        <v>12</v>
      </c>
      <c r="B16" s="242" t="s">
        <v>1356</v>
      </c>
      <c r="C16" s="63">
        <v>1</v>
      </c>
      <c r="D16" s="63">
        <v>-1</v>
      </c>
      <c r="E16" s="63">
        <v>12</v>
      </c>
      <c r="F16" s="63">
        <f t="shared" si="16"/>
        <v>12</v>
      </c>
      <c r="G16" s="63">
        <f t="shared" si="101"/>
        <v>12</v>
      </c>
      <c r="H16" s="63"/>
      <c r="I16" s="63">
        <f t="shared" ref="I16:I29" si="132">ROUND(IF(C16=4,E16*10%,0),0)</f>
        <v>0</v>
      </c>
      <c r="J16" s="63">
        <f t="shared" si="18"/>
        <v>0</v>
      </c>
      <c r="K16" s="63">
        <v>0</v>
      </c>
      <c r="L16" s="254">
        <f>ROUND($BK$7/('全局参数|GlobalPar'!$B$18/10000/E16),6)*(7/5)</f>
        <v>8.3327999999999996E-3</v>
      </c>
      <c r="M16" s="255">
        <v>1</v>
      </c>
      <c r="N16" s="256">
        <f>ROUND(IF(M16&lt;&gt;0,$BK$4/('全局参数|GlobalPar'!$B$18/10000/E16)/M16,0),6)</f>
        <v>0</v>
      </c>
      <c r="O16" s="259">
        <f t="shared" si="19"/>
        <v>2.3999999999999998E-3</v>
      </c>
      <c r="P16" s="260">
        <f t="shared" si="20"/>
        <v>0</v>
      </c>
      <c r="Q16" s="277">
        <v>3</v>
      </c>
      <c r="R16" s="278">
        <v>1</v>
      </c>
      <c r="S16" s="279" t="str">
        <f t="shared" si="21"/>
        <v>[[0,1],[0,1],[0,1],[0,1],[0,1],[0,1],[0,1],[0,1],[0,1],[0,1],[0,2],[0,4],[0,6],[0,8],[0,10],[0,20],[0,40],[0,60],[0,80],[0,100]]</v>
      </c>
      <c r="T16" s="63">
        <v>0</v>
      </c>
      <c r="U16" s="281">
        <v>0</v>
      </c>
      <c r="V16" s="280">
        <f t="shared" si="22"/>
        <v>0</v>
      </c>
      <c r="W16" s="280">
        <v>0.06</v>
      </c>
      <c r="X16" s="280">
        <f t="shared" si="102"/>
        <v>0.1</v>
      </c>
      <c r="Y16" s="304">
        <f t="shared" si="127"/>
        <v>0.05</v>
      </c>
      <c r="Z16" s="63" t="str">
        <f t="shared" si="103"/>
        <v>[[1,5],[2,2],[3,1]]</v>
      </c>
      <c r="AA16" s="305" t="str">
        <f t="shared" si="104"/>
        <v>[0.106667,0.053333,0.035556]</v>
      </c>
      <c r="AB16" s="305">
        <f t="shared" si="105"/>
        <v>0.06</v>
      </c>
      <c r="AC16" s="305">
        <v>0</v>
      </c>
      <c r="AD16" s="306">
        <v>5</v>
      </c>
      <c r="AE16" s="63">
        <f t="shared" si="23"/>
        <v>-1</v>
      </c>
      <c r="AF16" s="63">
        <v>0</v>
      </c>
      <c r="AG16" s="39"/>
      <c r="AH16" s="39"/>
      <c r="AI16" s="39">
        <v>1</v>
      </c>
      <c r="AJ16" s="63">
        <v>1</v>
      </c>
      <c r="AK16" s="63">
        <v>1</v>
      </c>
      <c r="AL16" s="63">
        <v>0.5</v>
      </c>
      <c r="AM16" s="63">
        <v>1</v>
      </c>
      <c r="AN16" s="63"/>
      <c r="AO16" s="39"/>
      <c r="AP16" s="39"/>
      <c r="AQ16" s="310">
        <v>0.6</v>
      </c>
      <c r="AR16" s="39">
        <v>16</v>
      </c>
      <c r="AS16" s="39">
        <v>0.18</v>
      </c>
      <c r="AT16" s="39">
        <v>1</v>
      </c>
      <c r="AU16" s="39">
        <v>1</v>
      </c>
      <c r="AV16" s="39" t="s">
        <v>1314</v>
      </c>
      <c r="AW16" s="317" t="s">
        <v>1357</v>
      </c>
      <c r="AX16" s="317" t="s">
        <v>1358</v>
      </c>
      <c r="AY16" s="316" t="s">
        <v>372</v>
      </c>
      <c r="AZ16" s="316" t="s">
        <v>258</v>
      </c>
      <c r="BA16" s="78">
        <f t="shared" si="24"/>
        <v>9</v>
      </c>
      <c r="BB16" s="318">
        <f t="shared" si="25"/>
        <v>16.666666666666668</v>
      </c>
      <c r="BC16" s="78" t="s">
        <v>1317</v>
      </c>
      <c r="BD16" s="78">
        <f t="shared" si="26"/>
        <v>0.746</v>
      </c>
      <c r="BE16" s="78"/>
      <c r="BF16" s="63">
        <f t="shared" si="27"/>
        <v>12</v>
      </c>
      <c r="BG16" s="63">
        <f t="shared" si="28"/>
        <v>12.72</v>
      </c>
      <c r="BI16" s="63">
        <f t="shared" si="29"/>
        <v>0</v>
      </c>
      <c r="BT16" s="344">
        <f t="shared" si="30"/>
        <v>13.200000000000001</v>
      </c>
      <c r="BU16" s="353">
        <f t="shared" si="128"/>
        <v>0.1</v>
      </c>
      <c r="BV16" s="354">
        <v>1</v>
      </c>
      <c r="BW16" s="133">
        <v>5</v>
      </c>
      <c r="BX16" s="354">
        <v>2</v>
      </c>
      <c r="BY16" s="133">
        <v>2</v>
      </c>
      <c r="BZ16" s="354">
        <v>3</v>
      </c>
      <c r="CA16" s="133">
        <v>1</v>
      </c>
      <c r="CB16" s="133">
        <f t="shared" si="106"/>
        <v>1.5</v>
      </c>
      <c r="CC16" s="133">
        <f t="shared" si="107"/>
        <v>7.5</v>
      </c>
      <c r="CD16" s="358">
        <f t="shared" si="31"/>
        <v>0.106667</v>
      </c>
      <c r="CE16" s="133">
        <f t="shared" si="32"/>
        <v>15</v>
      </c>
      <c r="CF16" s="359">
        <f t="shared" si="33"/>
        <v>5.3332999999999998E-2</v>
      </c>
      <c r="CG16" s="133">
        <f t="shared" si="32"/>
        <v>22.5</v>
      </c>
      <c r="CH16" s="360">
        <f t="shared" si="34"/>
        <v>3.5555999999999997E-2</v>
      </c>
      <c r="CJ16" s="229">
        <v>2E-3</v>
      </c>
      <c r="CK16" s="387">
        <f t="shared" si="129"/>
        <v>0</v>
      </c>
      <c r="CL16" s="259">
        <f t="shared" si="35"/>
        <v>0</v>
      </c>
      <c r="CM16" s="383">
        <f t="shared" si="36"/>
        <v>0</v>
      </c>
      <c r="CN16" s="383">
        <f t="shared" si="37"/>
        <v>0</v>
      </c>
      <c r="CO16" s="384">
        <f t="shared" si="108"/>
        <v>0</v>
      </c>
      <c r="CP16" s="385">
        <f t="shared" si="38"/>
        <v>0</v>
      </c>
      <c r="CQ16" s="383">
        <f t="shared" si="39"/>
        <v>0</v>
      </c>
      <c r="CR16" s="386" t="e">
        <f t="shared" si="40"/>
        <v>#DIV/0!</v>
      </c>
      <c r="CS16" s="407">
        <f t="shared" si="109"/>
        <v>3</v>
      </c>
      <c r="CT16" s="408">
        <f t="shared" si="110"/>
        <v>1</v>
      </c>
      <c r="CU16" s="279"/>
      <c r="CV16" s="277">
        <v>3</v>
      </c>
      <c r="CW16" s="278">
        <v>1</v>
      </c>
      <c r="CY16" s="411"/>
      <c r="CZ16" s="230"/>
      <c r="DD16" s="414"/>
      <c r="DE16" s="407">
        <v>0</v>
      </c>
      <c r="DF16" s="259">
        <v>1</v>
      </c>
      <c r="DG16" s="414">
        <f t="shared" si="41"/>
        <v>0</v>
      </c>
      <c r="DH16" s="407">
        <f t="shared" si="42"/>
        <v>0</v>
      </c>
      <c r="DI16" s="259">
        <f t="shared" si="111"/>
        <v>1</v>
      </c>
      <c r="DJ16" s="414">
        <f t="shared" si="44"/>
        <v>0</v>
      </c>
      <c r="DK16" s="407">
        <f t="shared" si="45"/>
        <v>0</v>
      </c>
      <c r="DL16" s="259">
        <f t="shared" si="112"/>
        <v>1</v>
      </c>
      <c r="DM16" s="414">
        <f t="shared" si="47"/>
        <v>0</v>
      </c>
      <c r="DN16" s="407">
        <f t="shared" si="113"/>
        <v>0</v>
      </c>
      <c r="DO16" s="259">
        <f t="shared" si="114"/>
        <v>1</v>
      </c>
      <c r="DP16" s="414">
        <f t="shared" si="50"/>
        <v>0</v>
      </c>
      <c r="DQ16" s="407">
        <f t="shared" si="115"/>
        <v>0</v>
      </c>
      <c r="DR16" s="259">
        <f t="shared" si="116"/>
        <v>1</v>
      </c>
      <c r="DS16" s="414">
        <f t="shared" si="53"/>
        <v>0</v>
      </c>
      <c r="DT16" s="407">
        <f t="shared" si="117"/>
        <v>0</v>
      </c>
      <c r="DU16" s="259">
        <f t="shared" si="118"/>
        <v>1</v>
      </c>
      <c r="DV16" s="414">
        <f t="shared" si="56"/>
        <v>0</v>
      </c>
      <c r="DW16" s="407">
        <f t="shared" si="119"/>
        <v>0</v>
      </c>
      <c r="DX16" s="259">
        <f t="shared" si="120"/>
        <v>1</v>
      </c>
      <c r="DY16" s="414">
        <f t="shared" si="59"/>
        <v>0</v>
      </c>
      <c r="DZ16" s="407">
        <f t="shared" si="121"/>
        <v>0</v>
      </c>
      <c r="EA16" s="259">
        <f t="shared" si="122"/>
        <v>1</v>
      </c>
      <c r="EB16" s="414">
        <f t="shared" si="62"/>
        <v>0</v>
      </c>
      <c r="EC16" s="407">
        <f t="shared" si="123"/>
        <v>0</v>
      </c>
      <c r="ED16" s="259">
        <f t="shared" si="124"/>
        <v>1</v>
      </c>
      <c r="EE16" s="414">
        <f t="shared" si="65"/>
        <v>0</v>
      </c>
      <c r="EF16" s="407">
        <f t="shared" si="125"/>
        <v>0</v>
      </c>
      <c r="EG16" s="259">
        <f t="shared" si="126"/>
        <v>1</v>
      </c>
      <c r="EH16" s="414">
        <f t="shared" si="68"/>
        <v>0</v>
      </c>
      <c r="EI16" s="407">
        <f t="shared" si="69"/>
        <v>0</v>
      </c>
      <c r="EJ16" s="259">
        <f t="shared" si="70"/>
        <v>2</v>
      </c>
      <c r="EK16" s="414">
        <f t="shared" si="71"/>
        <v>0</v>
      </c>
      <c r="EL16" s="407">
        <f t="shared" si="72"/>
        <v>0</v>
      </c>
      <c r="EM16" s="259">
        <f t="shared" si="73"/>
        <v>4</v>
      </c>
      <c r="EN16" s="414">
        <f t="shared" si="74"/>
        <v>0</v>
      </c>
      <c r="EO16" s="407">
        <f t="shared" si="75"/>
        <v>0</v>
      </c>
      <c r="EP16" s="259">
        <f t="shared" si="76"/>
        <v>6</v>
      </c>
      <c r="EQ16" s="414">
        <f t="shared" si="77"/>
        <v>0</v>
      </c>
      <c r="ER16" s="407">
        <f t="shared" si="78"/>
        <v>0</v>
      </c>
      <c r="ES16" s="259">
        <f t="shared" si="79"/>
        <v>8</v>
      </c>
      <c r="ET16" s="414">
        <f t="shared" si="80"/>
        <v>0</v>
      </c>
      <c r="EU16" s="407">
        <f t="shared" si="81"/>
        <v>0</v>
      </c>
      <c r="EV16" s="259">
        <f t="shared" si="82"/>
        <v>10</v>
      </c>
      <c r="EW16" s="414">
        <f t="shared" si="83"/>
        <v>0</v>
      </c>
      <c r="EX16" s="407">
        <f t="shared" si="84"/>
        <v>0</v>
      </c>
      <c r="EY16" s="259">
        <f t="shared" si="85"/>
        <v>20</v>
      </c>
      <c r="EZ16" s="414">
        <f t="shared" si="86"/>
        <v>0</v>
      </c>
      <c r="FA16" s="407">
        <f t="shared" si="87"/>
        <v>0</v>
      </c>
      <c r="FB16" s="259">
        <f t="shared" si="88"/>
        <v>40</v>
      </c>
      <c r="FC16" s="414">
        <f t="shared" si="89"/>
        <v>0</v>
      </c>
      <c r="FD16" s="407">
        <f t="shared" si="90"/>
        <v>0</v>
      </c>
      <c r="FE16" s="259">
        <f t="shared" si="91"/>
        <v>60</v>
      </c>
      <c r="FF16" s="414">
        <f t="shared" si="92"/>
        <v>0</v>
      </c>
      <c r="FG16" s="407">
        <f t="shared" si="93"/>
        <v>0</v>
      </c>
      <c r="FH16" s="259">
        <f t="shared" si="94"/>
        <v>80</v>
      </c>
      <c r="FI16" s="414">
        <f t="shared" si="95"/>
        <v>0</v>
      </c>
      <c r="FJ16" s="407">
        <f t="shared" si="96"/>
        <v>0</v>
      </c>
      <c r="FK16" s="259">
        <f t="shared" si="97"/>
        <v>100</v>
      </c>
      <c r="FL16" s="414">
        <f t="shared" si="98"/>
        <v>0</v>
      </c>
      <c r="FP16" s="421">
        <f t="shared" si="130"/>
        <v>0</v>
      </c>
      <c r="FQ16" s="421">
        <f t="shared" si="130"/>
        <v>0</v>
      </c>
      <c r="FR16" s="421">
        <f t="shared" si="130"/>
        <v>0</v>
      </c>
      <c r="FS16" s="421">
        <f t="shared" si="130"/>
        <v>5.0000000000000009E-5</v>
      </c>
      <c r="FT16" s="421">
        <f t="shared" si="130"/>
        <v>6.2500000000000001E-5</v>
      </c>
      <c r="FU16" s="421">
        <f t="shared" si="130"/>
        <v>1.25E-4</v>
      </c>
      <c r="FV16" s="421">
        <f t="shared" si="130"/>
        <v>2.5000000000000001E-4</v>
      </c>
      <c r="FW16" s="421">
        <f t="shared" si="130"/>
        <v>3.7500000000000006E-4</v>
      </c>
      <c r="FX16" s="421">
        <f t="shared" si="130"/>
        <v>5.0000000000000001E-4</v>
      </c>
      <c r="FY16" s="421">
        <f t="shared" si="130"/>
        <v>6.2500000000000012E-4</v>
      </c>
      <c r="FZ16" s="421">
        <f t="shared" si="131"/>
        <v>1.2500000000000002E-3</v>
      </c>
      <c r="GA16" s="421">
        <f t="shared" si="131"/>
        <v>2.5000000000000005E-3</v>
      </c>
      <c r="GB16" s="421">
        <f t="shared" si="131"/>
        <v>3.375E-3</v>
      </c>
      <c r="GC16" s="421">
        <f t="shared" si="131"/>
        <v>4.0000000000000001E-3</v>
      </c>
      <c r="GD16" s="421">
        <f t="shared" si="131"/>
        <v>5.0000000000000001E-3</v>
      </c>
      <c r="GE16" s="421">
        <f t="shared" si="131"/>
        <v>6.2500000000000012E-3</v>
      </c>
      <c r="GF16" s="421">
        <f t="shared" si="131"/>
        <v>1.2500000000000002E-2</v>
      </c>
      <c r="GG16" s="421">
        <f t="shared" si="131"/>
        <v>1.8750000000000003E-2</v>
      </c>
      <c r="GH16" s="421">
        <f t="shared" si="131"/>
        <v>2.5000000000000005E-2</v>
      </c>
      <c r="GI16" s="421">
        <f t="shared" si="131"/>
        <v>2.5000000000000001E-2</v>
      </c>
    </row>
    <row r="17" spans="1:191" ht="16.2" x14ac:dyDescent="0.4">
      <c r="A17" s="63">
        <v>13</v>
      </c>
      <c r="B17" s="242" t="s">
        <v>1359</v>
      </c>
      <c r="C17" s="63">
        <v>2</v>
      </c>
      <c r="D17" s="63">
        <v>-1</v>
      </c>
      <c r="E17" s="63">
        <v>14</v>
      </c>
      <c r="F17" s="63">
        <f t="shared" si="16"/>
        <v>14</v>
      </c>
      <c r="G17" s="63">
        <f t="shared" si="101"/>
        <v>14</v>
      </c>
      <c r="H17" s="63"/>
      <c r="I17" s="63">
        <f t="shared" si="132"/>
        <v>0</v>
      </c>
      <c r="J17" s="63">
        <f t="shared" si="18"/>
        <v>0</v>
      </c>
      <c r="K17" s="63">
        <v>0</v>
      </c>
      <c r="L17" s="254">
        <f>ROUND($BK$7/('全局参数|GlobalPar'!$B$18/10000/E17),6)*(7/5)</f>
        <v>9.7215999999999986E-3</v>
      </c>
      <c r="M17" s="255">
        <v>1</v>
      </c>
      <c r="N17" s="256">
        <f>ROUND(IF(M17&lt;&gt;0,$BK$4/('全局参数|GlobalPar'!$B$18/10000/E17)/M17,0),6)</f>
        <v>0</v>
      </c>
      <c r="O17" s="259">
        <f t="shared" si="19"/>
        <v>2.8E-3</v>
      </c>
      <c r="P17" s="260">
        <f t="shared" si="20"/>
        <v>0</v>
      </c>
      <c r="Q17" s="277">
        <v>4</v>
      </c>
      <c r="R17" s="278">
        <v>1</v>
      </c>
      <c r="S17" s="279" t="str">
        <f t="shared" si="21"/>
        <v>[[0,1],[0,1],[0,1],[0,1],[0,1],[0,1],[0,1],[0,1],[0,1],[0,1],[0,2],[0,4],[0,6],[0,8],[0,10],[0,20],[0,40],[0,60],[0,80],[0,100]]</v>
      </c>
      <c r="T17" s="63">
        <v>0</v>
      </c>
      <c r="U17" s="281">
        <v>0</v>
      </c>
      <c r="V17" s="280">
        <f t="shared" si="22"/>
        <v>0</v>
      </c>
      <c r="W17" s="280">
        <v>0.06</v>
      </c>
      <c r="X17" s="280">
        <f t="shared" si="102"/>
        <v>0.1</v>
      </c>
      <c r="Y17" s="304">
        <f t="shared" si="127"/>
        <v>0.05</v>
      </c>
      <c r="Z17" s="63" t="str">
        <f t="shared" si="103"/>
        <v>[[1,5],[2,2],[3,1]]</v>
      </c>
      <c r="AA17" s="305" t="str">
        <f t="shared" si="104"/>
        <v>[0.124444,0.062222,0.041481]</v>
      </c>
      <c r="AB17" s="305">
        <f t="shared" si="105"/>
        <v>7.0000000000000007E-2</v>
      </c>
      <c r="AC17" s="305">
        <v>0</v>
      </c>
      <c r="AD17" s="306">
        <v>5</v>
      </c>
      <c r="AE17" s="63">
        <f t="shared" si="23"/>
        <v>-1</v>
      </c>
      <c r="AF17" s="63">
        <v>0</v>
      </c>
      <c r="AG17" s="63"/>
      <c r="AH17" s="39">
        <v>3</v>
      </c>
      <c r="AI17" s="39">
        <v>1</v>
      </c>
      <c r="AJ17" s="63">
        <v>1</v>
      </c>
      <c r="AK17" s="63">
        <v>1</v>
      </c>
      <c r="AL17" s="63">
        <v>1</v>
      </c>
      <c r="AM17" s="63">
        <v>1</v>
      </c>
      <c r="AN17" s="63"/>
      <c r="AO17" s="39"/>
      <c r="AP17" s="39"/>
      <c r="AQ17" s="310">
        <v>0.6</v>
      </c>
      <c r="AR17" s="39">
        <v>18</v>
      </c>
      <c r="AS17" s="39">
        <v>0.18</v>
      </c>
      <c r="AT17" s="39">
        <v>1</v>
      </c>
      <c r="AU17" s="39">
        <v>1</v>
      </c>
      <c r="AV17" s="39" t="s">
        <v>1314</v>
      </c>
      <c r="AW17" s="317" t="s">
        <v>1360</v>
      </c>
      <c r="AX17" s="317" t="s">
        <v>1361</v>
      </c>
      <c r="AY17" s="316" t="s">
        <v>1362</v>
      </c>
      <c r="AZ17" s="316" t="s">
        <v>258</v>
      </c>
      <c r="BA17" s="78">
        <f t="shared" si="24"/>
        <v>10.5</v>
      </c>
      <c r="BB17" s="318">
        <f t="shared" si="25"/>
        <v>14.285714285714286</v>
      </c>
      <c r="BC17" s="78" t="s">
        <v>1317</v>
      </c>
      <c r="BD17" s="78">
        <f t="shared" si="26"/>
        <v>0.746</v>
      </c>
      <c r="BE17" s="78"/>
      <c r="BF17" s="63">
        <f t="shared" si="27"/>
        <v>14</v>
      </c>
      <c r="BG17" s="63">
        <f t="shared" si="28"/>
        <v>14.84</v>
      </c>
      <c r="BI17" s="63">
        <f t="shared" si="29"/>
        <v>0</v>
      </c>
      <c r="BT17" s="344">
        <f t="shared" si="30"/>
        <v>15.400000000000002</v>
      </c>
      <c r="BU17" s="353">
        <f t="shared" si="128"/>
        <v>0.1</v>
      </c>
      <c r="BV17" s="354">
        <v>1</v>
      </c>
      <c r="BW17" s="133">
        <v>5</v>
      </c>
      <c r="BX17" s="354">
        <v>2</v>
      </c>
      <c r="BY17" s="133">
        <v>2</v>
      </c>
      <c r="BZ17" s="354">
        <v>3</v>
      </c>
      <c r="CA17" s="133">
        <v>1</v>
      </c>
      <c r="CB17" s="133">
        <f t="shared" si="106"/>
        <v>1.5</v>
      </c>
      <c r="CC17" s="133">
        <f t="shared" si="107"/>
        <v>7.5</v>
      </c>
      <c r="CD17" s="358">
        <f t="shared" si="31"/>
        <v>0.124444</v>
      </c>
      <c r="CE17" s="133">
        <f t="shared" si="32"/>
        <v>15</v>
      </c>
      <c r="CF17" s="359">
        <f t="shared" si="33"/>
        <v>6.2222E-2</v>
      </c>
      <c r="CG17" s="133">
        <f t="shared" si="32"/>
        <v>22.5</v>
      </c>
      <c r="CH17" s="360">
        <f t="shared" si="34"/>
        <v>4.1480999999999997E-2</v>
      </c>
      <c r="CJ17" s="229">
        <v>2E-3</v>
      </c>
      <c r="CK17" s="387">
        <f t="shared" si="129"/>
        <v>0</v>
      </c>
      <c r="CL17" s="259">
        <f t="shared" si="35"/>
        <v>0</v>
      </c>
      <c r="CM17" s="383">
        <f t="shared" si="36"/>
        <v>0</v>
      </c>
      <c r="CN17" s="383">
        <f t="shared" si="37"/>
        <v>0</v>
      </c>
      <c r="CO17" s="384">
        <f t="shared" si="108"/>
        <v>0</v>
      </c>
      <c r="CP17" s="385">
        <f t="shared" si="38"/>
        <v>0</v>
      </c>
      <c r="CQ17" s="383">
        <f t="shared" si="39"/>
        <v>0</v>
      </c>
      <c r="CR17" s="386" t="e">
        <f t="shared" si="40"/>
        <v>#DIV/0!</v>
      </c>
      <c r="CS17" s="407">
        <f t="shared" si="109"/>
        <v>4</v>
      </c>
      <c r="CT17" s="408">
        <f t="shared" si="110"/>
        <v>1</v>
      </c>
      <c r="CU17" s="279"/>
      <c r="CV17" s="277">
        <v>4</v>
      </c>
      <c r="CW17" s="278">
        <v>1</v>
      </c>
      <c r="CY17" s="411"/>
      <c r="CZ17" s="230"/>
      <c r="DD17" s="414"/>
      <c r="DE17" s="407">
        <v>0</v>
      </c>
      <c r="DF17" s="259">
        <v>1</v>
      </c>
      <c r="DG17" s="414">
        <f t="shared" si="41"/>
        <v>0</v>
      </c>
      <c r="DH17" s="407">
        <f t="shared" si="42"/>
        <v>0</v>
      </c>
      <c r="DI17" s="259">
        <f t="shared" si="111"/>
        <v>1</v>
      </c>
      <c r="DJ17" s="414">
        <f t="shared" si="44"/>
        <v>0</v>
      </c>
      <c r="DK17" s="407">
        <f t="shared" si="45"/>
        <v>0</v>
      </c>
      <c r="DL17" s="259">
        <f t="shared" si="112"/>
        <v>1</v>
      </c>
      <c r="DM17" s="414">
        <f t="shared" si="47"/>
        <v>0</v>
      </c>
      <c r="DN17" s="407">
        <f t="shared" si="113"/>
        <v>0</v>
      </c>
      <c r="DO17" s="259">
        <f t="shared" si="114"/>
        <v>1</v>
      </c>
      <c r="DP17" s="414">
        <f t="shared" si="50"/>
        <v>0</v>
      </c>
      <c r="DQ17" s="407">
        <f t="shared" si="115"/>
        <v>0</v>
      </c>
      <c r="DR17" s="259">
        <f t="shared" si="116"/>
        <v>1</v>
      </c>
      <c r="DS17" s="414">
        <f t="shared" si="53"/>
        <v>0</v>
      </c>
      <c r="DT17" s="407">
        <f t="shared" si="117"/>
        <v>0</v>
      </c>
      <c r="DU17" s="259">
        <f t="shared" si="118"/>
        <v>1</v>
      </c>
      <c r="DV17" s="414">
        <f t="shared" si="56"/>
        <v>0</v>
      </c>
      <c r="DW17" s="407">
        <f t="shared" si="119"/>
        <v>0</v>
      </c>
      <c r="DX17" s="259">
        <f t="shared" si="120"/>
        <v>1</v>
      </c>
      <c r="DY17" s="414">
        <f t="shared" si="59"/>
        <v>0</v>
      </c>
      <c r="DZ17" s="407">
        <f t="shared" si="121"/>
        <v>0</v>
      </c>
      <c r="EA17" s="259">
        <f t="shared" si="122"/>
        <v>1</v>
      </c>
      <c r="EB17" s="414">
        <f t="shared" si="62"/>
        <v>0</v>
      </c>
      <c r="EC17" s="407">
        <f t="shared" si="123"/>
        <v>0</v>
      </c>
      <c r="ED17" s="259">
        <f t="shared" si="124"/>
        <v>1</v>
      </c>
      <c r="EE17" s="414">
        <f t="shared" si="65"/>
        <v>0</v>
      </c>
      <c r="EF17" s="407">
        <f t="shared" si="125"/>
        <v>0</v>
      </c>
      <c r="EG17" s="259">
        <f t="shared" si="126"/>
        <v>1</v>
      </c>
      <c r="EH17" s="414">
        <f t="shared" si="68"/>
        <v>0</v>
      </c>
      <c r="EI17" s="407">
        <f t="shared" si="69"/>
        <v>0</v>
      </c>
      <c r="EJ17" s="259">
        <f t="shared" si="70"/>
        <v>2</v>
      </c>
      <c r="EK17" s="414">
        <f t="shared" si="71"/>
        <v>0</v>
      </c>
      <c r="EL17" s="407">
        <f t="shared" si="72"/>
        <v>0</v>
      </c>
      <c r="EM17" s="259">
        <f t="shared" si="73"/>
        <v>4</v>
      </c>
      <c r="EN17" s="414">
        <f t="shared" si="74"/>
        <v>0</v>
      </c>
      <c r="EO17" s="407">
        <f t="shared" si="75"/>
        <v>0</v>
      </c>
      <c r="EP17" s="259">
        <f t="shared" si="76"/>
        <v>6</v>
      </c>
      <c r="EQ17" s="414">
        <f t="shared" si="77"/>
        <v>0</v>
      </c>
      <c r="ER17" s="407">
        <f t="shared" si="78"/>
        <v>0</v>
      </c>
      <c r="ES17" s="259">
        <f t="shared" si="79"/>
        <v>8</v>
      </c>
      <c r="ET17" s="414">
        <f t="shared" si="80"/>
        <v>0</v>
      </c>
      <c r="EU17" s="407">
        <f t="shared" si="81"/>
        <v>0</v>
      </c>
      <c r="EV17" s="259">
        <f t="shared" si="82"/>
        <v>10</v>
      </c>
      <c r="EW17" s="414">
        <f t="shared" si="83"/>
        <v>0</v>
      </c>
      <c r="EX17" s="407">
        <f t="shared" si="84"/>
        <v>0</v>
      </c>
      <c r="EY17" s="259">
        <f t="shared" si="85"/>
        <v>20</v>
      </c>
      <c r="EZ17" s="414">
        <f t="shared" si="86"/>
        <v>0</v>
      </c>
      <c r="FA17" s="407">
        <f t="shared" si="87"/>
        <v>0</v>
      </c>
      <c r="FB17" s="259">
        <f t="shared" si="88"/>
        <v>40</v>
      </c>
      <c r="FC17" s="414">
        <f t="shared" si="89"/>
        <v>0</v>
      </c>
      <c r="FD17" s="407">
        <f t="shared" si="90"/>
        <v>0</v>
      </c>
      <c r="FE17" s="259">
        <f t="shared" si="91"/>
        <v>60</v>
      </c>
      <c r="FF17" s="414">
        <f t="shared" si="92"/>
        <v>0</v>
      </c>
      <c r="FG17" s="407">
        <f t="shared" si="93"/>
        <v>0</v>
      </c>
      <c r="FH17" s="259">
        <f t="shared" si="94"/>
        <v>80</v>
      </c>
      <c r="FI17" s="414">
        <f t="shared" si="95"/>
        <v>0</v>
      </c>
      <c r="FJ17" s="407">
        <f t="shared" si="96"/>
        <v>0</v>
      </c>
      <c r="FK17" s="259">
        <f t="shared" si="97"/>
        <v>100</v>
      </c>
      <c r="FL17" s="414">
        <f t="shared" si="98"/>
        <v>0</v>
      </c>
      <c r="FP17" s="421">
        <f t="shared" si="130"/>
        <v>0</v>
      </c>
      <c r="FQ17" s="421">
        <f t="shared" si="130"/>
        <v>0</v>
      </c>
      <c r="FR17" s="421">
        <f t="shared" si="130"/>
        <v>0</v>
      </c>
      <c r="FS17" s="421">
        <f t="shared" si="130"/>
        <v>5.833333333333334E-5</v>
      </c>
      <c r="FT17" s="421">
        <f t="shared" si="130"/>
        <v>7.2916666666666673E-5</v>
      </c>
      <c r="FU17" s="421">
        <f t="shared" si="130"/>
        <v>1.4583333333333335E-4</v>
      </c>
      <c r="FV17" s="421">
        <f t="shared" si="130"/>
        <v>2.9166666666666669E-4</v>
      </c>
      <c r="FW17" s="421">
        <f t="shared" si="130"/>
        <v>4.3750000000000006E-4</v>
      </c>
      <c r="FX17" s="421">
        <f t="shared" si="130"/>
        <v>5.8333333333333338E-4</v>
      </c>
      <c r="FY17" s="421">
        <f t="shared" si="130"/>
        <v>7.2916666666666681E-4</v>
      </c>
      <c r="FZ17" s="421">
        <f t="shared" si="131"/>
        <v>1.4583333333333336E-3</v>
      </c>
      <c r="GA17" s="421">
        <f t="shared" si="131"/>
        <v>2.9166666666666672E-3</v>
      </c>
      <c r="GB17" s="421">
        <f t="shared" si="131"/>
        <v>3.9375E-3</v>
      </c>
      <c r="GC17" s="421">
        <f t="shared" si="131"/>
        <v>4.6666666666666671E-3</v>
      </c>
      <c r="GD17" s="421">
        <f t="shared" si="131"/>
        <v>5.8333333333333345E-3</v>
      </c>
      <c r="GE17" s="421">
        <f t="shared" si="131"/>
        <v>7.2916666666666676E-3</v>
      </c>
      <c r="GF17" s="421">
        <f t="shared" si="131"/>
        <v>1.4583333333333335E-2</v>
      </c>
      <c r="GG17" s="421">
        <f t="shared" si="131"/>
        <v>2.1875000000000002E-2</v>
      </c>
      <c r="GH17" s="421">
        <f t="shared" si="131"/>
        <v>2.9166666666666671E-2</v>
      </c>
      <c r="GI17" s="421">
        <f t="shared" si="131"/>
        <v>2.9166666666666671E-2</v>
      </c>
    </row>
    <row r="18" spans="1:191" ht="16.2" x14ac:dyDescent="0.4">
      <c r="A18" s="63">
        <v>14</v>
      </c>
      <c r="B18" s="242" t="s">
        <v>1022</v>
      </c>
      <c r="C18" s="63">
        <v>2</v>
      </c>
      <c r="D18" s="63">
        <v>-1</v>
      </c>
      <c r="E18" s="63">
        <v>15</v>
      </c>
      <c r="F18" s="63">
        <f t="shared" si="16"/>
        <v>15</v>
      </c>
      <c r="G18" s="63">
        <f t="shared" si="101"/>
        <v>15</v>
      </c>
      <c r="H18" s="63"/>
      <c r="I18" s="63">
        <f t="shared" si="132"/>
        <v>0</v>
      </c>
      <c r="J18" s="63">
        <f t="shared" si="18"/>
        <v>0</v>
      </c>
      <c r="K18" s="63">
        <v>0</v>
      </c>
      <c r="L18" s="254">
        <f>ROUND($BK$7/('全局参数|GlobalPar'!$B$18/10000/E18),6)*(7/5)</f>
        <v>1.0416E-2</v>
      </c>
      <c r="M18" s="255">
        <v>1</v>
      </c>
      <c r="N18" s="256">
        <f>ROUND(IF(M18&lt;&gt;0,$BK$4/('全局参数|GlobalPar'!$B$18/10000/E18)/M18,0),6)</f>
        <v>0</v>
      </c>
      <c r="O18" s="259">
        <f t="shared" si="19"/>
        <v>3.0000000000000001E-3</v>
      </c>
      <c r="P18" s="260">
        <f t="shared" si="20"/>
        <v>0</v>
      </c>
      <c r="Q18" s="277">
        <v>4</v>
      </c>
      <c r="R18" s="278">
        <v>1</v>
      </c>
      <c r="S18" s="279" t="str">
        <f t="shared" si="21"/>
        <v>[[0,1],[0,1],[0,1],[0,1],[0,1],[0,1],[0,1],[0,1],[0,1],[0,1],[0,2],[0,4],[0,6],[0,8],[0,10],[0,20],[0,40],[0,60],[0,80],[0,100]]</v>
      </c>
      <c r="T18" s="63">
        <v>0</v>
      </c>
      <c r="U18" s="281">
        <v>0</v>
      </c>
      <c r="V18" s="280">
        <f t="shared" si="22"/>
        <v>0</v>
      </c>
      <c r="W18" s="280">
        <v>0.06</v>
      </c>
      <c r="X18" s="280">
        <f t="shared" si="102"/>
        <v>0.1</v>
      </c>
      <c r="Y18" s="304">
        <f t="shared" si="127"/>
        <v>0.05</v>
      </c>
      <c r="Z18" s="63" t="str">
        <f t="shared" si="103"/>
        <v>[[1,5],[2,2],[3,1]]</v>
      </c>
      <c r="AA18" s="305" t="str">
        <f t="shared" si="104"/>
        <v>[0.133333,0.066667,0.044444]</v>
      </c>
      <c r="AB18" s="305">
        <f t="shared" si="105"/>
        <v>7.4999999999999997E-2</v>
      </c>
      <c r="AC18" s="305">
        <v>0</v>
      </c>
      <c r="AD18" s="306">
        <v>6</v>
      </c>
      <c r="AE18" s="63">
        <f t="shared" si="23"/>
        <v>-1</v>
      </c>
      <c r="AF18" s="63">
        <v>0</v>
      </c>
      <c r="AG18" s="39"/>
      <c r="AH18" s="39">
        <v>3</v>
      </c>
      <c r="AI18" s="39">
        <v>1</v>
      </c>
      <c r="AJ18" s="63">
        <v>1</v>
      </c>
      <c r="AK18" s="63">
        <v>1</v>
      </c>
      <c r="AL18" s="63">
        <v>1</v>
      </c>
      <c r="AM18" s="63">
        <v>1</v>
      </c>
      <c r="AN18" s="63"/>
      <c r="AO18" s="39"/>
      <c r="AP18" s="39"/>
      <c r="AQ18" s="310">
        <v>0.6</v>
      </c>
      <c r="AR18" s="39">
        <v>20</v>
      </c>
      <c r="AS18" s="39">
        <v>0.18</v>
      </c>
      <c r="AT18" s="39">
        <v>1</v>
      </c>
      <c r="AU18" s="39">
        <v>1</v>
      </c>
      <c r="AV18" s="39" t="s">
        <v>1314</v>
      </c>
      <c r="AW18" s="317" t="s">
        <v>1363</v>
      </c>
      <c r="AX18" s="317" t="s">
        <v>1364</v>
      </c>
      <c r="AY18" s="316" t="s">
        <v>1365</v>
      </c>
      <c r="AZ18" s="316" t="s">
        <v>258</v>
      </c>
      <c r="BA18" s="78">
        <f t="shared" si="24"/>
        <v>11.25</v>
      </c>
      <c r="BB18" s="318">
        <f t="shared" si="25"/>
        <v>13.333333333333334</v>
      </c>
      <c r="BC18" s="78" t="s">
        <v>1317</v>
      </c>
      <c r="BD18" s="78">
        <f t="shared" si="26"/>
        <v>0.746</v>
      </c>
      <c r="BE18" s="78"/>
      <c r="BF18" s="63">
        <f t="shared" si="27"/>
        <v>15</v>
      </c>
      <c r="BG18" s="63">
        <f t="shared" si="28"/>
        <v>15.9</v>
      </c>
      <c r="BI18" s="63">
        <f t="shared" si="29"/>
        <v>0</v>
      </c>
      <c r="BT18" s="344">
        <f t="shared" si="30"/>
        <v>16.5</v>
      </c>
      <c r="BU18" s="353">
        <f t="shared" si="128"/>
        <v>0.1</v>
      </c>
      <c r="BV18" s="354">
        <v>1</v>
      </c>
      <c r="BW18" s="133">
        <v>5</v>
      </c>
      <c r="BX18" s="354">
        <v>2</v>
      </c>
      <c r="BY18" s="133">
        <v>2</v>
      </c>
      <c r="BZ18" s="354">
        <v>3</v>
      </c>
      <c r="CA18" s="133">
        <v>1</v>
      </c>
      <c r="CB18" s="133">
        <f t="shared" si="106"/>
        <v>1.5</v>
      </c>
      <c r="CC18" s="133">
        <f t="shared" si="107"/>
        <v>7.5</v>
      </c>
      <c r="CD18" s="358">
        <f t="shared" si="31"/>
        <v>0.13333300000000001</v>
      </c>
      <c r="CE18" s="133">
        <f t="shared" si="32"/>
        <v>15</v>
      </c>
      <c r="CF18" s="359">
        <f t="shared" si="33"/>
        <v>6.6667000000000004E-2</v>
      </c>
      <c r="CG18" s="133">
        <f t="shared" si="32"/>
        <v>22.5</v>
      </c>
      <c r="CH18" s="360">
        <f t="shared" si="34"/>
        <v>4.4443999999999997E-2</v>
      </c>
      <c r="CJ18" s="229">
        <v>2E-3</v>
      </c>
      <c r="CK18" s="387">
        <f t="shared" si="129"/>
        <v>0</v>
      </c>
      <c r="CL18" s="259">
        <f t="shared" si="35"/>
        <v>0</v>
      </c>
      <c r="CM18" s="383">
        <f t="shared" si="36"/>
        <v>0</v>
      </c>
      <c r="CN18" s="383">
        <f t="shared" si="37"/>
        <v>0</v>
      </c>
      <c r="CO18" s="384">
        <f t="shared" si="108"/>
        <v>0</v>
      </c>
      <c r="CP18" s="385">
        <f t="shared" si="38"/>
        <v>0</v>
      </c>
      <c r="CQ18" s="383">
        <f t="shared" si="39"/>
        <v>0</v>
      </c>
      <c r="CR18" s="386" t="e">
        <f t="shared" si="40"/>
        <v>#DIV/0!</v>
      </c>
      <c r="CS18" s="407">
        <f t="shared" si="109"/>
        <v>4</v>
      </c>
      <c r="CT18" s="408">
        <f t="shared" si="110"/>
        <v>1</v>
      </c>
      <c r="CU18" s="279"/>
      <c r="CV18" s="277">
        <v>4</v>
      </c>
      <c r="CW18" s="278">
        <v>1</v>
      </c>
      <c r="CY18" s="411"/>
      <c r="CZ18" s="230"/>
      <c r="DD18" s="414"/>
      <c r="DE18" s="407">
        <v>0</v>
      </c>
      <c r="DF18" s="259">
        <v>1</v>
      </c>
      <c r="DG18" s="414">
        <f t="shared" si="41"/>
        <v>0</v>
      </c>
      <c r="DH18" s="407">
        <f t="shared" si="42"/>
        <v>0</v>
      </c>
      <c r="DI18" s="259">
        <f t="shared" si="111"/>
        <v>1</v>
      </c>
      <c r="DJ18" s="414">
        <f t="shared" si="44"/>
        <v>0</v>
      </c>
      <c r="DK18" s="407">
        <f t="shared" si="45"/>
        <v>0</v>
      </c>
      <c r="DL18" s="259">
        <f t="shared" si="112"/>
        <v>1</v>
      </c>
      <c r="DM18" s="414">
        <f t="shared" si="47"/>
        <v>0</v>
      </c>
      <c r="DN18" s="407">
        <f t="shared" si="113"/>
        <v>0</v>
      </c>
      <c r="DO18" s="259">
        <f t="shared" si="114"/>
        <v>1</v>
      </c>
      <c r="DP18" s="414">
        <f t="shared" si="50"/>
        <v>0</v>
      </c>
      <c r="DQ18" s="407">
        <f t="shared" si="115"/>
        <v>0</v>
      </c>
      <c r="DR18" s="259">
        <f t="shared" si="116"/>
        <v>1</v>
      </c>
      <c r="DS18" s="414">
        <f t="shared" si="53"/>
        <v>0</v>
      </c>
      <c r="DT18" s="407">
        <f t="shared" si="117"/>
        <v>0</v>
      </c>
      <c r="DU18" s="259">
        <f t="shared" si="118"/>
        <v>1</v>
      </c>
      <c r="DV18" s="414">
        <f t="shared" si="56"/>
        <v>0</v>
      </c>
      <c r="DW18" s="407">
        <f t="shared" si="119"/>
        <v>0</v>
      </c>
      <c r="DX18" s="259">
        <f t="shared" si="120"/>
        <v>1</v>
      </c>
      <c r="DY18" s="414">
        <f t="shared" si="59"/>
        <v>0</v>
      </c>
      <c r="DZ18" s="407">
        <f t="shared" si="121"/>
        <v>0</v>
      </c>
      <c r="EA18" s="259">
        <f t="shared" si="122"/>
        <v>1</v>
      </c>
      <c r="EB18" s="414">
        <f t="shared" si="62"/>
        <v>0</v>
      </c>
      <c r="EC18" s="407">
        <f t="shared" si="123"/>
        <v>0</v>
      </c>
      <c r="ED18" s="259">
        <f t="shared" si="124"/>
        <v>1</v>
      </c>
      <c r="EE18" s="414">
        <f t="shared" si="65"/>
        <v>0</v>
      </c>
      <c r="EF18" s="407">
        <f t="shared" si="125"/>
        <v>0</v>
      </c>
      <c r="EG18" s="259">
        <f t="shared" si="126"/>
        <v>1</v>
      </c>
      <c r="EH18" s="414">
        <f t="shared" si="68"/>
        <v>0</v>
      </c>
      <c r="EI18" s="407">
        <f t="shared" si="69"/>
        <v>0</v>
      </c>
      <c r="EJ18" s="259">
        <f t="shared" si="70"/>
        <v>2</v>
      </c>
      <c r="EK18" s="414">
        <f t="shared" si="71"/>
        <v>0</v>
      </c>
      <c r="EL18" s="407">
        <f t="shared" si="72"/>
        <v>0</v>
      </c>
      <c r="EM18" s="259">
        <f t="shared" si="73"/>
        <v>4</v>
      </c>
      <c r="EN18" s="414">
        <f t="shared" si="74"/>
        <v>0</v>
      </c>
      <c r="EO18" s="407">
        <f t="shared" si="75"/>
        <v>0</v>
      </c>
      <c r="EP18" s="259">
        <f t="shared" si="76"/>
        <v>6</v>
      </c>
      <c r="EQ18" s="414">
        <f t="shared" si="77"/>
        <v>0</v>
      </c>
      <c r="ER18" s="407">
        <f t="shared" si="78"/>
        <v>0</v>
      </c>
      <c r="ES18" s="259">
        <f t="shared" si="79"/>
        <v>8</v>
      </c>
      <c r="ET18" s="414">
        <f t="shared" si="80"/>
        <v>0</v>
      </c>
      <c r="EU18" s="407">
        <f t="shared" si="81"/>
        <v>0</v>
      </c>
      <c r="EV18" s="259">
        <f t="shared" si="82"/>
        <v>10</v>
      </c>
      <c r="EW18" s="414">
        <f t="shared" si="83"/>
        <v>0</v>
      </c>
      <c r="EX18" s="407">
        <f t="shared" si="84"/>
        <v>0</v>
      </c>
      <c r="EY18" s="259">
        <f t="shared" si="85"/>
        <v>20</v>
      </c>
      <c r="EZ18" s="414">
        <f t="shared" si="86"/>
        <v>0</v>
      </c>
      <c r="FA18" s="407">
        <f t="shared" si="87"/>
        <v>0</v>
      </c>
      <c r="FB18" s="259">
        <f t="shared" si="88"/>
        <v>40</v>
      </c>
      <c r="FC18" s="414">
        <f t="shared" si="89"/>
        <v>0</v>
      </c>
      <c r="FD18" s="407">
        <f t="shared" si="90"/>
        <v>0</v>
      </c>
      <c r="FE18" s="259">
        <f t="shared" si="91"/>
        <v>60</v>
      </c>
      <c r="FF18" s="414">
        <f t="shared" si="92"/>
        <v>0</v>
      </c>
      <c r="FG18" s="407">
        <f t="shared" si="93"/>
        <v>0</v>
      </c>
      <c r="FH18" s="259">
        <f t="shared" si="94"/>
        <v>80</v>
      </c>
      <c r="FI18" s="414">
        <f t="shared" si="95"/>
        <v>0</v>
      </c>
      <c r="FJ18" s="407">
        <f t="shared" si="96"/>
        <v>0</v>
      </c>
      <c r="FK18" s="259">
        <f t="shared" si="97"/>
        <v>100</v>
      </c>
      <c r="FL18" s="414">
        <f t="shared" si="98"/>
        <v>0</v>
      </c>
      <c r="FP18" s="421">
        <f t="shared" si="130"/>
        <v>0</v>
      </c>
      <c r="FQ18" s="421">
        <f t="shared" si="130"/>
        <v>0</v>
      </c>
      <c r="FR18" s="421">
        <f t="shared" si="130"/>
        <v>0</v>
      </c>
      <c r="FS18" s="421">
        <f t="shared" si="130"/>
        <v>6.2500000000000001E-5</v>
      </c>
      <c r="FT18" s="421">
        <f t="shared" si="130"/>
        <v>7.8125000000000002E-5</v>
      </c>
      <c r="FU18" s="421">
        <f t="shared" si="130"/>
        <v>1.5625E-4</v>
      </c>
      <c r="FV18" s="421">
        <f t="shared" si="130"/>
        <v>3.1250000000000001E-4</v>
      </c>
      <c r="FW18" s="421">
        <f t="shared" si="130"/>
        <v>4.6874999999999998E-4</v>
      </c>
      <c r="FX18" s="421">
        <f t="shared" si="130"/>
        <v>6.2500000000000001E-4</v>
      </c>
      <c r="FY18" s="421">
        <f t="shared" si="130"/>
        <v>7.8125000000000004E-4</v>
      </c>
      <c r="FZ18" s="421">
        <f t="shared" si="131"/>
        <v>1.5625000000000001E-3</v>
      </c>
      <c r="GA18" s="421">
        <f t="shared" si="131"/>
        <v>3.1250000000000002E-3</v>
      </c>
      <c r="GB18" s="421">
        <f t="shared" si="131"/>
        <v>4.2187499999999994E-3</v>
      </c>
      <c r="GC18" s="421">
        <f t="shared" si="131"/>
        <v>5.0000000000000001E-3</v>
      </c>
      <c r="GD18" s="421">
        <f t="shared" si="131"/>
        <v>6.2500000000000003E-3</v>
      </c>
      <c r="GE18" s="421">
        <f t="shared" si="131"/>
        <v>7.8125E-3</v>
      </c>
      <c r="GF18" s="421">
        <f t="shared" si="131"/>
        <v>1.5625E-2</v>
      </c>
      <c r="GG18" s="421">
        <f t="shared" si="131"/>
        <v>2.34375E-2</v>
      </c>
      <c r="GH18" s="421">
        <f t="shared" si="131"/>
        <v>3.125E-2</v>
      </c>
      <c r="GI18" s="421">
        <f t="shared" si="131"/>
        <v>3.125E-2</v>
      </c>
    </row>
    <row r="19" spans="1:191" ht="16.2" x14ac:dyDescent="0.4">
      <c r="A19" s="63">
        <v>15</v>
      </c>
      <c r="B19" s="242" t="s">
        <v>1366</v>
      </c>
      <c r="C19" s="63">
        <v>2</v>
      </c>
      <c r="D19" s="63">
        <v>-1</v>
      </c>
      <c r="E19" s="63">
        <v>16</v>
      </c>
      <c r="F19" s="63">
        <f t="shared" si="16"/>
        <v>16</v>
      </c>
      <c r="G19" s="63">
        <f t="shared" si="101"/>
        <v>16</v>
      </c>
      <c r="H19" s="63"/>
      <c r="I19" s="63">
        <f t="shared" si="132"/>
        <v>0</v>
      </c>
      <c r="J19" s="63">
        <f t="shared" si="18"/>
        <v>0</v>
      </c>
      <c r="K19" s="63">
        <v>0</v>
      </c>
      <c r="L19" s="254">
        <f>ROUND($BK$7/('全局参数|GlobalPar'!$B$18/10000/E19),6)*(7/5)</f>
        <v>1.1111799999999998E-2</v>
      </c>
      <c r="M19" s="255">
        <v>1</v>
      </c>
      <c r="N19" s="256">
        <f>ROUND(IF(M19&lt;&gt;0,$BK$4/('全局参数|GlobalPar'!$B$18/10000/E19)/M19,0),6)</f>
        <v>0</v>
      </c>
      <c r="O19" s="259">
        <f t="shared" si="19"/>
        <v>3.2000000000000002E-3</v>
      </c>
      <c r="P19" s="260">
        <f t="shared" si="20"/>
        <v>0</v>
      </c>
      <c r="Q19" s="277">
        <v>5</v>
      </c>
      <c r="R19" s="278">
        <v>1</v>
      </c>
      <c r="S19" s="279" t="str">
        <f t="shared" si="21"/>
        <v>[[0,1],[0,1],[0,1],[0,1],[0,1],[0,1],[0,1],[0,1],[0,1],[0,1],[0,2],[0,4],[0,6],[0,8],[0,10],[0,20],[0,40],[0,60],[0,80],[0,100]]</v>
      </c>
      <c r="T19" s="63">
        <v>0</v>
      </c>
      <c r="U19" s="281">
        <v>0</v>
      </c>
      <c r="V19" s="280">
        <f t="shared" si="22"/>
        <v>0</v>
      </c>
      <c r="W19" s="280">
        <v>0.06</v>
      </c>
      <c r="X19" s="280">
        <f t="shared" si="102"/>
        <v>0.1</v>
      </c>
      <c r="Y19" s="304">
        <f t="shared" si="127"/>
        <v>0.05</v>
      </c>
      <c r="Z19" s="63" t="str">
        <f t="shared" si="103"/>
        <v>[[1,5],[2,2],[3,1]]</v>
      </c>
      <c r="AA19" s="305" t="str">
        <f t="shared" si="104"/>
        <v>[0.142222,0.071111,0.047407]</v>
      </c>
      <c r="AB19" s="305">
        <f t="shared" si="105"/>
        <v>0.08</v>
      </c>
      <c r="AC19" s="305">
        <v>0</v>
      </c>
      <c r="AD19" s="306">
        <v>6</v>
      </c>
      <c r="AE19" s="63">
        <f t="shared" si="23"/>
        <v>-1</v>
      </c>
      <c r="AF19" s="63">
        <v>0</v>
      </c>
      <c r="AG19" s="63"/>
      <c r="AH19" s="39">
        <v>3</v>
      </c>
      <c r="AI19" s="308">
        <v>1</v>
      </c>
      <c r="AJ19" s="63">
        <v>1</v>
      </c>
      <c r="AK19" s="63">
        <v>1</v>
      </c>
      <c r="AL19" s="63">
        <v>1</v>
      </c>
      <c r="AM19" s="63">
        <v>1</v>
      </c>
      <c r="AN19" s="63"/>
      <c r="AO19" s="39"/>
      <c r="AP19" s="39"/>
      <c r="AQ19" s="310">
        <v>0.6</v>
      </c>
      <c r="AR19" s="39">
        <v>25</v>
      </c>
      <c r="AS19" s="39">
        <v>0.18</v>
      </c>
      <c r="AT19" s="39">
        <v>1</v>
      </c>
      <c r="AU19" s="39">
        <v>1</v>
      </c>
      <c r="AV19" s="39" t="s">
        <v>1314</v>
      </c>
      <c r="AW19" s="317" t="s">
        <v>1367</v>
      </c>
      <c r="AX19" s="317" t="s">
        <v>1368</v>
      </c>
      <c r="AY19" s="316" t="s">
        <v>214</v>
      </c>
      <c r="AZ19" s="316" t="s">
        <v>258</v>
      </c>
      <c r="BA19" s="78">
        <f t="shared" si="24"/>
        <v>12</v>
      </c>
      <c r="BB19" s="318">
        <f t="shared" si="25"/>
        <v>12.5</v>
      </c>
      <c r="BC19" s="78" t="s">
        <v>1317</v>
      </c>
      <c r="BD19" s="78">
        <f t="shared" si="26"/>
        <v>0.746</v>
      </c>
      <c r="BE19" s="78"/>
      <c r="BF19" s="63">
        <f t="shared" si="27"/>
        <v>16</v>
      </c>
      <c r="BG19" s="63">
        <f t="shared" si="28"/>
        <v>16.96</v>
      </c>
      <c r="BI19" s="63">
        <f t="shared" si="29"/>
        <v>0</v>
      </c>
      <c r="BT19" s="344">
        <f t="shared" si="30"/>
        <v>17.600000000000001</v>
      </c>
      <c r="BU19" s="353">
        <f t="shared" si="128"/>
        <v>0.1</v>
      </c>
      <c r="BV19" s="354">
        <v>1</v>
      </c>
      <c r="BW19" s="133">
        <v>5</v>
      </c>
      <c r="BX19" s="354">
        <v>2</v>
      </c>
      <c r="BY19" s="133">
        <v>2</v>
      </c>
      <c r="BZ19" s="354">
        <v>3</v>
      </c>
      <c r="CA19" s="133">
        <v>1</v>
      </c>
      <c r="CB19" s="133">
        <f t="shared" si="106"/>
        <v>1.5</v>
      </c>
      <c r="CC19" s="133">
        <f t="shared" si="107"/>
        <v>7.5</v>
      </c>
      <c r="CD19" s="358">
        <f t="shared" si="31"/>
        <v>0.14222199999999999</v>
      </c>
      <c r="CE19" s="133">
        <f t="shared" si="32"/>
        <v>15</v>
      </c>
      <c r="CF19" s="359">
        <f t="shared" si="33"/>
        <v>7.1110999999999994E-2</v>
      </c>
      <c r="CG19" s="133">
        <f t="shared" si="32"/>
        <v>22.5</v>
      </c>
      <c r="CH19" s="360">
        <f t="shared" si="34"/>
        <v>4.7406999999999998E-2</v>
      </c>
      <c r="CJ19" s="229">
        <v>2E-3</v>
      </c>
      <c r="CK19" s="387">
        <f t="shared" si="129"/>
        <v>0</v>
      </c>
      <c r="CL19" s="259">
        <f t="shared" si="35"/>
        <v>0</v>
      </c>
      <c r="CM19" s="383">
        <f t="shared" si="36"/>
        <v>0</v>
      </c>
      <c r="CN19" s="383">
        <f t="shared" si="37"/>
        <v>0</v>
      </c>
      <c r="CO19" s="384">
        <f t="shared" si="108"/>
        <v>0</v>
      </c>
      <c r="CP19" s="385">
        <f t="shared" si="38"/>
        <v>0</v>
      </c>
      <c r="CQ19" s="383">
        <f t="shared" si="39"/>
        <v>0</v>
      </c>
      <c r="CR19" s="386" t="e">
        <f t="shared" si="40"/>
        <v>#DIV/0!</v>
      </c>
      <c r="CS19" s="407">
        <f t="shared" si="109"/>
        <v>5</v>
      </c>
      <c r="CT19" s="408">
        <f t="shared" si="110"/>
        <v>1</v>
      </c>
      <c r="CU19" s="279"/>
      <c r="CV19" s="277">
        <v>5</v>
      </c>
      <c r="CW19" s="278">
        <v>1</v>
      </c>
      <c r="CY19" s="411"/>
      <c r="CZ19" s="230"/>
      <c r="DD19" s="414"/>
      <c r="DE19" s="407">
        <v>0</v>
      </c>
      <c r="DF19" s="259">
        <v>1</v>
      </c>
      <c r="DG19" s="414">
        <f t="shared" si="41"/>
        <v>0</v>
      </c>
      <c r="DH19" s="407">
        <f t="shared" si="42"/>
        <v>0</v>
      </c>
      <c r="DI19" s="259">
        <f t="shared" si="111"/>
        <v>1</v>
      </c>
      <c r="DJ19" s="414">
        <f t="shared" si="44"/>
        <v>0</v>
      </c>
      <c r="DK19" s="407">
        <f t="shared" si="45"/>
        <v>0</v>
      </c>
      <c r="DL19" s="259">
        <f t="shared" si="112"/>
        <v>1</v>
      </c>
      <c r="DM19" s="414">
        <f t="shared" si="47"/>
        <v>0</v>
      </c>
      <c r="DN19" s="407">
        <f t="shared" si="113"/>
        <v>0</v>
      </c>
      <c r="DO19" s="259">
        <f t="shared" si="114"/>
        <v>1</v>
      </c>
      <c r="DP19" s="414">
        <f t="shared" si="50"/>
        <v>0</v>
      </c>
      <c r="DQ19" s="407">
        <f t="shared" si="115"/>
        <v>0</v>
      </c>
      <c r="DR19" s="259">
        <f t="shared" si="116"/>
        <v>1</v>
      </c>
      <c r="DS19" s="414">
        <f t="shared" si="53"/>
        <v>0</v>
      </c>
      <c r="DT19" s="407">
        <f t="shared" si="117"/>
        <v>0</v>
      </c>
      <c r="DU19" s="259">
        <f t="shared" si="118"/>
        <v>1</v>
      </c>
      <c r="DV19" s="414">
        <f t="shared" si="56"/>
        <v>0</v>
      </c>
      <c r="DW19" s="407">
        <f t="shared" si="119"/>
        <v>0</v>
      </c>
      <c r="DX19" s="259">
        <f t="shared" si="120"/>
        <v>1</v>
      </c>
      <c r="DY19" s="414">
        <f t="shared" si="59"/>
        <v>0</v>
      </c>
      <c r="DZ19" s="407">
        <f t="shared" si="121"/>
        <v>0</v>
      </c>
      <c r="EA19" s="259">
        <f t="shared" si="122"/>
        <v>1</v>
      </c>
      <c r="EB19" s="414">
        <f t="shared" si="62"/>
        <v>0</v>
      </c>
      <c r="EC19" s="407">
        <f t="shared" si="123"/>
        <v>0</v>
      </c>
      <c r="ED19" s="259">
        <f t="shared" si="124"/>
        <v>1</v>
      </c>
      <c r="EE19" s="414">
        <f t="shared" si="65"/>
        <v>0</v>
      </c>
      <c r="EF19" s="407">
        <f t="shared" si="125"/>
        <v>0</v>
      </c>
      <c r="EG19" s="259">
        <f t="shared" si="126"/>
        <v>1</v>
      </c>
      <c r="EH19" s="414">
        <f t="shared" si="68"/>
        <v>0</v>
      </c>
      <c r="EI19" s="407">
        <f t="shared" si="69"/>
        <v>0</v>
      </c>
      <c r="EJ19" s="259">
        <f t="shared" si="70"/>
        <v>2</v>
      </c>
      <c r="EK19" s="414">
        <f t="shared" si="71"/>
        <v>0</v>
      </c>
      <c r="EL19" s="407">
        <f t="shared" si="72"/>
        <v>0</v>
      </c>
      <c r="EM19" s="259">
        <f t="shared" si="73"/>
        <v>4</v>
      </c>
      <c r="EN19" s="414">
        <f t="shared" si="74"/>
        <v>0</v>
      </c>
      <c r="EO19" s="407">
        <f t="shared" si="75"/>
        <v>0</v>
      </c>
      <c r="EP19" s="259">
        <f t="shared" si="76"/>
        <v>6</v>
      </c>
      <c r="EQ19" s="414">
        <f t="shared" si="77"/>
        <v>0</v>
      </c>
      <c r="ER19" s="407">
        <f t="shared" si="78"/>
        <v>0</v>
      </c>
      <c r="ES19" s="259">
        <f t="shared" si="79"/>
        <v>8</v>
      </c>
      <c r="ET19" s="414">
        <f t="shared" si="80"/>
        <v>0</v>
      </c>
      <c r="EU19" s="407">
        <f t="shared" si="81"/>
        <v>0</v>
      </c>
      <c r="EV19" s="259">
        <f t="shared" si="82"/>
        <v>10</v>
      </c>
      <c r="EW19" s="414">
        <f t="shared" si="83"/>
        <v>0</v>
      </c>
      <c r="EX19" s="407">
        <f t="shared" si="84"/>
        <v>0</v>
      </c>
      <c r="EY19" s="259">
        <f t="shared" si="85"/>
        <v>20</v>
      </c>
      <c r="EZ19" s="414">
        <f t="shared" si="86"/>
        <v>0</v>
      </c>
      <c r="FA19" s="407">
        <f t="shared" si="87"/>
        <v>0</v>
      </c>
      <c r="FB19" s="259">
        <f t="shared" si="88"/>
        <v>40</v>
      </c>
      <c r="FC19" s="414">
        <f t="shared" si="89"/>
        <v>0</v>
      </c>
      <c r="FD19" s="407">
        <f t="shared" si="90"/>
        <v>0</v>
      </c>
      <c r="FE19" s="259">
        <f t="shared" si="91"/>
        <v>60</v>
      </c>
      <c r="FF19" s="414">
        <f t="shared" si="92"/>
        <v>0</v>
      </c>
      <c r="FG19" s="407">
        <f t="shared" si="93"/>
        <v>0</v>
      </c>
      <c r="FH19" s="259">
        <f t="shared" si="94"/>
        <v>80</v>
      </c>
      <c r="FI19" s="414">
        <f t="shared" si="95"/>
        <v>0</v>
      </c>
      <c r="FJ19" s="407">
        <f t="shared" si="96"/>
        <v>0</v>
      </c>
      <c r="FK19" s="259">
        <f t="shared" si="97"/>
        <v>100</v>
      </c>
      <c r="FL19" s="414">
        <f t="shared" si="98"/>
        <v>0</v>
      </c>
      <c r="FP19" s="421">
        <f t="shared" si="130"/>
        <v>0</v>
      </c>
      <c r="FQ19" s="421">
        <f t="shared" si="130"/>
        <v>0</v>
      </c>
      <c r="FR19" s="421">
        <f t="shared" si="130"/>
        <v>0</v>
      </c>
      <c r="FS19" s="421">
        <f t="shared" si="130"/>
        <v>6.666666666666667E-5</v>
      </c>
      <c r="FT19" s="421">
        <f t="shared" si="130"/>
        <v>8.3333333333333331E-5</v>
      </c>
      <c r="FU19" s="421">
        <f t="shared" si="130"/>
        <v>1.6666666666666666E-4</v>
      </c>
      <c r="FV19" s="421">
        <f t="shared" si="130"/>
        <v>3.3333333333333332E-4</v>
      </c>
      <c r="FW19" s="421">
        <f t="shared" si="130"/>
        <v>5.0000000000000001E-4</v>
      </c>
      <c r="FX19" s="421">
        <f t="shared" si="130"/>
        <v>6.6666666666666664E-4</v>
      </c>
      <c r="FY19" s="421">
        <f t="shared" si="130"/>
        <v>8.3333333333333339E-4</v>
      </c>
      <c r="FZ19" s="421">
        <f t="shared" si="131"/>
        <v>1.6666666666666668E-3</v>
      </c>
      <c r="GA19" s="421">
        <f t="shared" si="131"/>
        <v>3.3333333333333335E-3</v>
      </c>
      <c r="GB19" s="421">
        <f t="shared" si="131"/>
        <v>4.4999999999999997E-3</v>
      </c>
      <c r="GC19" s="421">
        <f t="shared" si="131"/>
        <v>5.3333333333333332E-3</v>
      </c>
      <c r="GD19" s="421">
        <f t="shared" si="131"/>
        <v>6.6666666666666671E-3</v>
      </c>
      <c r="GE19" s="421">
        <f t="shared" si="131"/>
        <v>8.3333333333333332E-3</v>
      </c>
      <c r="GF19" s="421">
        <f t="shared" si="131"/>
        <v>1.6666666666666666E-2</v>
      </c>
      <c r="GG19" s="421">
        <f t="shared" si="131"/>
        <v>2.5000000000000001E-2</v>
      </c>
      <c r="GH19" s="421">
        <f t="shared" si="131"/>
        <v>3.3333333333333333E-2</v>
      </c>
      <c r="GI19" s="421">
        <f t="shared" si="131"/>
        <v>3.3333333333333333E-2</v>
      </c>
    </row>
    <row r="20" spans="1:191" ht="16.2" x14ac:dyDescent="0.4">
      <c r="A20" s="63">
        <v>16</v>
      </c>
      <c r="B20" s="242" t="s">
        <v>1369</v>
      </c>
      <c r="C20" s="63">
        <v>2</v>
      </c>
      <c r="D20" s="63">
        <v>-1</v>
      </c>
      <c r="E20" s="63">
        <v>18</v>
      </c>
      <c r="F20" s="63">
        <f t="shared" si="16"/>
        <v>18</v>
      </c>
      <c r="G20" s="63">
        <f t="shared" si="101"/>
        <v>18</v>
      </c>
      <c r="H20" s="63"/>
      <c r="I20" s="63">
        <f t="shared" si="132"/>
        <v>0</v>
      </c>
      <c r="J20" s="63">
        <f t="shared" si="18"/>
        <v>0</v>
      </c>
      <c r="K20" s="63">
        <v>0</v>
      </c>
      <c r="L20" s="254">
        <f>ROUND($BK$7/('全局参数|GlobalPar'!$B$18/10000/E20),6)*(7/5)</f>
        <v>1.2500599999999999E-2</v>
      </c>
      <c r="M20" s="255">
        <v>1</v>
      </c>
      <c r="N20" s="256">
        <f>ROUND(IF(M20&lt;&gt;0,$BK$4/('全局参数|GlobalPar'!$B$18/10000/E20)/M20,0),6)</f>
        <v>0</v>
      </c>
      <c r="O20" s="259">
        <f t="shared" si="19"/>
        <v>3.5999999999999999E-3</v>
      </c>
      <c r="P20" s="260">
        <f t="shared" si="20"/>
        <v>0</v>
      </c>
      <c r="Q20" s="277">
        <v>6</v>
      </c>
      <c r="R20" s="278">
        <v>1</v>
      </c>
      <c r="S20" s="279" t="str">
        <f t="shared" si="21"/>
        <v>[[0,1],[0,1],[0,1],[0,1],[0,1],[0,1],[0,1],[0,1],[0,1],[0,1],[0,2],[0,4],[0,6],[0,8],[0,10],[0,20],[0,40],[0,60],[0,80],[0,100]]</v>
      </c>
      <c r="T20" s="63">
        <v>0</v>
      </c>
      <c r="U20" s="281">
        <v>0</v>
      </c>
      <c r="V20" s="280">
        <f t="shared" si="22"/>
        <v>0</v>
      </c>
      <c r="W20" s="280">
        <v>0.06</v>
      </c>
      <c r="X20" s="280">
        <f t="shared" si="102"/>
        <v>0.1</v>
      </c>
      <c r="Y20" s="304">
        <f t="shared" si="127"/>
        <v>0.05</v>
      </c>
      <c r="Z20" s="63" t="str">
        <f t="shared" si="103"/>
        <v>[[1,5],[2,2],[3,1]]</v>
      </c>
      <c r="AA20" s="305" t="str">
        <f t="shared" si="104"/>
        <v>[0.16,0.08,0.053333]</v>
      </c>
      <c r="AB20" s="305">
        <f t="shared" si="105"/>
        <v>0.09</v>
      </c>
      <c r="AC20" s="305">
        <v>0</v>
      </c>
      <c r="AD20" s="306">
        <v>6</v>
      </c>
      <c r="AE20" s="63">
        <f t="shared" si="23"/>
        <v>-1</v>
      </c>
      <c r="AF20" s="63">
        <v>0</v>
      </c>
      <c r="AG20" s="39"/>
      <c r="AH20" s="39">
        <v>3</v>
      </c>
      <c r="AI20" s="39">
        <v>0</v>
      </c>
      <c r="AJ20" s="63">
        <v>1</v>
      </c>
      <c r="AK20" s="63">
        <v>1</v>
      </c>
      <c r="AL20" s="63">
        <v>1</v>
      </c>
      <c r="AM20" s="63">
        <v>1</v>
      </c>
      <c r="AN20" s="63"/>
      <c r="AO20" s="39"/>
      <c r="AP20" s="39"/>
      <c r="AQ20" s="310">
        <v>0.6</v>
      </c>
      <c r="AR20" s="39">
        <v>30</v>
      </c>
      <c r="AS20" s="39">
        <v>0.18</v>
      </c>
      <c r="AT20" s="39">
        <v>0.8</v>
      </c>
      <c r="AU20" s="39">
        <v>1</v>
      </c>
      <c r="AV20" s="39" t="s">
        <v>1314</v>
      </c>
      <c r="AW20" s="317" t="s">
        <v>1370</v>
      </c>
      <c r="AX20" s="317" t="s">
        <v>1371</v>
      </c>
      <c r="AY20" s="316" t="s">
        <v>1372</v>
      </c>
      <c r="AZ20" s="316" t="s">
        <v>258</v>
      </c>
      <c r="BA20" s="78">
        <f t="shared" si="24"/>
        <v>13.5</v>
      </c>
      <c r="BB20" s="318">
        <f t="shared" si="25"/>
        <v>11.111111111111111</v>
      </c>
      <c r="BC20" s="78" t="s">
        <v>1317</v>
      </c>
      <c r="BD20" s="78">
        <f t="shared" si="26"/>
        <v>0.746</v>
      </c>
      <c r="BE20" s="78"/>
      <c r="BF20" s="63">
        <f t="shared" si="27"/>
        <v>18</v>
      </c>
      <c r="BG20" s="63">
        <f t="shared" si="28"/>
        <v>19.080000000000002</v>
      </c>
      <c r="BI20" s="63">
        <f t="shared" si="29"/>
        <v>0</v>
      </c>
      <c r="BT20" s="344">
        <f t="shared" si="30"/>
        <v>19.8</v>
      </c>
      <c r="BU20" s="353">
        <f t="shared" si="128"/>
        <v>0.1</v>
      </c>
      <c r="BV20" s="354">
        <v>1</v>
      </c>
      <c r="BW20" s="133">
        <v>5</v>
      </c>
      <c r="BX20" s="354">
        <v>2</v>
      </c>
      <c r="BY20" s="133">
        <v>2</v>
      </c>
      <c r="BZ20" s="354">
        <v>3</v>
      </c>
      <c r="CA20" s="133">
        <v>1</v>
      </c>
      <c r="CB20" s="133">
        <f t="shared" si="106"/>
        <v>1.5</v>
      </c>
      <c r="CC20" s="133">
        <f t="shared" si="107"/>
        <v>7.5</v>
      </c>
      <c r="CD20" s="358">
        <f t="shared" ref="CD20:CD62" si="133">ROUND(E20*BU20/CC20/CB20,6)</f>
        <v>0.16</v>
      </c>
      <c r="CE20" s="133">
        <f t="shared" si="32"/>
        <v>15</v>
      </c>
      <c r="CF20" s="359">
        <f t="shared" ref="CF20:CF62" si="134">ROUND(E20*BU20/CE20/CB20,6)</f>
        <v>0.08</v>
      </c>
      <c r="CG20" s="133">
        <f t="shared" si="32"/>
        <v>22.5</v>
      </c>
      <c r="CH20" s="360">
        <f t="shared" ref="CH20:CH62" si="135">ROUND(E20*BU20/CG20/CB20,6)</f>
        <v>5.3332999999999998E-2</v>
      </c>
      <c r="CJ20" s="229">
        <v>2E-3</v>
      </c>
      <c r="CK20" s="387">
        <f t="shared" si="129"/>
        <v>0</v>
      </c>
      <c r="CL20" s="259">
        <f t="shared" si="35"/>
        <v>0</v>
      </c>
      <c r="CM20" s="383">
        <f t="shared" si="36"/>
        <v>0</v>
      </c>
      <c r="CN20" s="383">
        <f t="shared" si="37"/>
        <v>0</v>
      </c>
      <c r="CO20" s="384">
        <f t="shared" si="108"/>
        <v>0</v>
      </c>
      <c r="CP20" s="385">
        <f t="shared" si="38"/>
        <v>0</v>
      </c>
      <c r="CQ20" s="383">
        <f t="shared" si="39"/>
        <v>0</v>
      </c>
      <c r="CR20" s="386" t="e">
        <f t="shared" si="40"/>
        <v>#DIV/0!</v>
      </c>
      <c r="CS20" s="407">
        <f t="shared" si="109"/>
        <v>6</v>
      </c>
      <c r="CT20" s="408">
        <f t="shared" si="110"/>
        <v>1</v>
      </c>
      <c r="CU20" s="279"/>
      <c r="CV20" s="277">
        <v>6</v>
      </c>
      <c r="CW20" s="278">
        <v>1</v>
      </c>
      <c r="CY20" s="411"/>
      <c r="CZ20" s="230"/>
      <c r="DD20" s="414"/>
      <c r="DE20" s="407">
        <v>0</v>
      </c>
      <c r="DF20" s="259">
        <v>1</v>
      </c>
      <c r="DG20" s="414">
        <f t="shared" si="41"/>
        <v>0</v>
      </c>
      <c r="DH20" s="407">
        <f t="shared" si="42"/>
        <v>0</v>
      </c>
      <c r="DI20" s="259">
        <f t="shared" si="111"/>
        <v>1</v>
      </c>
      <c r="DJ20" s="414">
        <f t="shared" si="44"/>
        <v>0</v>
      </c>
      <c r="DK20" s="407">
        <f t="shared" si="45"/>
        <v>0</v>
      </c>
      <c r="DL20" s="259">
        <f t="shared" si="112"/>
        <v>1</v>
      </c>
      <c r="DM20" s="414">
        <f t="shared" si="47"/>
        <v>0</v>
      </c>
      <c r="DN20" s="407">
        <f t="shared" si="113"/>
        <v>0</v>
      </c>
      <c r="DO20" s="259">
        <f t="shared" si="114"/>
        <v>1</v>
      </c>
      <c r="DP20" s="414">
        <f t="shared" si="50"/>
        <v>0</v>
      </c>
      <c r="DQ20" s="407">
        <f t="shared" si="115"/>
        <v>0</v>
      </c>
      <c r="DR20" s="259">
        <f t="shared" si="116"/>
        <v>1</v>
      </c>
      <c r="DS20" s="414">
        <f t="shared" si="53"/>
        <v>0</v>
      </c>
      <c r="DT20" s="407">
        <f t="shared" si="117"/>
        <v>0</v>
      </c>
      <c r="DU20" s="259">
        <f t="shared" si="118"/>
        <v>1</v>
      </c>
      <c r="DV20" s="414">
        <f t="shared" si="56"/>
        <v>0</v>
      </c>
      <c r="DW20" s="407">
        <f t="shared" si="119"/>
        <v>0</v>
      </c>
      <c r="DX20" s="259">
        <f t="shared" si="120"/>
        <v>1</v>
      </c>
      <c r="DY20" s="414">
        <f t="shared" si="59"/>
        <v>0</v>
      </c>
      <c r="DZ20" s="407">
        <f t="shared" si="121"/>
        <v>0</v>
      </c>
      <c r="EA20" s="259">
        <f t="shared" si="122"/>
        <v>1</v>
      </c>
      <c r="EB20" s="414">
        <f t="shared" si="62"/>
        <v>0</v>
      </c>
      <c r="EC20" s="407">
        <f t="shared" si="123"/>
        <v>0</v>
      </c>
      <c r="ED20" s="259">
        <f t="shared" si="124"/>
        <v>1</v>
      </c>
      <c r="EE20" s="414">
        <f t="shared" si="65"/>
        <v>0</v>
      </c>
      <c r="EF20" s="407">
        <f t="shared" si="125"/>
        <v>0</v>
      </c>
      <c r="EG20" s="259">
        <f t="shared" si="126"/>
        <v>1</v>
      </c>
      <c r="EH20" s="414">
        <f t="shared" si="68"/>
        <v>0</v>
      </c>
      <c r="EI20" s="407">
        <f t="shared" si="69"/>
        <v>0</v>
      </c>
      <c r="EJ20" s="259">
        <f t="shared" si="70"/>
        <v>2</v>
      </c>
      <c r="EK20" s="414">
        <f t="shared" si="71"/>
        <v>0</v>
      </c>
      <c r="EL20" s="407">
        <f t="shared" si="72"/>
        <v>0</v>
      </c>
      <c r="EM20" s="259">
        <f t="shared" si="73"/>
        <v>4</v>
      </c>
      <c r="EN20" s="414">
        <f t="shared" si="74"/>
        <v>0</v>
      </c>
      <c r="EO20" s="407">
        <f t="shared" si="75"/>
        <v>0</v>
      </c>
      <c r="EP20" s="259">
        <f t="shared" si="76"/>
        <v>6</v>
      </c>
      <c r="EQ20" s="414">
        <f t="shared" si="77"/>
        <v>0</v>
      </c>
      <c r="ER20" s="407">
        <f t="shared" si="78"/>
        <v>0</v>
      </c>
      <c r="ES20" s="259">
        <f t="shared" si="79"/>
        <v>8</v>
      </c>
      <c r="ET20" s="414">
        <f t="shared" si="80"/>
        <v>0</v>
      </c>
      <c r="EU20" s="407">
        <f t="shared" si="81"/>
        <v>0</v>
      </c>
      <c r="EV20" s="259">
        <f t="shared" si="82"/>
        <v>10</v>
      </c>
      <c r="EW20" s="414">
        <f t="shared" si="83"/>
        <v>0</v>
      </c>
      <c r="EX20" s="407">
        <f t="shared" si="84"/>
        <v>0</v>
      </c>
      <c r="EY20" s="259">
        <f t="shared" si="85"/>
        <v>20</v>
      </c>
      <c r="EZ20" s="414">
        <f t="shared" si="86"/>
        <v>0</v>
      </c>
      <c r="FA20" s="407">
        <f t="shared" si="87"/>
        <v>0</v>
      </c>
      <c r="FB20" s="259">
        <f t="shared" si="88"/>
        <v>40</v>
      </c>
      <c r="FC20" s="414">
        <f t="shared" si="89"/>
        <v>0</v>
      </c>
      <c r="FD20" s="407">
        <f t="shared" si="90"/>
        <v>0</v>
      </c>
      <c r="FE20" s="259">
        <f t="shared" si="91"/>
        <v>60</v>
      </c>
      <c r="FF20" s="414">
        <f t="shared" si="92"/>
        <v>0</v>
      </c>
      <c r="FG20" s="407">
        <f t="shared" si="93"/>
        <v>0</v>
      </c>
      <c r="FH20" s="259">
        <f t="shared" si="94"/>
        <v>80</v>
      </c>
      <c r="FI20" s="414">
        <f t="shared" si="95"/>
        <v>0</v>
      </c>
      <c r="FJ20" s="407">
        <f t="shared" si="96"/>
        <v>0</v>
      </c>
      <c r="FK20" s="259">
        <f t="shared" si="97"/>
        <v>100</v>
      </c>
      <c r="FL20" s="414">
        <f t="shared" si="98"/>
        <v>0</v>
      </c>
      <c r="FP20" s="421">
        <f t="shared" si="130"/>
        <v>0</v>
      </c>
      <c r="FQ20" s="421">
        <f t="shared" si="130"/>
        <v>0</v>
      </c>
      <c r="FR20" s="421">
        <f t="shared" si="130"/>
        <v>0</v>
      </c>
      <c r="FS20" s="421">
        <f t="shared" si="130"/>
        <v>7.4999999999999993E-5</v>
      </c>
      <c r="FT20" s="421">
        <f t="shared" si="130"/>
        <v>9.3750000000000002E-5</v>
      </c>
      <c r="FU20" s="421">
        <f t="shared" si="130"/>
        <v>1.875E-4</v>
      </c>
      <c r="FV20" s="421">
        <f t="shared" si="130"/>
        <v>3.7500000000000001E-4</v>
      </c>
      <c r="FW20" s="421">
        <f t="shared" si="130"/>
        <v>5.6249999999999996E-4</v>
      </c>
      <c r="FX20" s="421">
        <f t="shared" si="130"/>
        <v>7.5000000000000002E-4</v>
      </c>
      <c r="FY20" s="421">
        <f t="shared" si="130"/>
        <v>9.3749999999999997E-4</v>
      </c>
      <c r="FZ20" s="421">
        <f t="shared" si="131"/>
        <v>1.8749999999999999E-3</v>
      </c>
      <c r="GA20" s="421">
        <f t="shared" si="131"/>
        <v>3.7499999999999999E-3</v>
      </c>
      <c r="GB20" s="421">
        <f t="shared" si="131"/>
        <v>5.0625000000000002E-3</v>
      </c>
      <c r="GC20" s="421">
        <f t="shared" si="131"/>
        <v>6.0000000000000001E-3</v>
      </c>
      <c r="GD20" s="421">
        <f t="shared" si="131"/>
        <v>7.4999999999999997E-3</v>
      </c>
      <c r="GE20" s="421">
        <f t="shared" si="131"/>
        <v>9.3749999999999997E-3</v>
      </c>
      <c r="GF20" s="421">
        <f t="shared" si="131"/>
        <v>1.8749999999999999E-2</v>
      </c>
      <c r="GG20" s="421">
        <f t="shared" si="131"/>
        <v>2.8125000000000001E-2</v>
      </c>
      <c r="GH20" s="421">
        <f t="shared" si="131"/>
        <v>3.7499999999999999E-2</v>
      </c>
      <c r="GI20" s="421">
        <f t="shared" si="131"/>
        <v>3.7499999999999999E-2</v>
      </c>
    </row>
    <row r="21" spans="1:191" ht="16.2" x14ac:dyDescent="0.4">
      <c r="A21" s="63">
        <v>17</v>
      </c>
      <c r="B21" s="242" t="s">
        <v>1373</v>
      </c>
      <c r="C21" s="63">
        <v>2</v>
      </c>
      <c r="D21" s="63">
        <v>-1</v>
      </c>
      <c r="E21" s="63">
        <v>20</v>
      </c>
      <c r="F21" s="63">
        <f t="shared" si="16"/>
        <v>20</v>
      </c>
      <c r="G21" s="63">
        <f t="shared" si="101"/>
        <v>20</v>
      </c>
      <c r="H21" s="63"/>
      <c r="I21" s="63">
        <f t="shared" si="132"/>
        <v>0</v>
      </c>
      <c r="J21" s="63">
        <f t="shared" si="18"/>
        <v>0</v>
      </c>
      <c r="K21" s="63">
        <v>0</v>
      </c>
      <c r="L21" s="254">
        <f>ROUND($BK$7/('全局参数|GlobalPar'!$B$18/10000/E21),6)*(7/5)</f>
        <v>1.3889399999999998E-2</v>
      </c>
      <c r="M21" s="255">
        <v>1</v>
      </c>
      <c r="N21" s="256">
        <f>ROUND(IF(M21&lt;&gt;0,$BK$4/('全局参数|GlobalPar'!$B$18/10000/E21)/M21,0),6)</f>
        <v>0</v>
      </c>
      <c r="O21" s="259">
        <f t="shared" si="19"/>
        <v>4.0000000000000001E-3</v>
      </c>
      <c r="P21" s="260">
        <f t="shared" si="20"/>
        <v>0</v>
      </c>
      <c r="Q21" s="277">
        <v>6</v>
      </c>
      <c r="R21" s="278">
        <v>1</v>
      </c>
      <c r="S21" s="279" t="str">
        <f t="shared" si="21"/>
        <v>[[0,1],[0,1],[0,1],[0,1],[0,1],[0,1],[0,1],[0,1],[0,1],[0,1],[0,2],[0,4],[0,6],[0,8],[0,10],[0,20],[0,40],[0,60],[0,80],[0,100]]</v>
      </c>
      <c r="T21" s="63">
        <v>0</v>
      </c>
      <c r="U21" s="281">
        <v>0</v>
      </c>
      <c r="V21" s="280">
        <f t="shared" si="22"/>
        <v>0</v>
      </c>
      <c r="W21" s="280">
        <v>0.06</v>
      </c>
      <c r="X21" s="280">
        <f t="shared" si="102"/>
        <v>0.1</v>
      </c>
      <c r="Y21" s="304">
        <f t="shared" si="127"/>
        <v>0.05</v>
      </c>
      <c r="Z21" s="63" t="str">
        <f t="shared" si="103"/>
        <v>[[1,5],[2,2],[3,1]]</v>
      </c>
      <c r="AA21" s="305" t="str">
        <f t="shared" si="104"/>
        <v>[0.177778,0.088889,0.059259]</v>
      </c>
      <c r="AB21" s="305">
        <f t="shared" si="105"/>
        <v>0.1</v>
      </c>
      <c r="AC21" s="305">
        <v>0</v>
      </c>
      <c r="AD21" s="306">
        <v>7</v>
      </c>
      <c r="AE21" s="63">
        <f t="shared" si="23"/>
        <v>-1</v>
      </c>
      <c r="AF21" s="63">
        <v>0</v>
      </c>
      <c r="AG21" s="63"/>
      <c r="AH21" s="39">
        <v>3</v>
      </c>
      <c r="AI21" s="39">
        <v>0</v>
      </c>
      <c r="AJ21" s="63">
        <v>1</v>
      </c>
      <c r="AK21" s="63">
        <v>1</v>
      </c>
      <c r="AL21" s="63">
        <v>1</v>
      </c>
      <c r="AM21" s="63">
        <v>1</v>
      </c>
      <c r="AN21" s="63"/>
      <c r="AO21" s="39"/>
      <c r="AP21" s="39"/>
      <c r="AQ21" s="310">
        <v>0.6</v>
      </c>
      <c r="AR21" s="39">
        <v>35</v>
      </c>
      <c r="AS21" s="39">
        <v>0.18</v>
      </c>
      <c r="AT21" s="39">
        <v>1</v>
      </c>
      <c r="AU21" s="39">
        <v>1</v>
      </c>
      <c r="AV21" s="39" t="s">
        <v>1314</v>
      </c>
      <c r="AW21" s="317" t="s">
        <v>1374</v>
      </c>
      <c r="AX21" s="317" t="s">
        <v>1375</v>
      </c>
      <c r="AY21" s="316" t="s">
        <v>1376</v>
      </c>
      <c r="AZ21" s="316" t="s">
        <v>258</v>
      </c>
      <c r="BA21" s="78">
        <f t="shared" si="24"/>
        <v>15</v>
      </c>
      <c r="BB21" s="318">
        <f t="shared" si="25"/>
        <v>10</v>
      </c>
      <c r="BC21" s="78" t="s">
        <v>1317</v>
      </c>
      <c r="BD21" s="78">
        <f t="shared" si="26"/>
        <v>0.746</v>
      </c>
      <c r="BE21" s="78"/>
      <c r="BF21" s="63">
        <f t="shared" si="27"/>
        <v>20</v>
      </c>
      <c r="BG21" s="63">
        <f t="shared" si="28"/>
        <v>21.200000000000003</v>
      </c>
      <c r="BI21" s="63">
        <f t="shared" si="29"/>
        <v>0</v>
      </c>
      <c r="BT21" s="344">
        <f t="shared" si="30"/>
        <v>22</v>
      </c>
      <c r="BU21" s="353">
        <f t="shared" si="128"/>
        <v>0.1</v>
      </c>
      <c r="BV21" s="354">
        <v>1</v>
      </c>
      <c r="BW21" s="133">
        <v>5</v>
      </c>
      <c r="BX21" s="354">
        <v>2</v>
      </c>
      <c r="BY21" s="133">
        <v>2</v>
      </c>
      <c r="BZ21" s="354">
        <v>3</v>
      </c>
      <c r="CA21" s="133">
        <v>1</v>
      </c>
      <c r="CB21" s="133">
        <f t="shared" si="106"/>
        <v>1.5</v>
      </c>
      <c r="CC21" s="133">
        <f t="shared" si="107"/>
        <v>7.5</v>
      </c>
      <c r="CD21" s="358">
        <f t="shared" si="133"/>
        <v>0.17777799999999999</v>
      </c>
      <c r="CE21" s="133">
        <f t="shared" si="107"/>
        <v>15</v>
      </c>
      <c r="CF21" s="359">
        <f t="shared" si="134"/>
        <v>8.8888999999999996E-2</v>
      </c>
      <c r="CG21" s="133">
        <f t="shared" si="107"/>
        <v>22.5</v>
      </c>
      <c r="CH21" s="360">
        <f t="shared" si="135"/>
        <v>5.9258999999999999E-2</v>
      </c>
      <c r="CJ21" s="229">
        <v>2E-3</v>
      </c>
      <c r="CK21" s="387">
        <f t="shared" si="129"/>
        <v>0</v>
      </c>
      <c r="CL21" s="259">
        <f t="shared" si="35"/>
        <v>0</v>
      </c>
      <c r="CM21" s="383">
        <f t="shared" si="36"/>
        <v>0</v>
      </c>
      <c r="CN21" s="383">
        <f t="shared" si="37"/>
        <v>0</v>
      </c>
      <c r="CO21" s="384">
        <f t="shared" si="108"/>
        <v>0</v>
      </c>
      <c r="CP21" s="385">
        <f t="shared" si="38"/>
        <v>0</v>
      </c>
      <c r="CQ21" s="383">
        <f t="shared" si="39"/>
        <v>0</v>
      </c>
      <c r="CR21" s="386" t="e">
        <f t="shared" si="40"/>
        <v>#DIV/0!</v>
      </c>
      <c r="CS21" s="407">
        <f t="shared" si="109"/>
        <v>6</v>
      </c>
      <c r="CT21" s="408">
        <f t="shared" si="110"/>
        <v>1</v>
      </c>
      <c r="CU21" s="279"/>
      <c r="CV21" s="277">
        <v>6</v>
      </c>
      <c r="CW21" s="278">
        <v>1</v>
      </c>
      <c r="CY21" s="411"/>
      <c r="CZ21" s="230"/>
      <c r="DD21" s="414"/>
      <c r="DE21" s="407">
        <v>0</v>
      </c>
      <c r="DF21" s="259">
        <v>1</v>
      </c>
      <c r="DG21" s="414">
        <f t="shared" si="41"/>
        <v>0</v>
      </c>
      <c r="DH21" s="407">
        <f t="shared" si="42"/>
        <v>0</v>
      </c>
      <c r="DI21" s="259">
        <f t="shared" si="111"/>
        <v>1</v>
      </c>
      <c r="DJ21" s="414">
        <f t="shared" si="44"/>
        <v>0</v>
      </c>
      <c r="DK21" s="407">
        <f t="shared" si="45"/>
        <v>0</v>
      </c>
      <c r="DL21" s="259">
        <f t="shared" si="112"/>
        <v>1</v>
      </c>
      <c r="DM21" s="414">
        <f t="shared" si="47"/>
        <v>0</v>
      </c>
      <c r="DN21" s="407">
        <f t="shared" si="113"/>
        <v>0</v>
      </c>
      <c r="DO21" s="259">
        <f t="shared" si="114"/>
        <v>1</v>
      </c>
      <c r="DP21" s="414">
        <f t="shared" si="50"/>
        <v>0</v>
      </c>
      <c r="DQ21" s="407">
        <f t="shared" si="115"/>
        <v>0</v>
      </c>
      <c r="DR21" s="259">
        <f t="shared" si="116"/>
        <v>1</v>
      </c>
      <c r="DS21" s="414">
        <f t="shared" si="53"/>
        <v>0</v>
      </c>
      <c r="DT21" s="407">
        <f t="shared" si="117"/>
        <v>0</v>
      </c>
      <c r="DU21" s="259">
        <f t="shared" si="118"/>
        <v>1</v>
      </c>
      <c r="DV21" s="414">
        <f t="shared" si="56"/>
        <v>0</v>
      </c>
      <c r="DW21" s="407">
        <f t="shared" si="119"/>
        <v>0</v>
      </c>
      <c r="DX21" s="259">
        <f t="shared" si="120"/>
        <v>1</v>
      </c>
      <c r="DY21" s="414">
        <f t="shared" si="59"/>
        <v>0</v>
      </c>
      <c r="DZ21" s="407">
        <f t="shared" si="121"/>
        <v>0</v>
      </c>
      <c r="EA21" s="259">
        <f t="shared" si="122"/>
        <v>1</v>
      </c>
      <c r="EB21" s="414">
        <f t="shared" si="62"/>
        <v>0</v>
      </c>
      <c r="EC21" s="407">
        <f t="shared" si="123"/>
        <v>0</v>
      </c>
      <c r="ED21" s="259">
        <f t="shared" si="124"/>
        <v>1</v>
      </c>
      <c r="EE21" s="414">
        <f t="shared" si="65"/>
        <v>0</v>
      </c>
      <c r="EF21" s="407">
        <f t="shared" si="125"/>
        <v>0</v>
      </c>
      <c r="EG21" s="259">
        <f t="shared" si="126"/>
        <v>1</v>
      </c>
      <c r="EH21" s="414">
        <f t="shared" si="68"/>
        <v>0</v>
      </c>
      <c r="EI21" s="407">
        <f t="shared" si="69"/>
        <v>0</v>
      </c>
      <c r="EJ21" s="259">
        <f t="shared" si="70"/>
        <v>2</v>
      </c>
      <c r="EK21" s="414">
        <f t="shared" si="71"/>
        <v>0</v>
      </c>
      <c r="EL21" s="407">
        <f t="shared" si="72"/>
        <v>0</v>
      </c>
      <c r="EM21" s="259">
        <f t="shared" si="73"/>
        <v>4</v>
      </c>
      <c r="EN21" s="414">
        <f t="shared" si="74"/>
        <v>0</v>
      </c>
      <c r="EO21" s="407">
        <f t="shared" si="75"/>
        <v>0</v>
      </c>
      <c r="EP21" s="259">
        <f t="shared" si="76"/>
        <v>6</v>
      </c>
      <c r="EQ21" s="414">
        <f t="shared" si="77"/>
        <v>0</v>
      </c>
      <c r="ER21" s="407">
        <f t="shared" si="78"/>
        <v>0</v>
      </c>
      <c r="ES21" s="259">
        <f t="shared" si="79"/>
        <v>8</v>
      </c>
      <c r="ET21" s="414">
        <f t="shared" si="80"/>
        <v>0</v>
      </c>
      <c r="EU21" s="407">
        <f t="shared" si="81"/>
        <v>0</v>
      </c>
      <c r="EV21" s="259">
        <f t="shared" si="82"/>
        <v>10</v>
      </c>
      <c r="EW21" s="414">
        <f t="shared" si="83"/>
        <v>0</v>
      </c>
      <c r="EX21" s="407">
        <f t="shared" si="84"/>
        <v>0</v>
      </c>
      <c r="EY21" s="259">
        <f t="shared" si="85"/>
        <v>20</v>
      </c>
      <c r="EZ21" s="414">
        <f t="shared" si="86"/>
        <v>0</v>
      </c>
      <c r="FA21" s="407">
        <f t="shared" si="87"/>
        <v>0</v>
      </c>
      <c r="FB21" s="259">
        <f t="shared" si="88"/>
        <v>40</v>
      </c>
      <c r="FC21" s="414">
        <f t="shared" si="89"/>
        <v>0</v>
      </c>
      <c r="FD21" s="407">
        <f t="shared" si="90"/>
        <v>0</v>
      </c>
      <c r="FE21" s="259">
        <f t="shared" si="91"/>
        <v>60</v>
      </c>
      <c r="FF21" s="414">
        <f t="shared" si="92"/>
        <v>0</v>
      </c>
      <c r="FG21" s="407">
        <f t="shared" si="93"/>
        <v>0</v>
      </c>
      <c r="FH21" s="259">
        <f t="shared" si="94"/>
        <v>80</v>
      </c>
      <c r="FI21" s="414">
        <f t="shared" si="95"/>
        <v>0</v>
      </c>
      <c r="FJ21" s="407">
        <f t="shared" si="96"/>
        <v>0</v>
      </c>
      <c r="FK21" s="259">
        <f t="shared" si="97"/>
        <v>100</v>
      </c>
      <c r="FL21" s="414">
        <f t="shared" si="98"/>
        <v>0</v>
      </c>
      <c r="FP21" s="421">
        <f t="shared" si="130"/>
        <v>0</v>
      </c>
      <c r="FQ21" s="421">
        <f t="shared" si="130"/>
        <v>0</v>
      </c>
      <c r="FR21" s="421">
        <f t="shared" si="130"/>
        <v>0</v>
      </c>
      <c r="FS21" s="421">
        <f t="shared" si="130"/>
        <v>8.3333333333333331E-5</v>
      </c>
      <c r="FT21" s="421">
        <f t="shared" si="130"/>
        <v>1.0416666666666667E-4</v>
      </c>
      <c r="FU21" s="421">
        <f t="shared" si="130"/>
        <v>2.0833333333333335E-4</v>
      </c>
      <c r="FV21" s="421">
        <f t="shared" si="130"/>
        <v>4.1666666666666669E-4</v>
      </c>
      <c r="FW21" s="421">
        <f t="shared" si="130"/>
        <v>6.2500000000000001E-4</v>
      </c>
      <c r="FX21" s="421">
        <f t="shared" si="130"/>
        <v>8.3333333333333339E-4</v>
      </c>
      <c r="FY21" s="421">
        <f t="shared" si="130"/>
        <v>1.0416666666666667E-3</v>
      </c>
      <c r="FZ21" s="421">
        <f t="shared" si="131"/>
        <v>2.0833333333333333E-3</v>
      </c>
      <c r="GA21" s="421">
        <f t="shared" si="131"/>
        <v>4.1666666666666666E-3</v>
      </c>
      <c r="GB21" s="421">
        <f t="shared" si="131"/>
        <v>5.6249999999999989E-3</v>
      </c>
      <c r="GC21" s="421">
        <f t="shared" si="131"/>
        <v>6.6666666666666671E-3</v>
      </c>
      <c r="GD21" s="421">
        <f t="shared" si="131"/>
        <v>8.3333333333333332E-3</v>
      </c>
      <c r="GE21" s="421">
        <f t="shared" si="131"/>
        <v>1.0416666666666666E-2</v>
      </c>
      <c r="GF21" s="421">
        <f t="shared" si="131"/>
        <v>2.0833333333333332E-2</v>
      </c>
      <c r="GG21" s="421">
        <f t="shared" si="131"/>
        <v>3.125E-2</v>
      </c>
      <c r="GH21" s="421">
        <f t="shared" si="131"/>
        <v>4.1666666666666664E-2</v>
      </c>
      <c r="GI21" s="421">
        <f t="shared" si="131"/>
        <v>4.1666666666666664E-2</v>
      </c>
    </row>
    <row r="22" spans="1:191" ht="16.2" x14ac:dyDescent="0.4">
      <c r="A22" s="63">
        <v>18</v>
      </c>
      <c r="B22" s="242" t="s">
        <v>1377</v>
      </c>
      <c r="C22" s="63">
        <v>2</v>
      </c>
      <c r="D22" s="63">
        <v>-1</v>
      </c>
      <c r="E22" s="63">
        <v>22</v>
      </c>
      <c r="F22" s="63">
        <f t="shared" si="16"/>
        <v>22</v>
      </c>
      <c r="G22" s="63">
        <f t="shared" si="101"/>
        <v>22</v>
      </c>
      <c r="H22" s="63"/>
      <c r="I22" s="63">
        <f t="shared" si="132"/>
        <v>0</v>
      </c>
      <c r="J22" s="63">
        <f t="shared" si="18"/>
        <v>0</v>
      </c>
      <c r="K22" s="63">
        <v>0</v>
      </c>
      <c r="L22" s="254">
        <f>ROUND($BK$7/('全局参数|GlobalPar'!$B$18/10000/E22),6)*(7/5)</f>
        <v>1.52782E-2</v>
      </c>
      <c r="M22" s="255">
        <v>1</v>
      </c>
      <c r="N22" s="256">
        <f>ROUND(IF(M22&lt;&gt;0,$BK$4/('全局参数|GlobalPar'!$B$18/10000/E22)/M22,0),6)</f>
        <v>0</v>
      </c>
      <c r="O22" s="259">
        <f t="shared" si="19"/>
        <v>4.4000000000000003E-3</v>
      </c>
      <c r="P22" s="260">
        <f t="shared" si="20"/>
        <v>0</v>
      </c>
      <c r="Q22" s="277">
        <v>7</v>
      </c>
      <c r="R22" s="278">
        <v>1</v>
      </c>
      <c r="S22" s="279" t="str">
        <f t="shared" si="21"/>
        <v>[[0,1],[0,1],[0,1],[0,1],[0,1],[0,1],[0,1],[0,1],[0,1],[0,1],[0,2],[0,4],[0,6],[0,8],[0,10],[0,20],[0,40],[0,60],[0,80],[0,100]]</v>
      </c>
      <c r="T22" s="63">
        <v>0</v>
      </c>
      <c r="U22" s="281">
        <v>0</v>
      </c>
      <c r="V22" s="280">
        <f t="shared" si="22"/>
        <v>0</v>
      </c>
      <c r="W22" s="280">
        <v>0.06</v>
      </c>
      <c r="X22" s="280">
        <f t="shared" si="102"/>
        <v>0.1</v>
      </c>
      <c r="Y22" s="304">
        <f t="shared" si="127"/>
        <v>0.05</v>
      </c>
      <c r="Z22" s="63" t="str">
        <f t="shared" si="103"/>
        <v>[[1,5],[2,2],[3,1]]</v>
      </c>
      <c r="AA22" s="305" t="str">
        <f t="shared" si="104"/>
        <v>[0.195556,0.097778,0.065185]</v>
      </c>
      <c r="AB22" s="305">
        <f t="shared" si="105"/>
        <v>0.11</v>
      </c>
      <c r="AC22" s="305">
        <v>0</v>
      </c>
      <c r="AD22" s="306">
        <v>7</v>
      </c>
      <c r="AE22" s="63">
        <f t="shared" si="23"/>
        <v>-1</v>
      </c>
      <c r="AF22" s="63">
        <v>0</v>
      </c>
      <c r="AG22" s="39"/>
      <c r="AH22" s="39">
        <v>3</v>
      </c>
      <c r="AI22" s="39">
        <v>1</v>
      </c>
      <c r="AJ22" s="63">
        <v>1</v>
      </c>
      <c r="AK22" s="63">
        <v>1</v>
      </c>
      <c r="AL22" s="63">
        <v>1</v>
      </c>
      <c r="AM22" s="63">
        <v>1</v>
      </c>
      <c r="AN22" s="63"/>
      <c r="AO22" s="39"/>
      <c r="AP22" s="39"/>
      <c r="AQ22" s="310">
        <v>0.6</v>
      </c>
      <c r="AR22" s="39">
        <v>40</v>
      </c>
      <c r="AS22" s="39">
        <v>0.18</v>
      </c>
      <c r="AT22" s="39">
        <v>0.8</v>
      </c>
      <c r="AU22" s="39">
        <v>1</v>
      </c>
      <c r="AV22" s="39" t="s">
        <v>1314</v>
      </c>
      <c r="AW22" s="317" t="s">
        <v>1378</v>
      </c>
      <c r="AX22" s="317" t="s">
        <v>1379</v>
      </c>
      <c r="AY22" s="316" t="s">
        <v>1380</v>
      </c>
      <c r="AZ22" s="316" t="s">
        <v>258</v>
      </c>
      <c r="BA22" s="78">
        <f t="shared" si="24"/>
        <v>16.5</v>
      </c>
      <c r="BB22" s="318">
        <f t="shared" si="25"/>
        <v>9.0909090909090917</v>
      </c>
      <c r="BC22" s="78" t="s">
        <v>1317</v>
      </c>
      <c r="BD22" s="78">
        <f t="shared" si="26"/>
        <v>0.746</v>
      </c>
      <c r="BE22" s="78"/>
      <c r="BF22" s="63">
        <f t="shared" si="27"/>
        <v>22</v>
      </c>
      <c r="BG22" s="63">
        <f t="shared" si="28"/>
        <v>23.32</v>
      </c>
      <c r="BI22" s="63">
        <f t="shared" si="29"/>
        <v>0</v>
      </c>
      <c r="BT22" s="344">
        <f t="shared" si="30"/>
        <v>24.200000000000003</v>
      </c>
      <c r="BU22" s="353">
        <f t="shared" si="128"/>
        <v>0.1</v>
      </c>
      <c r="BV22" s="354">
        <v>1</v>
      </c>
      <c r="BW22" s="133">
        <v>5</v>
      </c>
      <c r="BX22" s="354">
        <v>2</v>
      </c>
      <c r="BY22" s="133">
        <v>2</v>
      </c>
      <c r="BZ22" s="354">
        <v>3</v>
      </c>
      <c r="CA22" s="133">
        <v>1</v>
      </c>
      <c r="CB22" s="133">
        <f t="shared" si="106"/>
        <v>1.5</v>
      </c>
      <c r="CC22" s="133">
        <f t="shared" si="107"/>
        <v>7.5</v>
      </c>
      <c r="CD22" s="358">
        <f t="shared" si="133"/>
        <v>0.19555600000000001</v>
      </c>
      <c r="CE22" s="133">
        <f t="shared" si="107"/>
        <v>15</v>
      </c>
      <c r="CF22" s="359">
        <f t="shared" si="134"/>
        <v>9.7778000000000004E-2</v>
      </c>
      <c r="CG22" s="133">
        <f t="shared" si="107"/>
        <v>22.5</v>
      </c>
      <c r="CH22" s="360">
        <f t="shared" si="135"/>
        <v>6.5185000000000007E-2</v>
      </c>
      <c r="CJ22" s="229">
        <v>2E-3</v>
      </c>
      <c r="CK22" s="387">
        <f t="shared" si="129"/>
        <v>0</v>
      </c>
      <c r="CL22" s="259">
        <f t="shared" si="35"/>
        <v>0</v>
      </c>
      <c r="CM22" s="383">
        <f t="shared" si="36"/>
        <v>0</v>
      </c>
      <c r="CN22" s="383">
        <f t="shared" si="37"/>
        <v>0</v>
      </c>
      <c r="CO22" s="384">
        <f t="shared" si="108"/>
        <v>0</v>
      </c>
      <c r="CP22" s="385">
        <f t="shared" si="38"/>
        <v>0</v>
      </c>
      <c r="CQ22" s="383">
        <f t="shared" si="39"/>
        <v>0</v>
      </c>
      <c r="CR22" s="386" t="e">
        <f t="shared" si="40"/>
        <v>#DIV/0!</v>
      </c>
      <c r="CS22" s="407">
        <f t="shared" si="109"/>
        <v>7</v>
      </c>
      <c r="CT22" s="408">
        <f t="shared" si="110"/>
        <v>1</v>
      </c>
      <c r="CU22" s="279"/>
      <c r="CV22" s="277">
        <v>7</v>
      </c>
      <c r="CW22" s="278">
        <v>1</v>
      </c>
      <c r="CY22" s="411"/>
      <c r="CZ22" s="230"/>
      <c r="DD22" s="414"/>
      <c r="DE22" s="407">
        <v>0</v>
      </c>
      <c r="DF22" s="259">
        <v>1</v>
      </c>
      <c r="DG22" s="414">
        <f t="shared" si="41"/>
        <v>0</v>
      </c>
      <c r="DH22" s="407">
        <f t="shared" si="42"/>
        <v>0</v>
      </c>
      <c r="DI22" s="259">
        <f t="shared" si="111"/>
        <v>1</v>
      </c>
      <c r="DJ22" s="414">
        <f t="shared" si="44"/>
        <v>0</v>
      </c>
      <c r="DK22" s="407">
        <f t="shared" si="45"/>
        <v>0</v>
      </c>
      <c r="DL22" s="259">
        <f t="shared" si="112"/>
        <v>1</v>
      </c>
      <c r="DM22" s="414">
        <f t="shared" si="47"/>
        <v>0</v>
      </c>
      <c r="DN22" s="407">
        <f t="shared" si="113"/>
        <v>0</v>
      </c>
      <c r="DO22" s="259">
        <f t="shared" si="114"/>
        <v>1</v>
      </c>
      <c r="DP22" s="414">
        <f t="shared" si="50"/>
        <v>0</v>
      </c>
      <c r="DQ22" s="407">
        <f t="shared" si="115"/>
        <v>0</v>
      </c>
      <c r="DR22" s="259">
        <f t="shared" si="116"/>
        <v>1</v>
      </c>
      <c r="DS22" s="414">
        <f t="shared" si="53"/>
        <v>0</v>
      </c>
      <c r="DT22" s="407">
        <f t="shared" si="117"/>
        <v>0</v>
      </c>
      <c r="DU22" s="259">
        <f t="shared" si="118"/>
        <v>1</v>
      </c>
      <c r="DV22" s="414">
        <f t="shared" si="56"/>
        <v>0</v>
      </c>
      <c r="DW22" s="407">
        <f t="shared" si="119"/>
        <v>0</v>
      </c>
      <c r="DX22" s="259">
        <f t="shared" si="120"/>
        <v>1</v>
      </c>
      <c r="DY22" s="414">
        <f t="shared" si="59"/>
        <v>0</v>
      </c>
      <c r="DZ22" s="407">
        <f t="shared" si="121"/>
        <v>0</v>
      </c>
      <c r="EA22" s="259">
        <f t="shared" si="122"/>
        <v>1</v>
      </c>
      <c r="EB22" s="414">
        <f t="shared" si="62"/>
        <v>0</v>
      </c>
      <c r="EC22" s="407">
        <f t="shared" si="123"/>
        <v>0</v>
      </c>
      <c r="ED22" s="259">
        <f t="shared" si="124"/>
        <v>1</v>
      </c>
      <c r="EE22" s="414">
        <f t="shared" si="65"/>
        <v>0</v>
      </c>
      <c r="EF22" s="407">
        <f t="shared" si="125"/>
        <v>0</v>
      </c>
      <c r="EG22" s="259">
        <f t="shared" si="126"/>
        <v>1</v>
      </c>
      <c r="EH22" s="414">
        <f t="shared" si="68"/>
        <v>0</v>
      </c>
      <c r="EI22" s="407">
        <f t="shared" si="69"/>
        <v>0</v>
      </c>
      <c r="EJ22" s="259">
        <f t="shared" si="70"/>
        <v>2</v>
      </c>
      <c r="EK22" s="414">
        <f t="shared" si="71"/>
        <v>0</v>
      </c>
      <c r="EL22" s="407">
        <f t="shared" si="72"/>
        <v>0</v>
      </c>
      <c r="EM22" s="259">
        <f t="shared" si="73"/>
        <v>4</v>
      </c>
      <c r="EN22" s="414">
        <f t="shared" si="74"/>
        <v>0</v>
      </c>
      <c r="EO22" s="407">
        <f t="shared" si="75"/>
        <v>0</v>
      </c>
      <c r="EP22" s="259">
        <f t="shared" si="76"/>
        <v>6</v>
      </c>
      <c r="EQ22" s="414">
        <f t="shared" si="77"/>
        <v>0</v>
      </c>
      <c r="ER22" s="407">
        <f t="shared" si="78"/>
        <v>0</v>
      </c>
      <c r="ES22" s="259">
        <f t="shared" si="79"/>
        <v>8</v>
      </c>
      <c r="ET22" s="414">
        <f t="shared" si="80"/>
        <v>0</v>
      </c>
      <c r="EU22" s="407">
        <f t="shared" si="81"/>
        <v>0</v>
      </c>
      <c r="EV22" s="259">
        <f t="shared" si="82"/>
        <v>10</v>
      </c>
      <c r="EW22" s="414">
        <f t="shared" si="83"/>
        <v>0</v>
      </c>
      <c r="EX22" s="407">
        <f t="shared" si="84"/>
        <v>0</v>
      </c>
      <c r="EY22" s="259">
        <f t="shared" si="85"/>
        <v>20</v>
      </c>
      <c r="EZ22" s="414">
        <f t="shared" si="86"/>
        <v>0</v>
      </c>
      <c r="FA22" s="407">
        <f t="shared" si="87"/>
        <v>0</v>
      </c>
      <c r="FB22" s="259">
        <f t="shared" si="88"/>
        <v>40</v>
      </c>
      <c r="FC22" s="414">
        <f t="shared" si="89"/>
        <v>0</v>
      </c>
      <c r="FD22" s="407">
        <f t="shared" si="90"/>
        <v>0</v>
      </c>
      <c r="FE22" s="259">
        <f t="shared" si="91"/>
        <v>60</v>
      </c>
      <c r="FF22" s="414">
        <f t="shared" si="92"/>
        <v>0</v>
      </c>
      <c r="FG22" s="407">
        <f t="shared" si="93"/>
        <v>0</v>
      </c>
      <c r="FH22" s="259">
        <f t="shared" si="94"/>
        <v>80</v>
      </c>
      <c r="FI22" s="414">
        <f t="shared" si="95"/>
        <v>0</v>
      </c>
      <c r="FJ22" s="407">
        <f t="shared" si="96"/>
        <v>0</v>
      </c>
      <c r="FK22" s="259">
        <f t="shared" si="97"/>
        <v>100</v>
      </c>
      <c r="FL22" s="414">
        <f t="shared" si="98"/>
        <v>0</v>
      </c>
      <c r="FP22" s="421">
        <f t="shared" si="130"/>
        <v>0</v>
      </c>
      <c r="FQ22" s="421">
        <f t="shared" si="130"/>
        <v>0</v>
      </c>
      <c r="FR22" s="421">
        <f t="shared" si="130"/>
        <v>0</v>
      </c>
      <c r="FS22" s="421">
        <f t="shared" si="130"/>
        <v>9.1666666666666668E-5</v>
      </c>
      <c r="FT22" s="421">
        <f t="shared" si="130"/>
        <v>1.1458333333333334E-4</v>
      </c>
      <c r="FU22" s="421">
        <f t="shared" si="130"/>
        <v>2.2916666666666669E-4</v>
      </c>
      <c r="FV22" s="421">
        <f t="shared" si="130"/>
        <v>4.5833333333333338E-4</v>
      </c>
      <c r="FW22" s="421">
        <f t="shared" si="130"/>
        <v>6.8749999999999996E-4</v>
      </c>
      <c r="FX22" s="421">
        <f t="shared" si="130"/>
        <v>9.1666666666666676E-4</v>
      </c>
      <c r="FY22" s="421">
        <f t="shared" si="130"/>
        <v>1.1458333333333333E-3</v>
      </c>
      <c r="FZ22" s="421">
        <f t="shared" si="131"/>
        <v>2.2916666666666667E-3</v>
      </c>
      <c r="GA22" s="421">
        <f t="shared" si="131"/>
        <v>4.5833333333333334E-3</v>
      </c>
      <c r="GB22" s="421">
        <f t="shared" si="131"/>
        <v>6.1875000000000003E-3</v>
      </c>
      <c r="GC22" s="421">
        <f t="shared" si="131"/>
        <v>7.3333333333333332E-3</v>
      </c>
      <c r="GD22" s="421">
        <f t="shared" si="131"/>
        <v>9.1666666666666667E-3</v>
      </c>
      <c r="GE22" s="421">
        <f t="shared" si="131"/>
        <v>1.1458333333333333E-2</v>
      </c>
      <c r="GF22" s="421">
        <f t="shared" si="131"/>
        <v>2.2916666666666665E-2</v>
      </c>
      <c r="GG22" s="421">
        <f t="shared" si="131"/>
        <v>3.4375000000000003E-2</v>
      </c>
      <c r="GH22" s="421">
        <f t="shared" si="131"/>
        <v>4.583333333333333E-2</v>
      </c>
      <c r="GI22" s="421">
        <f t="shared" si="131"/>
        <v>4.583333333333333E-2</v>
      </c>
    </row>
    <row r="23" spans="1:191" ht="16.2" x14ac:dyDescent="0.4">
      <c r="A23" s="63">
        <v>19</v>
      </c>
      <c r="B23" s="242" t="s">
        <v>1381</v>
      </c>
      <c r="C23" s="63">
        <v>2</v>
      </c>
      <c r="D23" s="63">
        <v>-1</v>
      </c>
      <c r="E23" s="63">
        <v>24</v>
      </c>
      <c r="F23" s="63">
        <f t="shared" si="16"/>
        <v>24</v>
      </c>
      <c r="G23" s="63">
        <f t="shared" si="101"/>
        <v>24</v>
      </c>
      <c r="H23" s="63"/>
      <c r="I23" s="63">
        <f t="shared" si="132"/>
        <v>0</v>
      </c>
      <c r="J23" s="63">
        <f t="shared" si="18"/>
        <v>0</v>
      </c>
      <c r="K23" s="63">
        <v>0</v>
      </c>
      <c r="L23" s="254">
        <f>ROUND($BK$7/('全局参数|GlobalPar'!$B$18/10000/E23),6)*(7/5)</f>
        <v>1.6667000000000001E-2</v>
      </c>
      <c r="M23" s="255">
        <v>1</v>
      </c>
      <c r="N23" s="256">
        <f>ROUND(IF(M23&lt;&gt;0,$BK$4/('全局参数|GlobalPar'!$B$18/10000/E23)/M23,0),6)</f>
        <v>0</v>
      </c>
      <c r="O23" s="259">
        <f t="shared" si="19"/>
        <v>4.7999999999999996E-3</v>
      </c>
      <c r="P23" s="260">
        <f t="shared" si="20"/>
        <v>0</v>
      </c>
      <c r="Q23" s="277">
        <v>7</v>
      </c>
      <c r="R23" s="278">
        <v>1</v>
      </c>
      <c r="S23" s="279" t="str">
        <f t="shared" si="21"/>
        <v>[[0,1],[0,1],[0,1],[0,1],[0,1],[0,1],[0,1],[0,1],[0,1],[0,1],[0,2],[0,4],[0,6],[0,8],[0,10],[0,20],[0,40],[0,60],[0,80],[0,100]]</v>
      </c>
      <c r="T23" s="63">
        <v>0</v>
      </c>
      <c r="U23" s="281">
        <v>0</v>
      </c>
      <c r="V23" s="280">
        <f t="shared" si="22"/>
        <v>0</v>
      </c>
      <c r="W23" s="280">
        <v>0.06</v>
      </c>
      <c r="X23" s="280">
        <f t="shared" si="102"/>
        <v>0.1</v>
      </c>
      <c r="Y23" s="304">
        <f t="shared" si="127"/>
        <v>0.05</v>
      </c>
      <c r="Z23" s="63" t="str">
        <f t="shared" si="103"/>
        <v>[[1,5],[2,2],[3,1]]</v>
      </c>
      <c r="AA23" s="305" t="str">
        <f t="shared" si="104"/>
        <v>[0.213333,0.106667,0.071111]</v>
      </c>
      <c r="AB23" s="305">
        <f t="shared" si="105"/>
        <v>0.12</v>
      </c>
      <c r="AC23" s="305">
        <v>0</v>
      </c>
      <c r="AD23" s="306">
        <v>8</v>
      </c>
      <c r="AE23" s="63">
        <f t="shared" si="23"/>
        <v>-1</v>
      </c>
      <c r="AF23" s="63">
        <v>0</v>
      </c>
      <c r="AG23" s="63"/>
      <c r="AH23" s="39">
        <v>3</v>
      </c>
      <c r="AI23" s="39">
        <v>0</v>
      </c>
      <c r="AJ23" s="63">
        <v>1</v>
      </c>
      <c r="AK23" s="63">
        <v>1</v>
      </c>
      <c r="AL23" s="63">
        <v>1</v>
      </c>
      <c r="AM23" s="63">
        <v>1</v>
      </c>
      <c r="AN23" s="63"/>
      <c r="AO23" s="39"/>
      <c r="AP23" s="39"/>
      <c r="AQ23" s="310">
        <v>0.6</v>
      </c>
      <c r="AR23" s="39">
        <v>50</v>
      </c>
      <c r="AS23" s="39">
        <v>0.18</v>
      </c>
      <c r="AT23" s="39">
        <v>0.8</v>
      </c>
      <c r="AU23" s="39">
        <v>1</v>
      </c>
      <c r="AV23" s="39" t="s">
        <v>1314</v>
      </c>
      <c r="AW23" s="317" t="s">
        <v>1382</v>
      </c>
      <c r="AX23" s="317" t="s">
        <v>1383</v>
      </c>
      <c r="AY23" s="316" t="s">
        <v>1384</v>
      </c>
      <c r="AZ23" s="316" t="s">
        <v>258</v>
      </c>
      <c r="BA23" s="78">
        <f t="shared" si="24"/>
        <v>18</v>
      </c>
      <c r="BB23" s="318">
        <f t="shared" si="25"/>
        <v>8.3333333333333339</v>
      </c>
      <c r="BC23" s="78" t="s">
        <v>1317</v>
      </c>
      <c r="BD23" s="78">
        <f t="shared" si="26"/>
        <v>0.746</v>
      </c>
      <c r="BE23" s="78"/>
      <c r="BF23" s="63">
        <f t="shared" si="27"/>
        <v>24</v>
      </c>
      <c r="BG23" s="63">
        <f t="shared" si="28"/>
        <v>25.44</v>
      </c>
      <c r="BI23" s="63">
        <f t="shared" si="29"/>
        <v>0</v>
      </c>
      <c r="BT23" s="344">
        <f t="shared" si="30"/>
        <v>26.400000000000002</v>
      </c>
      <c r="BU23" s="353">
        <f t="shared" si="128"/>
        <v>0.1</v>
      </c>
      <c r="BV23" s="354">
        <v>1</v>
      </c>
      <c r="BW23" s="133">
        <v>5</v>
      </c>
      <c r="BX23" s="354">
        <v>2</v>
      </c>
      <c r="BY23" s="133">
        <v>2</v>
      </c>
      <c r="BZ23" s="354">
        <v>3</v>
      </c>
      <c r="CA23" s="133">
        <v>1</v>
      </c>
      <c r="CB23" s="133">
        <f t="shared" si="106"/>
        <v>1.5</v>
      </c>
      <c r="CC23" s="133">
        <f t="shared" si="107"/>
        <v>7.5</v>
      </c>
      <c r="CD23" s="358">
        <f t="shared" si="133"/>
        <v>0.21333299999999999</v>
      </c>
      <c r="CE23" s="133">
        <f t="shared" si="107"/>
        <v>15</v>
      </c>
      <c r="CF23" s="359">
        <f t="shared" si="134"/>
        <v>0.106667</v>
      </c>
      <c r="CG23" s="133">
        <f t="shared" si="107"/>
        <v>22.5</v>
      </c>
      <c r="CH23" s="360">
        <f t="shared" si="135"/>
        <v>7.1110999999999994E-2</v>
      </c>
      <c r="CJ23" s="229">
        <v>2E-3</v>
      </c>
      <c r="CK23" s="387">
        <f t="shared" si="129"/>
        <v>0</v>
      </c>
      <c r="CL23" s="259">
        <f t="shared" si="35"/>
        <v>0</v>
      </c>
      <c r="CM23" s="383">
        <f t="shared" si="36"/>
        <v>0</v>
      </c>
      <c r="CN23" s="383">
        <f t="shared" si="37"/>
        <v>0</v>
      </c>
      <c r="CO23" s="384">
        <f t="shared" si="108"/>
        <v>0</v>
      </c>
      <c r="CP23" s="385">
        <f t="shared" si="38"/>
        <v>0</v>
      </c>
      <c r="CQ23" s="383">
        <f t="shared" si="39"/>
        <v>0</v>
      </c>
      <c r="CR23" s="386" t="e">
        <f t="shared" si="40"/>
        <v>#DIV/0!</v>
      </c>
      <c r="CS23" s="407">
        <f t="shared" si="109"/>
        <v>7</v>
      </c>
      <c r="CT23" s="408">
        <f t="shared" si="110"/>
        <v>1</v>
      </c>
      <c r="CU23" s="279"/>
      <c r="CV23" s="277">
        <v>7</v>
      </c>
      <c r="CW23" s="278">
        <v>1</v>
      </c>
      <c r="CY23" s="411"/>
      <c r="CZ23" s="230"/>
      <c r="DD23" s="414"/>
      <c r="DE23" s="407">
        <v>0</v>
      </c>
      <c r="DF23" s="259">
        <v>1</v>
      </c>
      <c r="DG23" s="414">
        <f t="shared" si="41"/>
        <v>0</v>
      </c>
      <c r="DH23" s="407">
        <f t="shared" si="42"/>
        <v>0</v>
      </c>
      <c r="DI23" s="259">
        <f t="shared" si="111"/>
        <v>1</v>
      </c>
      <c r="DJ23" s="414">
        <f t="shared" si="44"/>
        <v>0</v>
      </c>
      <c r="DK23" s="407">
        <f t="shared" si="45"/>
        <v>0</v>
      </c>
      <c r="DL23" s="259">
        <f t="shared" si="112"/>
        <v>1</v>
      </c>
      <c r="DM23" s="414">
        <f t="shared" si="47"/>
        <v>0</v>
      </c>
      <c r="DN23" s="407">
        <f t="shared" si="113"/>
        <v>0</v>
      </c>
      <c r="DO23" s="259">
        <f t="shared" si="114"/>
        <v>1</v>
      </c>
      <c r="DP23" s="414">
        <f t="shared" si="50"/>
        <v>0</v>
      </c>
      <c r="DQ23" s="407">
        <f t="shared" si="115"/>
        <v>0</v>
      </c>
      <c r="DR23" s="259">
        <f t="shared" si="116"/>
        <v>1</v>
      </c>
      <c r="DS23" s="414">
        <f t="shared" si="53"/>
        <v>0</v>
      </c>
      <c r="DT23" s="407">
        <f t="shared" si="117"/>
        <v>0</v>
      </c>
      <c r="DU23" s="259">
        <f t="shared" si="118"/>
        <v>1</v>
      </c>
      <c r="DV23" s="414">
        <f t="shared" si="56"/>
        <v>0</v>
      </c>
      <c r="DW23" s="407">
        <f t="shared" si="119"/>
        <v>0</v>
      </c>
      <c r="DX23" s="259">
        <f t="shared" si="120"/>
        <v>1</v>
      </c>
      <c r="DY23" s="414">
        <f t="shared" si="59"/>
        <v>0</v>
      </c>
      <c r="DZ23" s="407">
        <f t="shared" si="121"/>
        <v>0</v>
      </c>
      <c r="EA23" s="259">
        <f t="shared" si="122"/>
        <v>1</v>
      </c>
      <c r="EB23" s="414">
        <f t="shared" si="62"/>
        <v>0</v>
      </c>
      <c r="EC23" s="407">
        <f t="shared" si="123"/>
        <v>0</v>
      </c>
      <c r="ED23" s="259">
        <f t="shared" si="124"/>
        <v>1</v>
      </c>
      <c r="EE23" s="414">
        <f t="shared" si="65"/>
        <v>0</v>
      </c>
      <c r="EF23" s="407">
        <f t="shared" si="125"/>
        <v>0</v>
      </c>
      <c r="EG23" s="259">
        <f t="shared" si="126"/>
        <v>1</v>
      </c>
      <c r="EH23" s="414">
        <f t="shared" si="68"/>
        <v>0</v>
      </c>
      <c r="EI23" s="407">
        <f t="shared" si="69"/>
        <v>0</v>
      </c>
      <c r="EJ23" s="259">
        <f t="shared" si="70"/>
        <v>2</v>
      </c>
      <c r="EK23" s="414">
        <f t="shared" si="71"/>
        <v>0</v>
      </c>
      <c r="EL23" s="407">
        <f t="shared" si="72"/>
        <v>0</v>
      </c>
      <c r="EM23" s="259">
        <f t="shared" si="73"/>
        <v>4</v>
      </c>
      <c r="EN23" s="414">
        <f t="shared" si="74"/>
        <v>0</v>
      </c>
      <c r="EO23" s="407">
        <f t="shared" si="75"/>
        <v>0</v>
      </c>
      <c r="EP23" s="259">
        <f t="shared" si="76"/>
        <v>6</v>
      </c>
      <c r="EQ23" s="414">
        <f t="shared" si="77"/>
        <v>0</v>
      </c>
      <c r="ER23" s="407">
        <f t="shared" si="78"/>
        <v>0</v>
      </c>
      <c r="ES23" s="259">
        <f t="shared" si="79"/>
        <v>8</v>
      </c>
      <c r="ET23" s="414">
        <f t="shared" si="80"/>
        <v>0</v>
      </c>
      <c r="EU23" s="407">
        <f t="shared" si="81"/>
        <v>0</v>
      </c>
      <c r="EV23" s="259">
        <f t="shared" si="82"/>
        <v>10</v>
      </c>
      <c r="EW23" s="414">
        <f t="shared" si="83"/>
        <v>0</v>
      </c>
      <c r="EX23" s="407">
        <f t="shared" si="84"/>
        <v>0</v>
      </c>
      <c r="EY23" s="259">
        <f t="shared" si="85"/>
        <v>20</v>
      </c>
      <c r="EZ23" s="414">
        <f t="shared" si="86"/>
        <v>0</v>
      </c>
      <c r="FA23" s="407">
        <f t="shared" si="87"/>
        <v>0</v>
      </c>
      <c r="FB23" s="259">
        <f t="shared" si="88"/>
        <v>40</v>
      </c>
      <c r="FC23" s="414">
        <f t="shared" si="89"/>
        <v>0</v>
      </c>
      <c r="FD23" s="407">
        <f t="shared" si="90"/>
        <v>0</v>
      </c>
      <c r="FE23" s="259">
        <f t="shared" si="91"/>
        <v>60</v>
      </c>
      <c r="FF23" s="414">
        <f t="shared" si="92"/>
        <v>0</v>
      </c>
      <c r="FG23" s="407">
        <f t="shared" si="93"/>
        <v>0</v>
      </c>
      <c r="FH23" s="259">
        <f t="shared" si="94"/>
        <v>80</v>
      </c>
      <c r="FI23" s="414">
        <f t="shared" si="95"/>
        <v>0</v>
      </c>
      <c r="FJ23" s="407">
        <f t="shared" si="96"/>
        <v>0</v>
      </c>
      <c r="FK23" s="259">
        <f t="shared" si="97"/>
        <v>100</v>
      </c>
      <c r="FL23" s="414">
        <f t="shared" si="98"/>
        <v>0</v>
      </c>
      <c r="FP23" s="421">
        <f t="shared" si="130"/>
        <v>0</v>
      </c>
      <c r="FQ23" s="421">
        <f t="shared" si="130"/>
        <v>0</v>
      </c>
      <c r="FR23" s="421">
        <f t="shared" si="130"/>
        <v>0</v>
      </c>
      <c r="FS23" s="421">
        <f t="shared" si="130"/>
        <v>1.0000000000000002E-4</v>
      </c>
      <c r="FT23" s="421">
        <f t="shared" si="130"/>
        <v>1.25E-4</v>
      </c>
      <c r="FU23" s="421">
        <f t="shared" si="130"/>
        <v>2.5000000000000001E-4</v>
      </c>
      <c r="FV23" s="421">
        <f t="shared" si="130"/>
        <v>5.0000000000000001E-4</v>
      </c>
      <c r="FW23" s="421">
        <f t="shared" si="130"/>
        <v>7.5000000000000012E-4</v>
      </c>
      <c r="FX23" s="421">
        <f t="shared" si="130"/>
        <v>1E-3</v>
      </c>
      <c r="FY23" s="421">
        <f t="shared" si="130"/>
        <v>1.2500000000000002E-3</v>
      </c>
      <c r="FZ23" s="421">
        <f t="shared" si="131"/>
        <v>2.5000000000000005E-3</v>
      </c>
      <c r="GA23" s="421">
        <f t="shared" si="131"/>
        <v>5.000000000000001E-3</v>
      </c>
      <c r="GB23" s="421">
        <f t="shared" si="131"/>
        <v>6.7499999999999999E-3</v>
      </c>
      <c r="GC23" s="421">
        <f t="shared" si="131"/>
        <v>8.0000000000000002E-3</v>
      </c>
      <c r="GD23" s="421">
        <f t="shared" si="131"/>
        <v>0.01</v>
      </c>
      <c r="GE23" s="421">
        <f t="shared" si="131"/>
        <v>1.2500000000000002E-2</v>
      </c>
      <c r="GF23" s="421">
        <f t="shared" si="131"/>
        <v>2.5000000000000005E-2</v>
      </c>
      <c r="GG23" s="421">
        <f t="shared" si="131"/>
        <v>3.7500000000000006E-2</v>
      </c>
      <c r="GH23" s="421">
        <f t="shared" si="131"/>
        <v>5.000000000000001E-2</v>
      </c>
      <c r="GI23" s="421">
        <f t="shared" si="131"/>
        <v>0.05</v>
      </c>
    </row>
    <row r="24" spans="1:191" s="230" customFormat="1" ht="16.2" x14ac:dyDescent="0.4">
      <c r="A24" s="63">
        <v>20</v>
      </c>
      <c r="B24" s="242" t="s">
        <v>1385</v>
      </c>
      <c r="C24" s="63">
        <v>3</v>
      </c>
      <c r="D24" s="63">
        <v>-1</v>
      </c>
      <c r="E24" s="63">
        <v>26</v>
      </c>
      <c r="F24" s="63">
        <f t="shared" si="16"/>
        <v>26</v>
      </c>
      <c r="G24" s="63">
        <f t="shared" si="101"/>
        <v>26</v>
      </c>
      <c r="H24" s="63"/>
      <c r="I24" s="63">
        <f t="shared" si="132"/>
        <v>0</v>
      </c>
      <c r="J24" s="63">
        <f t="shared" si="18"/>
        <v>0</v>
      </c>
      <c r="K24" s="63">
        <v>0</v>
      </c>
      <c r="L24" s="254">
        <f>ROUND($BK$7/('全局参数|GlobalPar'!$B$18/10000/E24),6)*(7/5)</f>
        <v>1.80558E-2</v>
      </c>
      <c r="M24" s="255">
        <v>1</v>
      </c>
      <c r="N24" s="256">
        <f>ROUND(IF(M24&lt;&gt;0,$BK$4/('全局参数|GlobalPar'!$B$18/10000/E24)/M24,0),6)</f>
        <v>0</v>
      </c>
      <c r="O24" s="259">
        <f t="shared" si="19"/>
        <v>5.1999999999999998E-3</v>
      </c>
      <c r="P24" s="260">
        <f t="shared" si="20"/>
        <v>0</v>
      </c>
      <c r="Q24" s="277">
        <v>8</v>
      </c>
      <c r="R24" s="278">
        <v>1</v>
      </c>
      <c r="S24" s="279" t="str">
        <f t="shared" si="21"/>
        <v>[[0,1],[0,1],[0,1],[0,1],[0,1],[0,1],[0,1],[0,1],[0,1],[0,1],[0,2],[0,4],[0,6],[0,8],[0,10],[0,20],[0,40],[0,60],[0,80],[0,100]]</v>
      </c>
      <c r="T24" s="63">
        <v>0</v>
      </c>
      <c r="U24" s="281">
        <v>0</v>
      </c>
      <c r="V24" s="280">
        <f t="shared" si="22"/>
        <v>0</v>
      </c>
      <c r="W24" s="280">
        <v>0.06</v>
      </c>
      <c r="X24" s="280">
        <f t="shared" si="102"/>
        <v>0.1</v>
      </c>
      <c r="Y24" s="304">
        <f t="shared" si="127"/>
        <v>0.05</v>
      </c>
      <c r="Z24" s="63" t="str">
        <f t="shared" si="103"/>
        <v>[[2,5],[3,2],[4,1]]</v>
      </c>
      <c r="AA24" s="305" t="str">
        <f t="shared" si="104"/>
        <v>[0.138667,0.069333,0.046222]</v>
      </c>
      <c r="AB24" s="305">
        <f t="shared" si="105"/>
        <v>0.13</v>
      </c>
      <c r="AC24" s="305">
        <v>0</v>
      </c>
      <c r="AD24" s="306">
        <v>8</v>
      </c>
      <c r="AE24" s="63">
        <v>-1</v>
      </c>
      <c r="AF24" s="63">
        <v>0</v>
      </c>
      <c r="AG24" s="39">
        <v>1</v>
      </c>
      <c r="AH24" s="39">
        <v>3</v>
      </c>
      <c r="AI24" s="39">
        <v>1</v>
      </c>
      <c r="AJ24" s="63">
        <v>1</v>
      </c>
      <c r="AK24" s="63">
        <v>1</v>
      </c>
      <c r="AL24" s="63">
        <v>1</v>
      </c>
      <c r="AM24" s="63">
        <v>1</v>
      </c>
      <c r="AN24" s="63" t="s">
        <v>919</v>
      </c>
      <c r="AO24" s="39"/>
      <c r="AP24" s="39"/>
      <c r="AQ24" s="310">
        <v>0.6</v>
      </c>
      <c r="AR24" s="39">
        <v>55</v>
      </c>
      <c r="AS24" s="39">
        <v>0.18</v>
      </c>
      <c r="AT24" s="39">
        <v>0.8</v>
      </c>
      <c r="AU24" s="39">
        <v>1</v>
      </c>
      <c r="AV24" s="39" t="s">
        <v>1386</v>
      </c>
      <c r="AW24" s="317" t="s">
        <v>1387</v>
      </c>
      <c r="AX24" s="317" t="s">
        <v>1388</v>
      </c>
      <c r="AY24" s="316" t="s">
        <v>228</v>
      </c>
      <c r="AZ24" s="316" t="s">
        <v>258</v>
      </c>
      <c r="BA24" s="78">
        <f t="shared" si="24"/>
        <v>19.5</v>
      </c>
      <c r="BB24" s="318">
        <f t="shared" si="25"/>
        <v>7.6923076923076925</v>
      </c>
      <c r="BC24" s="78" t="s">
        <v>1317</v>
      </c>
      <c r="BD24" s="78">
        <f t="shared" si="26"/>
        <v>0.746</v>
      </c>
      <c r="BE24" s="78"/>
      <c r="BF24" s="63">
        <f t="shared" si="27"/>
        <v>26</v>
      </c>
      <c r="BG24" s="63">
        <f t="shared" si="28"/>
        <v>27.560000000000002</v>
      </c>
      <c r="BI24" s="63">
        <f t="shared" si="29"/>
        <v>0</v>
      </c>
      <c r="BM24" s="229"/>
      <c r="BT24" s="344">
        <f t="shared" si="30"/>
        <v>28.6</v>
      </c>
      <c r="BU24" s="353">
        <f t="shared" si="128"/>
        <v>0.1</v>
      </c>
      <c r="BV24" s="354">
        <v>2</v>
      </c>
      <c r="BW24" s="133">
        <v>5</v>
      </c>
      <c r="BX24" s="354">
        <v>3</v>
      </c>
      <c r="BY24" s="133">
        <v>2</v>
      </c>
      <c r="BZ24" s="354">
        <v>4</v>
      </c>
      <c r="CA24" s="133">
        <v>1</v>
      </c>
      <c r="CB24" s="133">
        <f t="shared" si="106"/>
        <v>2.5</v>
      </c>
      <c r="CC24" s="133">
        <f t="shared" si="107"/>
        <v>7.5</v>
      </c>
      <c r="CD24" s="358">
        <f t="shared" si="133"/>
        <v>0.13866700000000001</v>
      </c>
      <c r="CE24" s="133">
        <f t="shared" si="107"/>
        <v>15</v>
      </c>
      <c r="CF24" s="359">
        <f t="shared" si="134"/>
        <v>6.9333000000000006E-2</v>
      </c>
      <c r="CG24" s="133">
        <f t="shared" si="107"/>
        <v>22.5</v>
      </c>
      <c r="CH24" s="360">
        <f t="shared" si="135"/>
        <v>4.6221999999999999E-2</v>
      </c>
      <c r="CJ24" s="230">
        <v>2E-3</v>
      </c>
      <c r="CK24" s="387">
        <f t="shared" si="129"/>
        <v>0</v>
      </c>
      <c r="CL24" s="259">
        <f t="shared" si="35"/>
        <v>0</v>
      </c>
      <c r="CM24" s="383">
        <f t="shared" si="36"/>
        <v>0</v>
      </c>
      <c r="CN24" s="383">
        <f t="shared" si="37"/>
        <v>0</v>
      </c>
      <c r="CO24" s="384">
        <f t="shared" si="108"/>
        <v>0</v>
      </c>
      <c r="CP24" s="385">
        <f t="shared" si="38"/>
        <v>0</v>
      </c>
      <c r="CQ24" s="383">
        <f t="shared" si="39"/>
        <v>0</v>
      </c>
      <c r="CR24" s="386" t="e">
        <f t="shared" si="40"/>
        <v>#DIV/0!</v>
      </c>
      <c r="CS24" s="407">
        <f t="shared" si="109"/>
        <v>8</v>
      </c>
      <c r="CT24" s="408">
        <f t="shared" si="110"/>
        <v>1</v>
      </c>
      <c r="CU24" s="279"/>
      <c r="CV24" s="277">
        <v>8</v>
      </c>
      <c r="CW24" s="278">
        <v>1</v>
      </c>
      <c r="CY24" s="410"/>
      <c r="DD24" s="414"/>
      <c r="DE24" s="407">
        <v>0</v>
      </c>
      <c r="DF24" s="259">
        <v>1</v>
      </c>
      <c r="DG24" s="414">
        <f t="shared" si="41"/>
        <v>0</v>
      </c>
      <c r="DH24" s="407">
        <f t="shared" si="42"/>
        <v>0</v>
      </c>
      <c r="DI24" s="259">
        <f t="shared" si="111"/>
        <v>1</v>
      </c>
      <c r="DJ24" s="414">
        <f t="shared" si="44"/>
        <v>0</v>
      </c>
      <c r="DK24" s="407">
        <f t="shared" si="45"/>
        <v>0</v>
      </c>
      <c r="DL24" s="259">
        <f t="shared" si="112"/>
        <v>1</v>
      </c>
      <c r="DM24" s="414">
        <f t="shared" si="47"/>
        <v>0</v>
      </c>
      <c r="DN24" s="407">
        <f t="shared" si="113"/>
        <v>0</v>
      </c>
      <c r="DO24" s="259">
        <f t="shared" si="114"/>
        <v>1</v>
      </c>
      <c r="DP24" s="414">
        <f t="shared" si="50"/>
        <v>0</v>
      </c>
      <c r="DQ24" s="407">
        <f t="shared" si="115"/>
        <v>0</v>
      </c>
      <c r="DR24" s="259">
        <f t="shared" si="116"/>
        <v>1</v>
      </c>
      <c r="DS24" s="414">
        <f t="shared" si="53"/>
        <v>0</v>
      </c>
      <c r="DT24" s="407">
        <f t="shared" si="117"/>
        <v>0</v>
      </c>
      <c r="DU24" s="259">
        <f t="shared" si="118"/>
        <v>1</v>
      </c>
      <c r="DV24" s="414">
        <f t="shared" si="56"/>
        <v>0</v>
      </c>
      <c r="DW24" s="407">
        <f t="shared" si="119"/>
        <v>0</v>
      </c>
      <c r="DX24" s="259">
        <f t="shared" si="120"/>
        <v>1</v>
      </c>
      <c r="DY24" s="414">
        <f t="shared" si="59"/>
        <v>0</v>
      </c>
      <c r="DZ24" s="407">
        <f t="shared" si="121"/>
        <v>0</v>
      </c>
      <c r="EA24" s="259">
        <f t="shared" si="122"/>
        <v>1</v>
      </c>
      <c r="EB24" s="414">
        <f t="shared" si="62"/>
        <v>0</v>
      </c>
      <c r="EC24" s="407">
        <f t="shared" si="123"/>
        <v>0</v>
      </c>
      <c r="ED24" s="259">
        <f t="shared" si="124"/>
        <v>1</v>
      </c>
      <c r="EE24" s="414">
        <f t="shared" si="65"/>
        <v>0</v>
      </c>
      <c r="EF24" s="407">
        <f t="shared" si="125"/>
        <v>0</v>
      </c>
      <c r="EG24" s="259">
        <f t="shared" si="126"/>
        <v>1</v>
      </c>
      <c r="EH24" s="414">
        <f t="shared" si="68"/>
        <v>0</v>
      </c>
      <c r="EI24" s="407">
        <f t="shared" si="69"/>
        <v>0</v>
      </c>
      <c r="EJ24" s="259">
        <f t="shared" si="70"/>
        <v>2</v>
      </c>
      <c r="EK24" s="414">
        <f t="shared" si="71"/>
        <v>0</v>
      </c>
      <c r="EL24" s="407">
        <f t="shared" si="72"/>
        <v>0</v>
      </c>
      <c r="EM24" s="259">
        <f t="shared" si="73"/>
        <v>4</v>
      </c>
      <c r="EN24" s="414">
        <f t="shared" si="74"/>
        <v>0</v>
      </c>
      <c r="EO24" s="407">
        <f t="shared" si="75"/>
        <v>0</v>
      </c>
      <c r="EP24" s="259">
        <f t="shared" si="76"/>
        <v>6</v>
      </c>
      <c r="EQ24" s="414">
        <f t="shared" si="77"/>
        <v>0</v>
      </c>
      <c r="ER24" s="407">
        <f t="shared" si="78"/>
        <v>0</v>
      </c>
      <c r="ES24" s="259">
        <f t="shared" si="79"/>
        <v>8</v>
      </c>
      <c r="ET24" s="414">
        <f t="shared" si="80"/>
        <v>0</v>
      </c>
      <c r="EU24" s="407">
        <f t="shared" si="81"/>
        <v>0</v>
      </c>
      <c r="EV24" s="259">
        <f t="shared" si="82"/>
        <v>10</v>
      </c>
      <c r="EW24" s="414">
        <f t="shared" si="83"/>
        <v>0</v>
      </c>
      <c r="EX24" s="407">
        <f t="shared" si="84"/>
        <v>0</v>
      </c>
      <c r="EY24" s="259">
        <f t="shared" si="85"/>
        <v>20</v>
      </c>
      <c r="EZ24" s="414">
        <f t="shared" si="86"/>
        <v>0</v>
      </c>
      <c r="FA24" s="407">
        <f t="shared" si="87"/>
        <v>0</v>
      </c>
      <c r="FB24" s="259">
        <f t="shared" si="88"/>
        <v>40</v>
      </c>
      <c r="FC24" s="414">
        <f t="shared" si="89"/>
        <v>0</v>
      </c>
      <c r="FD24" s="407">
        <f t="shared" si="90"/>
        <v>0</v>
      </c>
      <c r="FE24" s="259">
        <f t="shared" si="91"/>
        <v>60</v>
      </c>
      <c r="FF24" s="414">
        <f t="shared" si="92"/>
        <v>0</v>
      </c>
      <c r="FG24" s="407">
        <f t="shared" si="93"/>
        <v>0</v>
      </c>
      <c r="FH24" s="259">
        <f t="shared" si="94"/>
        <v>80</v>
      </c>
      <c r="FI24" s="414">
        <f t="shared" si="95"/>
        <v>0</v>
      </c>
      <c r="FJ24" s="407">
        <f t="shared" si="96"/>
        <v>0</v>
      </c>
      <c r="FK24" s="259">
        <f t="shared" si="97"/>
        <v>100</v>
      </c>
      <c r="FL24" s="414">
        <f t="shared" si="98"/>
        <v>0</v>
      </c>
      <c r="FP24" s="421">
        <f t="shared" si="130"/>
        <v>0</v>
      </c>
      <c r="FQ24" s="421">
        <f t="shared" si="130"/>
        <v>0</v>
      </c>
      <c r="FR24" s="421">
        <f t="shared" si="130"/>
        <v>0</v>
      </c>
      <c r="FS24" s="421">
        <f t="shared" si="130"/>
        <v>1.0833333333333333E-4</v>
      </c>
      <c r="FT24" s="421">
        <f t="shared" si="130"/>
        <v>1.3541666666666666E-4</v>
      </c>
      <c r="FU24" s="421">
        <f t="shared" si="130"/>
        <v>2.7083333333333332E-4</v>
      </c>
      <c r="FV24" s="421">
        <f t="shared" si="130"/>
        <v>5.4166666666666664E-4</v>
      </c>
      <c r="FW24" s="421">
        <f t="shared" si="130"/>
        <v>8.1249999999999996E-4</v>
      </c>
      <c r="FX24" s="421">
        <f t="shared" si="130"/>
        <v>1.0833333333333333E-3</v>
      </c>
      <c r="FY24" s="421">
        <f t="shared" si="130"/>
        <v>1.3541666666666667E-3</v>
      </c>
      <c r="FZ24" s="421">
        <f t="shared" si="131"/>
        <v>2.7083333333333334E-3</v>
      </c>
      <c r="GA24" s="421">
        <f t="shared" si="131"/>
        <v>5.4166666666666669E-3</v>
      </c>
      <c r="GB24" s="421">
        <f t="shared" si="131"/>
        <v>7.3125000000000004E-3</v>
      </c>
      <c r="GC24" s="421">
        <f t="shared" si="131"/>
        <v>8.6666666666666663E-3</v>
      </c>
      <c r="GD24" s="421">
        <f t="shared" si="131"/>
        <v>1.0833333333333334E-2</v>
      </c>
      <c r="GE24" s="421">
        <f t="shared" si="131"/>
        <v>1.3541666666666667E-2</v>
      </c>
      <c r="GF24" s="421">
        <f t="shared" si="131"/>
        <v>2.7083333333333334E-2</v>
      </c>
      <c r="GG24" s="421">
        <f t="shared" si="131"/>
        <v>4.0625000000000001E-2</v>
      </c>
      <c r="GH24" s="421">
        <f t="shared" si="131"/>
        <v>5.4166666666666669E-2</v>
      </c>
      <c r="GI24" s="421">
        <f t="shared" si="131"/>
        <v>5.4166666666666669E-2</v>
      </c>
    </row>
    <row r="25" spans="1:191" ht="16.2" x14ac:dyDescent="0.4">
      <c r="A25" s="63">
        <v>21</v>
      </c>
      <c r="B25" s="242" t="s">
        <v>1389</v>
      </c>
      <c r="C25" s="63">
        <v>3</v>
      </c>
      <c r="D25" s="63">
        <v>-1</v>
      </c>
      <c r="E25" s="63">
        <v>28</v>
      </c>
      <c r="F25" s="63">
        <f t="shared" si="16"/>
        <v>28</v>
      </c>
      <c r="G25" s="63">
        <f t="shared" si="101"/>
        <v>28</v>
      </c>
      <c r="H25" s="63"/>
      <c r="I25" s="63">
        <f t="shared" si="132"/>
        <v>0</v>
      </c>
      <c r="J25" s="63">
        <f t="shared" si="18"/>
        <v>0</v>
      </c>
      <c r="K25" s="63">
        <v>0</v>
      </c>
      <c r="L25" s="254">
        <f>ROUND($BK$7/('全局参数|GlobalPar'!$B$18/10000/E25),6)*(7/5)</f>
        <v>1.9444599999999999E-2</v>
      </c>
      <c r="M25" s="255">
        <v>1</v>
      </c>
      <c r="N25" s="256">
        <f>ROUND(IF(M25&lt;&gt;0,$BK$4/('全局参数|GlobalPar'!$B$18/10000/E25)/M25,0),6)</f>
        <v>0</v>
      </c>
      <c r="O25" s="259">
        <f t="shared" si="19"/>
        <v>5.5999999999999999E-3</v>
      </c>
      <c r="P25" s="260">
        <f t="shared" si="20"/>
        <v>0</v>
      </c>
      <c r="Q25" s="277">
        <v>8</v>
      </c>
      <c r="R25" s="278">
        <v>1</v>
      </c>
      <c r="S25" s="279" t="str">
        <f t="shared" si="21"/>
        <v>[[0,1],[0,1],[0,1],[0,1],[0,1],[0,1],[0,1],[0,1],[0,1],[0,1],[0,2],[0,4],[0,6],[0,8],[0,10],[0,20],[0,40],[0,60],[0,80],[0,100]]</v>
      </c>
      <c r="T25" s="63">
        <v>0</v>
      </c>
      <c r="U25" s="281">
        <v>0</v>
      </c>
      <c r="V25" s="280">
        <f t="shared" si="22"/>
        <v>0</v>
      </c>
      <c r="W25" s="280">
        <v>0.06</v>
      </c>
      <c r="X25" s="280">
        <f t="shared" si="102"/>
        <v>0.1</v>
      </c>
      <c r="Y25" s="304">
        <f t="shared" si="127"/>
        <v>0.05</v>
      </c>
      <c r="Z25" s="63" t="str">
        <f t="shared" si="103"/>
        <v>[[2,5],[3,2],[4,1]]</v>
      </c>
      <c r="AA25" s="305" t="str">
        <f t="shared" si="104"/>
        <v>[0.149333,0.074667,0.049778]</v>
      </c>
      <c r="AB25" s="305">
        <f t="shared" si="105"/>
        <v>0.14000000000000001</v>
      </c>
      <c r="AC25" s="305">
        <v>0</v>
      </c>
      <c r="AD25" s="306">
        <v>9</v>
      </c>
      <c r="AE25" s="63">
        <v>-1</v>
      </c>
      <c r="AF25" s="63">
        <v>0</v>
      </c>
      <c r="AG25" s="63">
        <v>1</v>
      </c>
      <c r="AH25" s="39">
        <v>3</v>
      </c>
      <c r="AI25" s="39">
        <v>1</v>
      </c>
      <c r="AJ25" s="63">
        <v>1</v>
      </c>
      <c r="AK25" s="63">
        <v>1</v>
      </c>
      <c r="AL25" s="63">
        <v>1</v>
      </c>
      <c r="AM25" s="63">
        <v>1</v>
      </c>
      <c r="AN25" s="246" t="s">
        <v>919</v>
      </c>
      <c r="AO25" s="39"/>
      <c r="AP25" s="39"/>
      <c r="AQ25" s="310">
        <v>0.6</v>
      </c>
      <c r="AR25" s="39">
        <v>60</v>
      </c>
      <c r="AS25" s="39">
        <v>0.18</v>
      </c>
      <c r="AT25" s="39">
        <v>1</v>
      </c>
      <c r="AU25" s="39">
        <v>1</v>
      </c>
      <c r="AV25" s="39" t="s">
        <v>1386</v>
      </c>
      <c r="AW25" s="317" t="s">
        <v>1390</v>
      </c>
      <c r="AX25" s="317" t="s">
        <v>1391</v>
      </c>
      <c r="AY25" s="316" t="s">
        <v>1392</v>
      </c>
      <c r="AZ25" s="316" t="s">
        <v>258</v>
      </c>
      <c r="BA25" s="78">
        <f t="shared" si="24"/>
        <v>21</v>
      </c>
      <c r="BB25" s="318">
        <f t="shared" si="25"/>
        <v>7.1428571428571432</v>
      </c>
      <c r="BC25" s="78" t="s">
        <v>1317</v>
      </c>
      <c r="BD25" s="78">
        <f t="shared" si="26"/>
        <v>0.746</v>
      </c>
      <c r="BE25" s="78"/>
      <c r="BF25" s="63">
        <f t="shared" si="27"/>
        <v>28</v>
      </c>
      <c r="BG25" s="63">
        <f t="shared" si="28"/>
        <v>29.68</v>
      </c>
      <c r="BI25" s="63">
        <f t="shared" si="29"/>
        <v>0</v>
      </c>
      <c r="BT25" s="344">
        <f t="shared" si="30"/>
        <v>30.800000000000004</v>
      </c>
      <c r="BU25" s="353">
        <f t="shared" si="128"/>
        <v>0.1</v>
      </c>
      <c r="BV25" s="354">
        <v>2</v>
      </c>
      <c r="BW25" s="133">
        <v>5</v>
      </c>
      <c r="BX25" s="354">
        <v>3</v>
      </c>
      <c r="BY25" s="133">
        <v>2</v>
      </c>
      <c r="BZ25" s="354">
        <v>4</v>
      </c>
      <c r="CA25" s="133">
        <v>1</v>
      </c>
      <c r="CB25" s="133">
        <f t="shared" si="106"/>
        <v>2.5</v>
      </c>
      <c r="CC25" s="133">
        <f t="shared" si="107"/>
        <v>7.5</v>
      </c>
      <c r="CD25" s="358">
        <f t="shared" si="133"/>
        <v>0.14933299999999999</v>
      </c>
      <c r="CE25" s="133">
        <f t="shared" si="107"/>
        <v>15</v>
      </c>
      <c r="CF25" s="359">
        <f t="shared" si="134"/>
        <v>7.4666999999999997E-2</v>
      </c>
      <c r="CG25" s="133">
        <f t="shared" si="107"/>
        <v>22.5</v>
      </c>
      <c r="CH25" s="360">
        <f t="shared" si="135"/>
        <v>4.9778000000000003E-2</v>
      </c>
      <c r="CJ25" s="229">
        <v>2E-3</v>
      </c>
      <c r="CK25" s="387">
        <f t="shared" si="129"/>
        <v>0</v>
      </c>
      <c r="CL25" s="259">
        <f t="shared" si="35"/>
        <v>0</v>
      </c>
      <c r="CM25" s="383">
        <f t="shared" si="36"/>
        <v>0</v>
      </c>
      <c r="CN25" s="383">
        <f t="shared" si="37"/>
        <v>0</v>
      </c>
      <c r="CO25" s="384">
        <f t="shared" si="108"/>
        <v>0</v>
      </c>
      <c r="CP25" s="385">
        <f t="shared" si="38"/>
        <v>0</v>
      </c>
      <c r="CQ25" s="383">
        <f t="shared" si="39"/>
        <v>0</v>
      </c>
      <c r="CR25" s="386" t="e">
        <f t="shared" si="40"/>
        <v>#DIV/0!</v>
      </c>
      <c r="CS25" s="407">
        <f t="shared" si="109"/>
        <v>8</v>
      </c>
      <c r="CT25" s="408">
        <f t="shared" si="110"/>
        <v>1</v>
      </c>
      <c r="CU25" s="279"/>
      <c r="CV25" s="277">
        <v>8</v>
      </c>
      <c r="CW25" s="278">
        <v>1</v>
      </c>
      <c r="CY25" s="411"/>
      <c r="CZ25" s="230"/>
      <c r="DD25" s="414"/>
      <c r="DE25" s="407">
        <v>0</v>
      </c>
      <c r="DF25" s="259">
        <v>1</v>
      </c>
      <c r="DG25" s="414">
        <f t="shared" si="41"/>
        <v>0</v>
      </c>
      <c r="DH25" s="407">
        <f t="shared" si="42"/>
        <v>0</v>
      </c>
      <c r="DI25" s="259">
        <f t="shared" si="111"/>
        <v>1</v>
      </c>
      <c r="DJ25" s="414">
        <f t="shared" si="44"/>
        <v>0</v>
      </c>
      <c r="DK25" s="407">
        <f t="shared" si="45"/>
        <v>0</v>
      </c>
      <c r="DL25" s="259">
        <f t="shared" si="112"/>
        <v>1</v>
      </c>
      <c r="DM25" s="414">
        <f t="shared" si="47"/>
        <v>0</v>
      </c>
      <c r="DN25" s="407">
        <f t="shared" si="113"/>
        <v>0</v>
      </c>
      <c r="DO25" s="259">
        <f t="shared" si="114"/>
        <v>1</v>
      </c>
      <c r="DP25" s="414">
        <f t="shared" si="50"/>
        <v>0</v>
      </c>
      <c r="DQ25" s="407">
        <f t="shared" si="115"/>
        <v>0</v>
      </c>
      <c r="DR25" s="259">
        <f t="shared" si="116"/>
        <v>1</v>
      </c>
      <c r="DS25" s="414">
        <f t="shared" si="53"/>
        <v>0</v>
      </c>
      <c r="DT25" s="407">
        <f t="shared" si="117"/>
        <v>0</v>
      </c>
      <c r="DU25" s="259">
        <f t="shared" si="118"/>
        <v>1</v>
      </c>
      <c r="DV25" s="414">
        <f t="shared" si="56"/>
        <v>0</v>
      </c>
      <c r="DW25" s="407">
        <f t="shared" si="119"/>
        <v>0</v>
      </c>
      <c r="DX25" s="259">
        <f t="shared" si="120"/>
        <v>1</v>
      </c>
      <c r="DY25" s="414">
        <f t="shared" si="59"/>
        <v>0</v>
      </c>
      <c r="DZ25" s="407">
        <f t="shared" si="121"/>
        <v>0</v>
      </c>
      <c r="EA25" s="259">
        <f t="shared" si="122"/>
        <v>1</v>
      </c>
      <c r="EB25" s="414">
        <f t="shared" si="62"/>
        <v>0</v>
      </c>
      <c r="EC25" s="407">
        <f t="shared" si="123"/>
        <v>0</v>
      </c>
      <c r="ED25" s="259">
        <f t="shared" si="124"/>
        <v>1</v>
      </c>
      <c r="EE25" s="414">
        <f t="shared" si="65"/>
        <v>0</v>
      </c>
      <c r="EF25" s="407">
        <f t="shared" si="125"/>
        <v>0</v>
      </c>
      <c r="EG25" s="259">
        <f t="shared" si="126"/>
        <v>1</v>
      </c>
      <c r="EH25" s="414">
        <f t="shared" si="68"/>
        <v>0</v>
      </c>
      <c r="EI25" s="407">
        <f t="shared" si="69"/>
        <v>0</v>
      </c>
      <c r="EJ25" s="259">
        <f t="shared" si="70"/>
        <v>2</v>
      </c>
      <c r="EK25" s="414">
        <f t="shared" si="71"/>
        <v>0</v>
      </c>
      <c r="EL25" s="407">
        <f t="shared" si="72"/>
        <v>0</v>
      </c>
      <c r="EM25" s="259">
        <f t="shared" si="73"/>
        <v>4</v>
      </c>
      <c r="EN25" s="414">
        <f t="shared" si="74"/>
        <v>0</v>
      </c>
      <c r="EO25" s="407">
        <f t="shared" si="75"/>
        <v>0</v>
      </c>
      <c r="EP25" s="259">
        <f t="shared" si="76"/>
        <v>6</v>
      </c>
      <c r="EQ25" s="414">
        <f t="shared" si="77"/>
        <v>0</v>
      </c>
      <c r="ER25" s="407">
        <f t="shared" si="78"/>
        <v>0</v>
      </c>
      <c r="ES25" s="259">
        <f t="shared" si="79"/>
        <v>8</v>
      </c>
      <c r="ET25" s="414">
        <f t="shared" si="80"/>
        <v>0</v>
      </c>
      <c r="EU25" s="407">
        <f t="shared" si="81"/>
        <v>0</v>
      </c>
      <c r="EV25" s="259">
        <f t="shared" si="82"/>
        <v>10</v>
      </c>
      <c r="EW25" s="414">
        <f t="shared" si="83"/>
        <v>0</v>
      </c>
      <c r="EX25" s="407">
        <f t="shared" si="84"/>
        <v>0</v>
      </c>
      <c r="EY25" s="259">
        <f t="shared" si="85"/>
        <v>20</v>
      </c>
      <c r="EZ25" s="414">
        <f t="shared" si="86"/>
        <v>0</v>
      </c>
      <c r="FA25" s="407">
        <f t="shared" si="87"/>
        <v>0</v>
      </c>
      <c r="FB25" s="259">
        <f t="shared" si="88"/>
        <v>40</v>
      </c>
      <c r="FC25" s="414">
        <f t="shared" si="89"/>
        <v>0</v>
      </c>
      <c r="FD25" s="407">
        <f t="shared" si="90"/>
        <v>0</v>
      </c>
      <c r="FE25" s="259">
        <f t="shared" si="91"/>
        <v>60</v>
      </c>
      <c r="FF25" s="414">
        <f t="shared" si="92"/>
        <v>0</v>
      </c>
      <c r="FG25" s="407">
        <f t="shared" si="93"/>
        <v>0</v>
      </c>
      <c r="FH25" s="259">
        <f t="shared" si="94"/>
        <v>80</v>
      </c>
      <c r="FI25" s="414">
        <f t="shared" si="95"/>
        <v>0</v>
      </c>
      <c r="FJ25" s="407">
        <f t="shared" si="96"/>
        <v>0</v>
      </c>
      <c r="FK25" s="259">
        <f t="shared" si="97"/>
        <v>100</v>
      </c>
      <c r="FL25" s="414">
        <f t="shared" si="98"/>
        <v>0</v>
      </c>
      <c r="FP25" s="421">
        <f t="shared" ref="FP25:FY34" si="136">$Y25*FP$4/10000*$E25*FP$3/$FX$1</f>
        <v>0</v>
      </c>
      <c r="FQ25" s="421">
        <f t="shared" si="136"/>
        <v>0</v>
      </c>
      <c r="FR25" s="421">
        <f t="shared" si="136"/>
        <v>0</v>
      </c>
      <c r="FS25" s="421">
        <f t="shared" si="136"/>
        <v>1.1666666666666668E-4</v>
      </c>
      <c r="FT25" s="421">
        <f t="shared" si="136"/>
        <v>1.4583333333333335E-4</v>
      </c>
      <c r="FU25" s="421">
        <f t="shared" si="136"/>
        <v>2.9166666666666669E-4</v>
      </c>
      <c r="FV25" s="421">
        <f t="shared" si="136"/>
        <v>5.8333333333333338E-4</v>
      </c>
      <c r="FW25" s="421">
        <f t="shared" si="136"/>
        <v>8.7500000000000013E-4</v>
      </c>
      <c r="FX25" s="421">
        <f t="shared" si="136"/>
        <v>1.1666666666666668E-3</v>
      </c>
      <c r="FY25" s="421">
        <f t="shared" si="136"/>
        <v>1.4583333333333336E-3</v>
      </c>
      <c r="FZ25" s="421">
        <f t="shared" ref="FZ25:GI34" si="137">$Y25*FZ$4/10000*$E25*FZ$3/$FX$1</f>
        <v>2.9166666666666672E-3</v>
      </c>
      <c r="GA25" s="421">
        <f t="shared" si="137"/>
        <v>5.8333333333333345E-3</v>
      </c>
      <c r="GB25" s="421">
        <f t="shared" si="137"/>
        <v>7.8750000000000001E-3</v>
      </c>
      <c r="GC25" s="421">
        <f t="shared" si="137"/>
        <v>9.3333333333333341E-3</v>
      </c>
      <c r="GD25" s="421">
        <f t="shared" si="137"/>
        <v>1.1666666666666669E-2</v>
      </c>
      <c r="GE25" s="421">
        <f t="shared" si="137"/>
        <v>1.4583333333333335E-2</v>
      </c>
      <c r="GF25" s="421">
        <f t="shared" si="137"/>
        <v>2.9166666666666671E-2</v>
      </c>
      <c r="GG25" s="421">
        <f t="shared" si="137"/>
        <v>4.3750000000000004E-2</v>
      </c>
      <c r="GH25" s="421">
        <f t="shared" si="137"/>
        <v>5.8333333333333341E-2</v>
      </c>
      <c r="GI25" s="421">
        <f t="shared" si="137"/>
        <v>5.8333333333333341E-2</v>
      </c>
    </row>
    <row r="26" spans="1:191" x14ac:dyDescent="0.35">
      <c r="A26" s="63">
        <v>22</v>
      </c>
      <c r="B26" s="71" t="s">
        <v>1393</v>
      </c>
      <c r="C26" s="63">
        <f>C13</f>
        <v>1</v>
      </c>
      <c r="D26" s="63">
        <f t="shared" ref="D26:AX26" si="138">D13</f>
        <v>-1</v>
      </c>
      <c r="E26" s="63">
        <f t="shared" si="138"/>
        <v>4</v>
      </c>
      <c r="F26" s="63">
        <f t="shared" si="138"/>
        <v>4</v>
      </c>
      <c r="G26" s="63">
        <f t="shared" si="101"/>
        <v>4</v>
      </c>
      <c r="H26" s="63"/>
      <c r="I26" s="63">
        <f t="shared" si="138"/>
        <v>0</v>
      </c>
      <c r="J26" s="63">
        <f t="shared" si="138"/>
        <v>0</v>
      </c>
      <c r="K26" s="63">
        <f t="shared" si="138"/>
        <v>0</v>
      </c>
      <c r="L26" s="63">
        <f t="shared" si="138"/>
        <v>2.7775999999999999E-3</v>
      </c>
      <c r="M26" s="63">
        <f t="shared" si="138"/>
        <v>1</v>
      </c>
      <c r="N26" s="63">
        <f t="shared" si="138"/>
        <v>0</v>
      </c>
      <c r="O26" s="133">
        <f t="shared" si="138"/>
        <v>8.0000000000000004E-4</v>
      </c>
      <c r="P26" s="261">
        <f t="shared" si="138"/>
        <v>0</v>
      </c>
      <c r="Q26" s="63">
        <f t="shared" si="138"/>
        <v>2</v>
      </c>
      <c r="R26" s="63">
        <f t="shared" si="138"/>
        <v>1</v>
      </c>
      <c r="S26" s="63" t="str">
        <f t="shared" si="138"/>
        <v>[[0,1],[0,1],[0,1],[0,1],[0,1],[0,1],[0,1],[0,1],[0,1],[0,1],[0,2],[0,4],[0,6],[0,8],[0,10],[0,20],[0,40],[0,60],[0,80],[0,100]]</v>
      </c>
      <c r="T26" s="63">
        <v>0</v>
      </c>
      <c r="U26" s="63">
        <f t="shared" si="138"/>
        <v>0</v>
      </c>
      <c r="V26" s="63">
        <f t="shared" si="138"/>
        <v>0</v>
      </c>
      <c r="W26" s="63">
        <f t="shared" si="138"/>
        <v>0.06</v>
      </c>
      <c r="X26" s="63">
        <f t="shared" si="138"/>
        <v>0.1</v>
      </c>
      <c r="Y26" s="304">
        <f t="shared" si="127"/>
        <v>0.05</v>
      </c>
      <c r="Z26" s="63" t="str">
        <f t="shared" si="138"/>
        <v>[[1,5],[2,2],[3,1]]</v>
      </c>
      <c r="AA26" s="63" t="str">
        <f t="shared" si="138"/>
        <v>[0.035556,0.017778,0.011852]</v>
      </c>
      <c r="AB26" s="63">
        <f t="shared" si="138"/>
        <v>0</v>
      </c>
      <c r="AC26" s="63">
        <f t="shared" si="138"/>
        <v>0</v>
      </c>
      <c r="AD26" s="63">
        <f t="shared" si="138"/>
        <v>4</v>
      </c>
      <c r="AE26" s="63">
        <f t="shared" si="138"/>
        <v>-1</v>
      </c>
      <c r="AF26" s="63">
        <f t="shared" si="138"/>
        <v>0</v>
      </c>
      <c r="AG26" s="63">
        <f t="shared" si="138"/>
        <v>0</v>
      </c>
      <c r="AH26" s="63">
        <f t="shared" si="138"/>
        <v>0</v>
      </c>
      <c r="AI26" s="63">
        <f t="shared" si="138"/>
        <v>1</v>
      </c>
      <c r="AJ26" s="63">
        <f t="shared" si="138"/>
        <v>1</v>
      </c>
      <c r="AK26" s="63">
        <f t="shared" si="138"/>
        <v>1</v>
      </c>
      <c r="AL26" s="63">
        <f t="shared" si="138"/>
        <v>0.5</v>
      </c>
      <c r="AM26" s="63">
        <f t="shared" si="138"/>
        <v>1</v>
      </c>
      <c r="AN26" s="63">
        <f t="shared" si="138"/>
        <v>0</v>
      </c>
      <c r="AO26" s="63"/>
      <c r="AP26" s="63"/>
      <c r="AQ26" s="63">
        <f t="shared" si="138"/>
        <v>0.6</v>
      </c>
      <c r="AR26" s="63">
        <f t="shared" si="138"/>
        <v>10</v>
      </c>
      <c r="AS26" s="63">
        <f t="shared" si="138"/>
        <v>0.18</v>
      </c>
      <c r="AT26" s="63">
        <f t="shared" si="138"/>
        <v>0.8</v>
      </c>
      <c r="AU26" s="63">
        <f t="shared" si="138"/>
        <v>1</v>
      </c>
      <c r="AV26" s="63" t="str">
        <f t="shared" si="138"/>
        <v>0,0,1</v>
      </c>
      <c r="AW26" s="63" t="str">
        <f t="shared" si="138"/>
        <v>5,4,90,24</v>
      </c>
      <c r="AX26" s="63" t="str">
        <f t="shared" si="138"/>
        <v>5.84,-0.48,40,36</v>
      </c>
      <c r="AY26" s="63"/>
      <c r="AZ26" s="316" t="str">
        <f>AZ13</f>
        <v>1</v>
      </c>
      <c r="BA26" s="316">
        <f t="shared" ref="BA26:BD26" si="139">BA13</f>
        <v>3</v>
      </c>
      <c r="BB26" s="316">
        <f t="shared" si="139"/>
        <v>50</v>
      </c>
      <c r="BC26" s="316" t="str">
        <f t="shared" si="139"/>
        <v>是</v>
      </c>
      <c r="BD26" s="316">
        <f t="shared" si="139"/>
        <v>0.746</v>
      </c>
      <c r="BE26" s="78"/>
      <c r="BF26" s="63">
        <f t="shared" si="27"/>
        <v>4</v>
      </c>
      <c r="BG26" s="63">
        <f t="shared" si="28"/>
        <v>4.24</v>
      </c>
      <c r="BI26" s="63">
        <f t="shared" si="29"/>
        <v>0</v>
      </c>
      <c r="BT26" s="344">
        <f t="shared" si="30"/>
        <v>4.4000000000000004</v>
      </c>
      <c r="BU26" s="353">
        <f t="shared" si="128"/>
        <v>0.1</v>
      </c>
      <c r="BV26" s="354">
        <v>2</v>
      </c>
      <c r="BW26" s="133">
        <v>5</v>
      </c>
      <c r="BX26" s="354">
        <v>3</v>
      </c>
      <c r="BY26" s="133">
        <v>2</v>
      </c>
      <c r="BZ26" s="354">
        <v>4</v>
      </c>
      <c r="CA26" s="133">
        <v>1</v>
      </c>
      <c r="CB26" s="133">
        <f t="shared" si="106"/>
        <v>2.5</v>
      </c>
      <c r="CC26" s="133">
        <f t="shared" si="107"/>
        <v>7.5</v>
      </c>
      <c r="CD26" s="358">
        <f t="shared" si="133"/>
        <v>2.1333000000000001E-2</v>
      </c>
      <c r="CE26" s="133">
        <f t="shared" si="107"/>
        <v>15</v>
      </c>
      <c r="CF26" s="359">
        <f t="shared" si="134"/>
        <v>1.0666999999999999E-2</v>
      </c>
      <c r="CG26" s="133">
        <f t="shared" si="107"/>
        <v>22.5</v>
      </c>
      <c r="CH26" s="360">
        <f t="shared" si="135"/>
        <v>7.1110000000000001E-3</v>
      </c>
      <c r="CJ26" s="229">
        <v>2E-3</v>
      </c>
      <c r="CK26" s="387">
        <f t="shared" si="129"/>
        <v>0</v>
      </c>
      <c r="CL26" s="259">
        <f t="shared" si="35"/>
        <v>0</v>
      </c>
      <c r="CM26" s="383">
        <f t="shared" si="36"/>
        <v>0</v>
      </c>
      <c r="CN26" s="383">
        <f t="shared" si="37"/>
        <v>0</v>
      </c>
      <c r="CO26" s="384">
        <f t="shared" si="108"/>
        <v>0</v>
      </c>
      <c r="CP26" s="385">
        <f t="shared" si="38"/>
        <v>0</v>
      </c>
      <c r="CQ26" s="383">
        <f t="shared" si="39"/>
        <v>0</v>
      </c>
      <c r="CR26" s="386" t="e">
        <f t="shared" si="40"/>
        <v>#DIV/0!</v>
      </c>
      <c r="CS26" s="407">
        <f t="shared" si="109"/>
        <v>9</v>
      </c>
      <c r="CT26" s="408">
        <f t="shared" si="110"/>
        <v>1</v>
      </c>
      <c r="CU26" s="279"/>
      <c r="CV26" s="277">
        <v>9</v>
      </c>
      <c r="CW26" s="278">
        <v>1</v>
      </c>
      <c r="CY26" s="411"/>
      <c r="CZ26" s="230"/>
      <c r="DD26" s="414"/>
      <c r="DE26" s="407">
        <v>0</v>
      </c>
      <c r="DF26" s="259">
        <v>1</v>
      </c>
      <c r="DG26" s="414">
        <f t="shared" si="41"/>
        <v>0</v>
      </c>
      <c r="DH26" s="407">
        <f t="shared" si="42"/>
        <v>0</v>
      </c>
      <c r="DI26" s="259">
        <f t="shared" si="111"/>
        <v>1</v>
      </c>
      <c r="DJ26" s="414">
        <f t="shared" si="44"/>
        <v>0</v>
      </c>
      <c r="DK26" s="407">
        <f t="shared" si="45"/>
        <v>0</v>
      </c>
      <c r="DL26" s="259">
        <f t="shared" si="112"/>
        <v>1</v>
      </c>
      <c r="DM26" s="414">
        <f t="shared" si="47"/>
        <v>0</v>
      </c>
      <c r="DN26" s="407">
        <f t="shared" si="113"/>
        <v>0</v>
      </c>
      <c r="DO26" s="259">
        <f t="shared" si="114"/>
        <v>1</v>
      </c>
      <c r="DP26" s="414">
        <f t="shared" si="50"/>
        <v>0</v>
      </c>
      <c r="DQ26" s="407">
        <f t="shared" si="115"/>
        <v>0</v>
      </c>
      <c r="DR26" s="259">
        <f t="shared" si="116"/>
        <v>1</v>
      </c>
      <c r="DS26" s="414">
        <f t="shared" si="53"/>
        <v>0</v>
      </c>
      <c r="DT26" s="407">
        <f t="shared" si="117"/>
        <v>0</v>
      </c>
      <c r="DU26" s="259">
        <f t="shared" si="118"/>
        <v>1</v>
      </c>
      <c r="DV26" s="414">
        <f t="shared" si="56"/>
        <v>0</v>
      </c>
      <c r="DW26" s="407">
        <f t="shared" si="119"/>
        <v>0</v>
      </c>
      <c r="DX26" s="259">
        <f t="shared" si="120"/>
        <v>1</v>
      </c>
      <c r="DY26" s="414">
        <f t="shared" si="59"/>
        <v>0</v>
      </c>
      <c r="DZ26" s="407">
        <f t="shared" si="121"/>
        <v>0</v>
      </c>
      <c r="EA26" s="259">
        <f t="shared" si="122"/>
        <v>1</v>
      </c>
      <c r="EB26" s="414">
        <f t="shared" si="62"/>
        <v>0</v>
      </c>
      <c r="EC26" s="407">
        <f t="shared" si="123"/>
        <v>0</v>
      </c>
      <c r="ED26" s="259">
        <f t="shared" si="124"/>
        <v>1</v>
      </c>
      <c r="EE26" s="414">
        <f t="shared" si="65"/>
        <v>0</v>
      </c>
      <c r="EF26" s="407">
        <f t="shared" si="125"/>
        <v>0</v>
      </c>
      <c r="EG26" s="259">
        <f t="shared" si="126"/>
        <v>1</v>
      </c>
      <c r="EH26" s="414">
        <f t="shared" si="68"/>
        <v>0</v>
      </c>
      <c r="EI26" s="407">
        <f t="shared" si="69"/>
        <v>0</v>
      </c>
      <c r="EJ26" s="259">
        <f t="shared" si="70"/>
        <v>2</v>
      </c>
      <c r="EK26" s="414">
        <f t="shared" si="71"/>
        <v>0</v>
      </c>
      <c r="EL26" s="407">
        <f t="shared" si="72"/>
        <v>0</v>
      </c>
      <c r="EM26" s="259">
        <f t="shared" si="73"/>
        <v>4</v>
      </c>
      <c r="EN26" s="414">
        <f t="shared" si="74"/>
        <v>0</v>
      </c>
      <c r="EO26" s="407">
        <f t="shared" si="75"/>
        <v>0</v>
      </c>
      <c r="EP26" s="259">
        <f t="shared" si="76"/>
        <v>6</v>
      </c>
      <c r="EQ26" s="414">
        <f t="shared" si="77"/>
        <v>0</v>
      </c>
      <c r="ER26" s="407">
        <f t="shared" si="78"/>
        <v>0</v>
      </c>
      <c r="ES26" s="259">
        <f t="shared" si="79"/>
        <v>8</v>
      </c>
      <c r="ET26" s="414">
        <f t="shared" si="80"/>
        <v>0</v>
      </c>
      <c r="EU26" s="407">
        <f t="shared" si="81"/>
        <v>0</v>
      </c>
      <c r="EV26" s="259">
        <f t="shared" si="82"/>
        <v>10</v>
      </c>
      <c r="EW26" s="414">
        <f t="shared" si="83"/>
        <v>0</v>
      </c>
      <c r="EX26" s="407">
        <f t="shared" si="84"/>
        <v>0</v>
      </c>
      <c r="EY26" s="259">
        <f t="shared" si="85"/>
        <v>20</v>
      </c>
      <c r="EZ26" s="414">
        <f t="shared" si="86"/>
        <v>0</v>
      </c>
      <c r="FA26" s="407">
        <f t="shared" si="87"/>
        <v>0</v>
      </c>
      <c r="FB26" s="259">
        <f t="shared" si="88"/>
        <v>40</v>
      </c>
      <c r="FC26" s="414">
        <f t="shared" si="89"/>
        <v>0</v>
      </c>
      <c r="FD26" s="407">
        <f t="shared" si="90"/>
        <v>0</v>
      </c>
      <c r="FE26" s="259">
        <f t="shared" si="91"/>
        <v>60</v>
      </c>
      <c r="FF26" s="414">
        <f t="shared" si="92"/>
        <v>0</v>
      </c>
      <c r="FG26" s="407">
        <f t="shared" si="93"/>
        <v>0</v>
      </c>
      <c r="FH26" s="259">
        <f t="shared" si="94"/>
        <v>80</v>
      </c>
      <c r="FI26" s="414">
        <f t="shared" si="95"/>
        <v>0</v>
      </c>
      <c r="FJ26" s="407">
        <f t="shared" si="96"/>
        <v>0</v>
      </c>
      <c r="FK26" s="259">
        <f t="shared" si="97"/>
        <v>100</v>
      </c>
      <c r="FL26" s="414">
        <f t="shared" si="98"/>
        <v>0</v>
      </c>
      <c r="FP26" s="421">
        <f t="shared" si="136"/>
        <v>0</v>
      </c>
      <c r="FQ26" s="421">
        <f t="shared" si="136"/>
        <v>0</v>
      </c>
      <c r="FR26" s="421">
        <f t="shared" si="136"/>
        <v>0</v>
      </c>
      <c r="FS26" s="421">
        <f t="shared" si="136"/>
        <v>1.6666666666666667E-5</v>
      </c>
      <c r="FT26" s="421">
        <f t="shared" si="136"/>
        <v>2.0833333333333333E-5</v>
      </c>
      <c r="FU26" s="421">
        <f t="shared" si="136"/>
        <v>4.1666666666666665E-5</v>
      </c>
      <c r="FV26" s="421">
        <f t="shared" si="136"/>
        <v>8.3333333333333331E-5</v>
      </c>
      <c r="FW26" s="421">
        <f t="shared" si="136"/>
        <v>1.25E-4</v>
      </c>
      <c r="FX26" s="421">
        <f t="shared" si="136"/>
        <v>1.6666666666666666E-4</v>
      </c>
      <c r="FY26" s="421">
        <f t="shared" si="136"/>
        <v>2.0833333333333335E-4</v>
      </c>
      <c r="FZ26" s="421">
        <f t="shared" si="137"/>
        <v>4.1666666666666669E-4</v>
      </c>
      <c r="GA26" s="421">
        <f t="shared" si="137"/>
        <v>8.3333333333333339E-4</v>
      </c>
      <c r="GB26" s="421">
        <f t="shared" si="137"/>
        <v>1.1249999999999999E-3</v>
      </c>
      <c r="GC26" s="421">
        <f t="shared" si="137"/>
        <v>1.3333333333333333E-3</v>
      </c>
      <c r="GD26" s="421">
        <f t="shared" si="137"/>
        <v>1.6666666666666668E-3</v>
      </c>
      <c r="GE26" s="421">
        <f t="shared" si="137"/>
        <v>2.0833333333333333E-3</v>
      </c>
      <c r="GF26" s="421">
        <f t="shared" si="137"/>
        <v>4.1666666666666666E-3</v>
      </c>
      <c r="GG26" s="421">
        <f t="shared" si="137"/>
        <v>6.2500000000000003E-3</v>
      </c>
      <c r="GH26" s="421">
        <f t="shared" si="137"/>
        <v>8.3333333333333332E-3</v>
      </c>
      <c r="GI26" s="421">
        <f t="shared" si="137"/>
        <v>8.3333333333333332E-3</v>
      </c>
    </row>
    <row r="27" spans="1:191" ht="16.2" x14ac:dyDescent="0.4">
      <c r="A27" s="63">
        <v>23</v>
      </c>
      <c r="B27" s="242" t="s">
        <v>1394</v>
      </c>
      <c r="C27" s="63">
        <v>3</v>
      </c>
      <c r="D27" s="63">
        <v>-1</v>
      </c>
      <c r="E27" s="63">
        <v>30</v>
      </c>
      <c r="F27" s="63">
        <f t="shared" ref="F27:F40" si="140">IF(C27=4,BK27,E27)</f>
        <v>30</v>
      </c>
      <c r="G27" s="63">
        <f t="shared" si="101"/>
        <v>30</v>
      </c>
      <c r="H27" s="63"/>
      <c r="I27" s="63">
        <f t="shared" si="132"/>
        <v>0</v>
      </c>
      <c r="J27" s="63">
        <f t="shared" si="18"/>
        <v>0</v>
      </c>
      <c r="K27" s="63">
        <v>0</v>
      </c>
      <c r="L27" s="254">
        <f>ROUND($BK$7/('全局参数|GlobalPar'!$B$18/10000/E27),6)*(7/5)</f>
        <v>2.0833399999999998E-2</v>
      </c>
      <c r="M27" s="255">
        <v>2</v>
      </c>
      <c r="N27" s="256">
        <f>ROUND(IF(M27&lt;&gt;0,$BK$4/('全局参数|GlobalPar'!$B$18/10000/E27)/M27,0),6)</f>
        <v>0</v>
      </c>
      <c r="O27" s="259">
        <f t="shared" ref="O27:O62" si="141">IF(A27=47,1,ROUND(E27*W27/$BN$2,6))</f>
        <v>6.0000000000000001E-3</v>
      </c>
      <c r="P27" s="260">
        <f t="shared" si="20"/>
        <v>0</v>
      </c>
      <c r="Q27" s="277">
        <v>9</v>
      </c>
      <c r="R27" s="278">
        <v>1</v>
      </c>
      <c r="S27" s="279" t="str">
        <f t="shared" si="21"/>
        <v>[[0,1],[0,1],[0,1],[0,1],[0,1],[0,1],[0,1],[0,1],[0,1],[0,1],[0,2],[0,4],[0,6],[0,8],[0,10],[0,20],[0,40],[0,60],[0,80],[0,100]]</v>
      </c>
      <c r="T27" s="63">
        <v>0</v>
      </c>
      <c r="U27" s="281">
        <v>0</v>
      </c>
      <c r="V27" s="280">
        <f t="shared" si="22"/>
        <v>0</v>
      </c>
      <c r="W27" s="280">
        <v>0.06</v>
      </c>
      <c r="X27" s="280">
        <f t="shared" si="102"/>
        <v>0.1</v>
      </c>
      <c r="Y27" s="304">
        <f t="shared" si="127"/>
        <v>0.05</v>
      </c>
      <c r="Z27" s="63" t="str">
        <f t="shared" si="103"/>
        <v>[[2,5],[3,2],[4,1]]</v>
      </c>
      <c r="AA27" s="305" t="str">
        <f t="shared" si="104"/>
        <v>[0.16,0.08,0.053333]</v>
      </c>
      <c r="AB27" s="305">
        <f t="shared" si="105"/>
        <v>0.15</v>
      </c>
      <c r="AC27" s="305">
        <v>0</v>
      </c>
      <c r="AD27" s="306">
        <v>10</v>
      </c>
      <c r="AE27" s="63">
        <v>13</v>
      </c>
      <c r="AF27" s="63">
        <v>0</v>
      </c>
      <c r="AG27" s="63">
        <v>1</v>
      </c>
      <c r="AH27" s="39">
        <v>3</v>
      </c>
      <c r="AI27" s="39">
        <v>1</v>
      </c>
      <c r="AJ27" s="63">
        <v>1</v>
      </c>
      <c r="AK27" s="63">
        <v>1</v>
      </c>
      <c r="AL27" s="63">
        <v>1</v>
      </c>
      <c r="AM27" s="63">
        <v>1</v>
      </c>
      <c r="AN27" s="63" t="s">
        <v>1395</v>
      </c>
      <c r="AO27" s="39"/>
      <c r="AP27" s="39"/>
      <c r="AQ27" s="310">
        <v>0.6</v>
      </c>
      <c r="AR27" s="39">
        <v>65</v>
      </c>
      <c r="AS27" s="39">
        <v>0.18</v>
      </c>
      <c r="AT27" s="39">
        <v>1</v>
      </c>
      <c r="AU27" s="39">
        <v>1</v>
      </c>
      <c r="AV27" s="39" t="s">
        <v>1386</v>
      </c>
      <c r="AW27" s="317" t="s">
        <v>1396</v>
      </c>
      <c r="AX27" s="317" t="s">
        <v>1397</v>
      </c>
      <c r="AY27" s="316" t="s">
        <v>1398</v>
      </c>
      <c r="AZ27" s="316" t="s">
        <v>258</v>
      </c>
      <c r="BA27" s="78">
        <f t="shared" ref="BA27:BA62" si="142">IF(C27&lt;4,MIN($BE$1*$BE$3,BF27*$BE$2),BF27*0.1)</f>
        <v>22.5</v>
      </c>
      <c r="BB27" s="318">
        <f t="shared" si="25"/>
        <v>6.666666666666667</v>
      </c>
      <c r="BC27" s="78" t="s">
        <v>1317</v>
      </c>
      <c r="BD27" s="78">
        <f t="shared" ref="BD27:BD62" si="143">ROUND(IF(AF27=0,AJ27/2/0.67,AJ27),3)</f>
        <v>0.746</v>
      </c>
      <c r="BE27" s="78"/>
      <c r="BF27" s="63">
        <f t="shared" si="27"/>
        <v>30</v>
      </c>
      <c r="BG27" s="63">
        <f t="shared" si="28"/>
        <v>31.8</v>
      </c>
      <c r="BI27" s="63">
        <f t="shared" si="29"/>
        <v>0</v>
      </c>
      <c r="BL27" s="338" t="s">
        <v>1399</v>
      </c>
      <c r="BT27" s="344">
        <f t="shared" si="30"/>
        <v>33</v>
      </c>
      <c r="BU27" s="353">
        <f t="shared" si="128"/>
        <v>0.1</v>
      </c>
      <c r="BV27" s="354">
        <v>2</v>
      </c>
      <c r="BW27" s="133">
        <v>5</v>
      </c>
      <c r="BX27" s="354">
        <v>3</v>
      </c>
      <c r="BY27" s="133">
        <v>2</v>
      </c>
      <c r="BZ27" s="354">
        <v>4</v>
      </c>
      <c r="CA27" s="133">
        <v>1</v>
      </c>
      <c r="CB27" s="133">
        <f t="shared" si="106"/>
        <v>2.5</v>
      </c>
      <c r="CC27" s="133">
        <f t="shared" si="107"/>
        <v>7.5</v>
      </c>
      <c r="CD27" s="358">
        <f t="shared" si="133"/>
        <v>0.16</v>
      </c>
      <c r="CE27" s="133">
        <f t="shared" si="107"/>
        <v>15</v>
      </c>
      <c r="CF27" s="359">
        <f t="shared" si="134"/>
        <v>0.08</v>
      </c>
      <c r="CG27" s="133">
        <f t="shared" si="107"/>
        <v>22.5</v>
      </c>
      <c r="CH27" s="360">
        <f t="shared" si="135"/>
        <v>5.3332999999999998E-2</v>
      </c>
      <c r="CJ27" s="229">
        <v>2E-3</v>
      </c>
      <c r="CK27" s="387">
        <f t="shared" si="129"/>
        <v>0</v>
      </c>
      <c r="CL27" s="259">
        <f t="shared" si="35"/>
        <v>0</v>
      </c>
      <c r="CM27" s="383">
        <f t="shared" si="36"/>
        <v>0</v>
      </c>
      <c r="CN27" s="383">
        <f t="shared" si="37"/>
        <v>0</v>
      </c>
      <c r="CO27" s="384">
        <f t="shared" si="108"/>
        <v>0</v>
      </c>
      <c r="CP27" s="385">
        <f t="shared" si="38"/>
        <v>0</v>
      </c>
      <c r="CQ27" s="383">
        <f t="shared" si="39"/>
        <v>0</v>
      </c>
      <c r="CR27" s="386" t="e">
        <f t="shared" si="40"/>
        <v>#DIV/0!</v>
      </c>
      <c r="CS27" s="407">
        <f t="shared" si="109"/>
        <v>9</v>
      </c>
      <c r="CT27" s="408">
        <f t="shared" si="110"/>
        <v>1</v>
      </c>
      <c r="CU27" s="279"/>
      <c r="CV27" s="277">
        <v>9</v>
      </c>
      <c r="CW27" s="278">
        <v>1</v>
      </c>
      <c r="CY27" s="411"/>
      <c r="CZ27" s="230"/>
      <c r="DD27" s="414"/>
      <c r="DE27" s="407">
        <v>0</v>
      </c>
      <c r="DF27" s="259">
        <v>1</v>
      </c>
      <c r="DG27" s="414">
        <f t="shared" si="41"/>
        <v>0</v>
      </c>
      <c r="DH27" s="407">
        <f t="shared" si="42"/>
        <v>0</v>
      </c>
      <c r="DI27" s="259">
        <f t="shared" si="111"/>
        <v>1</v>
      </c>
      <c r="DJ27" s="414">
        <f t="shared" si="44"/>
        <v>0</v>
      </c>
      <c r="DK27" s="407">
        <f t="shared" si="45"/>
        <v>0</v>
      </c>
      <c r="DL27" s="259">
        <f t="shared" si="112"/>
        <v>1</v>
      </c>
      <c r="DM27" s="414">
        <f t="shared" si="47"/>
        <v>0</v>
      </c>
      <c r="DN27" s="407">
        <f t="shared" si="113"/>
        <v>0</v>
      </c>
      <c r="DO27" s="259">
        <f t="shared" si="114"/>
        <v>1</v>
      </c>
      <c r="DP27" s="414">
        <f t="shared" si="50"/>
        <v>0</v>
      </c>
      <c r="DQ27" s="407">
        <f t="shared" si="115"/>
        <v>0</v>
      </c>
      <c r="DR27" s="259">
        <f t="shared" si="116"/>
        <v>1</v>
      </c>
      <c r="DS27" s="414">
        <f t="shared" si="53"/>
        <v>0</v>
      </c>
      <c r="DT27" s="407">
        <f t="shared" si="117"/>
        <v>0</v>
      </c>
      <c r="DU27" s="259">
        <f t="shared" si="118"/>
        <v>1</v>
      </c>
      <c r="DV27" s="414">
        <f t="shared" si="56"/>
        <v>0</v>
      </c>
      <c r="DW27" s="407">
        <f t="shared" si="119"/>
        <v>0</v>
      </c>
      <c r="DX27" s="259">
        <f t="shared" si="120"/>
        <v>1</v>
      </c>
      <c r="DY27" s="414">
        <f t="shared" si="59"/>
        <v>0</v>
      </c>
      <c r="DZ27" s="407">
        <f t="shared" si="121"/>
        <v>0</v>
      </c>
      <c r="EA27" s="259">
        <f t="shared" si="122"/>
        <v>1</v>
      </c>
      <c r="EB27" s="414">
        <f t="shared" si="62"/>
        <v>0</v>
      </c>
      <c r="EC27" s="407">
        <f t="shared" si="123"/>
        <v>0</v>
      </c>
      <c r="ED27" s="259">
        <f t="shared" si="124"/>
        <v>1</v>
      </c>
      <c r="EE27" s="414">
        <f t="shared" si="65"/>
        <v>0</v>
      </c>
      <c r="EF27" s="407">
        <f t="shared" si="125"/>
        <v>0</v>
      </c>
      <c r="EG27" s="259">
        <f t="shared" si="126"/>
        <v>1</v>
      </c>
      <c r="EH27" s="414">
        <f t="shared" si="68"/>
        <v>0</v>
      </c>
      <c r="EI27" s="407">
        <f t="shared" si="69"/>
        <v>0</v>
      </c>
      <c r="EJ27" s="259">
        <f t="shared" si="70"/>
        <v>2</v>
      </c>
      <c r="EK27" s="414">
        <f t="shared" si="71"/>
        <v>0</v>
      </c>
      <c r="EL27" s="407">
        <f t="shared" si="72"/>
        <v>0</v>
      </c>
      <c r="EM27" s="259">
        <f t="shared" si="73"/>
        <v>4</v>
      </c>
      <c r="EN27" s="414">
        <f t="shared" si="74"/>
        <v>0</v>
      </c>
      <c r="EO27" s="407">
        <f t="shared" si="75"/>
        <v>0</v>
      </c>
      <c r="EP27" s="259">
        <f t="shared" si="76"/>
        <v>6</v>
      </c>
      <c r="EQ27" s="414">
        <f t="shared" si="77"/>
        <v>0</v>
      </c>
      <c r="ER27" s="407">
        <f t="shared" si="78"/>
        <v>0</v>
      </c>
      <c r="ES27" s="259">
        <f t="shared" si="79"/>
        <v>8</v>
      </c>
      <c r="ET27" s="414">
        <f t="shared" si="80"/>
        <v>0</v>
      </c>
      <c r="EU27" s="407">
        <f t="shared" si="81"/>
        <v>0</v>
      </c>
      <c r="EV27" s="259">
        <f t="shared" si="82"/>
        <v>10</v>
      </c>
      <c r="EW27" s="414">
        <f t="shared" si="83"/>
        <v>0</v>
      </c>
      <c r="EX27" s="407">
        <f t="shared" si="84"/>
        <v>0</v>
      </c>
      <c r="EY27" s="259">
        <f t="shared" si="85"/>
        <v>20</v>
      </c>
      <c r="EZ27" s="414">
        <f t="shared" si="86"/>
        <v>0</v>
      </c>
      <c r="FA27" s="407">
        <f t="shared" si="87"/>
        <v>0</v>
      </c>
      <c r="FB27" s="259">
        <f t="shared" si="88"/>
        <v>40</v>
      </c>
      <c r="FC27" s="414">
        <f t="shared" si="89"/>
        <v>0</v>
      </c>
      <c r="FD27" s="407">
        <f t="shared" si="90"/>
        <v>0</v>
      </c>
      <c r="FE27" s="259">
        <f t="shared" si="91"/>
        <v>60</v>
      </c>
      <c r="FF27" s="414">
        <f t="shared" si="92"/>
        <v>0</v>
      </c>
      <c r="FG27" s="407">
        <f t="shared" si="93"/>
        <v>0</v>
      </c>
      <c r="FH27" s="259">
        <f t="shared" si="94"/>
        <v>80</v>
      </c>
      <c r="FI27" s="414">
        <f t="shared" si="95"/>
        <v>0</v>
      </c>
      <c r="FJ27" s="407">
        <f t="shared" si="96"/>
        <v>0</v>
      </c>
      <c r="FK27" s="259">
        <f t="shared" si="97"/>
        <v>100</v>
      </c>
      <c r="FL27" s="414">
        <f t="shared" si="98"/>
        <v>0</v>
      </c>
      <c r="FP27" s="421">
        <f t="shared" si="136"/>
        <v>0</v>
      </c>
      <c r="FQ27" s="421">
        <f t="shared" si="136"/>
        <v>0</v>
      </c>
      <c r="FR27" s="421">
        <f t="shared" si="136"/>
        <v>0</v>
      </c>
      <c r="FS27" s="421">
        <f t="shared" si="136"/>
        <v>1.25E-4</v>
      </c>
      <c r="FT27" s="421">
        <f t="shared" si="136"/>
        <v>1.5625E-4</v>
      </c>
      <c r="FU27" s="421">
        <f t="shared" si="136"/>
        <v>3.1250000000000001E-4</v>
      </c>
      <c r="FV27" s="421">
        <f t="shared" si="136"/>
        <v>6.2500000000000001E-4</v>
      </c>
      <c r="FW27" s="421">
        <f t="shared" si="136"/>
        <v>9.3749999999999997E-4</v>
      </c>
      <c r="FX27" s="421">
        <f t="shared" si="136"/>
        <v>1.25E-3</v>
      </c>
      <c r="FY27" s="421">
        <f t="shared" si="136"/>
        <v>1.5625000000000001E-3</v>
      </c>
      <c r="FZ27" s="421">
        <f t="shared" si="137"/>
        <v>3.1250000000000002E-3</v>
      </c>
      <c r="GA27" s="421">
        <f t="shared" si="137"/>
        <v>6.2500000000000003E-3</v>
      </c>
      <c r="GB27" s="421">
        <f t="shared" si="137"/>
        <v>8.4374999999999988E-3</v>
      </c>
      <c r="GC27" s="421">
        <f t="shared" si="137"/>
        <v>0.01</v>
      </c>
      <c r="GD27" s="421">
        <f t="shared" si="137"/>
        <v>1.2500000000000001E-2</v>
      </c>
      <c r="GE27" s="421">
        <f t="shared" si="137"/>
        <v>1.5625E-2</v>
      </c>
      <c r="GF27" s="421">
        <f t="shared" si="137"/>
        <v>3.125E-2</v>
      </c>
      <c r="GG27" s="421">
        <f t="shared" si="137"/>
        <v>4.6875E-2</v>
      </c>
      <c r="GH27" s="421">
        <f t="shared" si="137"/>
        <v>6.25E-2</v>
      </c>
      <c r="GI27" s="421">
        <f t="shared" si="137"/>
        <v>6.25E-2</v>
      </c>
    </row>
    <row r="28" spans="1:191" ht="16.2" x14ac:dyDescent="0.4">
      <c r="A28" s="63">
        <v>24</v>
      </c>
      <c r="B28" s="242" t="s">
        <v>1400</v>
      </c>
      <c r="C28" s="63">
        <v>3</v>
      </c>
      <c r="D28" s="63">
        <v>-1</v>
      </c>
      <c r="E28" s="63">
        <v>35</v>
      </c>
      <c r="F28" s="63">
        <f t="shared" si="140"/>
        <v>35</v>
      </c>
      <c r="G28" s="63">
        <f t="shared" si="101"/>
        <v>35</v>
      </c>
      <c r="H28" s="63"/>
      <c r="I28" s="63">
        <f t="shared" si="132"/>
        <v>0</v>
      </c>
      <c r="J28" s="63">
        <f t="shared" si="18"/>
        <v>0</v>
      </c>
      <c r="K28" s="63">
        <v>0</v>
      </c>
      <c r="L28" s="254">
        <f>ROUND($BK$7/('全局参数|GlobalPar'!$B$18/10000/E28),6)*(7/5)</f>
        <v>2.4305400000000001E-2</v>
      </c>
      <c r="M28" s="255">
        <v>2</v>
      </c>
      <c r="N28" s="256">
        <f>ROUND(IF(M28&lt;&gt;0,$BK$4/('全局参数|GlobalPar'!$B$18/10000/E28)/M28,0),6)</f>
        <v>0</v>
      </c>
      <c r="O28" s="259">
        <f t="shared" si="141"/>
        <v>7.0000000000000001E-3</v>
      </c>
      <c r="P28" s="260">
        <f t="shared" si="20"/>
        <v>0</v>
      </c>
      <c r="Q28" s="277">
        <v>10</v>
      </c>
      <c r="R28" s="278">
        <v>1</v>
      </c>
      <c r="S28" s="279" t="str">
        <f t="shared" si="21"/>
        <v>[[0,1],[0,1],[0,1],[0,1],[0,1],[0,1],[0,1],[0,1],[0,1],[0,1],[0,2],[0,4],[0,6],[0,8],[0,10],[0,20],[0,40],[0,60],[0,80],[0,100]]</v>
      </c>
      <c r="T28" s="63">
        <v>0</v>
      </c>
      <c r="U28" s="281">
        <v>0</v>
      </c>
      <c r="V28" s="280">
        <f t="shared" si="22"/>
        <v>0</v>
      </c>
      <c r="W28" s="280">
        <v>0.06</v>
      </c>
      <c r="X28" s="280">
        <f t="shared" si="102"/>
        <v>0.1</v>
      </c>
      <c r="Y28" s="304">
        <f t="shared" si="127"/>
        <v>0.05</v>
      </c>
      <c r="Z28" s="63" t="str">
        <f t="shared" si="103"/>
        <v>[[2,5],[3,2],[4,1]]</v>
      </c>
      <c r="AA28" s="305" t="str">
        <f t="shared" si="104"/>
        <v>[0.186667,0.093333,0.062222]</v>
      </c>
      <c r="AB28" s="305">
        <f t="shared" si="105"/>
        <v>0.17499999999999999</v>
      </c>
      <c r="AC28" s="305">
        <v>0</v>
      </c>
      <c r="AD28" s="306">
        <v>10</v>
      </c>
      <c r="AE28" s="63">
        <v>13</v>
      </c>
      <c r="AF28" s="63">
        <v>0</v>
      </c>
      <c r="AG28" s="39">
        <v>1</v>
      </c>
      <c r="AH28" s="39">
        <v>3</v>
      </c>
      <c r="AI28" s="39">
        <v>0</v>
      </c>
      <c r="AJ28" s="63">
        <v>1</v>
      </c>
      <c r="AK28" s="63">
        <v>1</v>
      </c>
      <c r="AL28" s="63">
        <v>1</v>
      </c>
      <c r="AM28" s="63">
        <v>1</v>
      </c>
      <c r="AN28" s="63" t="s">
        <v>1395</v>
      </c>
      <c r="AO28" s="39"/>
      <c r="AP28" s="39"/>
      <c r="AQ28" s="310">
        <v>0.6</v>
      </c>
      <c r="AR28" s="39">
        <v>70</v>
      </c>
      <c r="AS28" s="39">
        <v>0.18</v>
      </c>
      <c r="AT28" s="39">
        <v>0.8</v>
      </c>
      <c r="AU28" s="39">
        <v>1</v>
      </c>
      <c r="AV28" s="39" t="s">
        <v>1386</v>
      </c>
      <c r="AW28" s="319" t="s">
        <v>1401</v>
      </c>
      <c r="AX28" s="319" t="s">
        <v>1402</v>
      </c>
      <c r="AY28" s="316" t="s">
        <v>1403</v>
      </c>
      <c r="AZ28" s="316" t="s">
        <v>258</v>
      </c>
      <c r="BA28" s="78">
        <f t="shared" si="142"/>
        <v>26.25</v>
      </c>
      <c r="BB28" s="318">
        <f t="shared" si="25"/>
        <v>5.7142857142857144</v>
      </c>
      <c r="BC28" s="78" t="s">
        <v>1317</v>
      </c>
      <c r="BD28" s="78">
        <f t="shared" si="143"/>
        <v>0.746</v>
      </c>
      <c r="BE28" s="78"/>
      <c r="BF28" s="63">
        <f t="shared" si="27"/>
        <v>35</v>
      </c>
      <c r="BG28" s="63">
        <f t="shared" si="28"/>
        <v>37.1</v>
      </c>
      <c r="BI28" s="63">
        <f t="shared" si="29"/>
        <v>0</v>
      </c>
      <c r="BK28" s="658" t="s">
        <v>1404</v>
      </c>
      <c r="BL28" s="659"/>
      <c r="BM28" s="660" t="s">
        <v>1405</v>
      </c>
      <c r="BN28" s="660"/>
      <c r="BO28" s="661" t="s">
        <v>1406</v>
      </c>
      <c r="BP28" s="661"/>
      <c r="BT28" s="344">
        <f t="shared" si="30"/>
        <v>38.5</v>
      </c>
      <c r="BU28" s="353">
        <f t="shared" si="128"/>
        <v>0.1</v>
      </c>
      <c r="BV28" s="354">
        <v>2</v>
      </c>
      <c r="BW28" s="133">
        <v>5</v>
      </c>
      <c r="BX28" s="354">
        <v>3</v>
      </c>
      <c r="BY28" s="133">
        <v>2</v>
      </c>
      <c r="BZ28" s="354">
        <v>4</v>
      </c>
      <c r="CA28" s="133">
        <v>1</v>
      </c>
      <c r="CB28" s="133">
        <f t="shared" si="106"/>
        <v>2.5</v>
      </c>
      <c r="CC28" s="133">
        <f t="shared" si="107"/>
        <v>7.5</v>
      </c>
      <c r="CD28" s="358">
        <f t="shared" si="133"/>
        <v>0.186667</v>
      </c>
      <c r="CE28" s="133">
        <f t="shared" si="107"/>
        <v>15</v>
      </c>
      <c r="CF28" s="359">
        <f t="shared" si="134"/>
        <v>9.3332999999999999E-2</v>
      </c>
      <c r="CG28" s="133">
        <f t="shared" si="107"/>
        <v>22.5</v>
      </c>
      <c r="CH28" s="360">
        <f t="shared" si="135"/>
        <v>6.2222E-2</v>
      </c>
      <c r="CJ28" s="229">
        <v>2E-3</v>
      </c>
      <c r="CK28" s="387">
        <f t="shared" si="129"/>
        <v>0</v>
      </c>
      <c r="CL28" s="259">
        <f t="shared" si="35"/>
        <v>0</v>
      </c>
      <c r="CM28" s="383">
        <f t="shared" si="36"/>
        <v>0</v>
      </c>
      <c r="CN28" s="383">
        <f t="shared" si="37"/>
        <v>0</v>
      </c>
      <c r="CO28" s="384">
        <f t="shared" si="108"/>
        <v>0</v>
      </c>
      <c r="CP28" s="385">
        <f t="shared" si="38"/>
        <v>0</v>
      </c>
      <c r="CQ28" s="383">
        <f t="shared" si="39"/>
        <v>0</v>
      </c>
      <c r="CR28" s="386" t="e">
        <f t="shared" si="40"/>
        <v>#DIV/0!</v>
      </c>
      <c r="CS28" s="407">
        <f t="shared" si="109"/>
        <v>10</v>
      </c>
      <c r="CT28" s="408">
        <f t="shared" si="110"/>
        <v>1</v>
      </c>
      <c r="CU28" s="279"/>
      <c r="CV28" s="277">
        <v>10</v>
      </c>
      <c r="CW28" s="278">
        <v>1</v>
      </c>
      <c r="CY28" s="411"/>
      <c r="CZ28" s="230"/>
      <c r="DD28" s="414"/>
      <c r="DE28" s="407">
        <v>0</v>
      </c>
      <c r="DF28" s="259">
        <v>1</v>
      </c>
      <c r="DG28" s="414">
        <f t="shared" si="41"/>
        <v>0</v>
      </c>
      <c r="DH28" s="407">
        <f t="shared" si="42"/>
        <v>0</v>
      </c>
      <c r="DI28" s="259">
        <f t="shared" si="111"/>
        <v>1</v>
      </c>
      <c r="DJ28" s="414">
        <f t="shared" si="44"/>
        <v>0</v>
      </c>
      <c r="DK28" s="407">
        <f t="shared" si="45"/>
        <v>0</v>
      </c>
      <c r="DL28" s="259">
        <f t="shared" si="112"/>
        <v>1</v>
      </c>
      <c r="DM28" s="414">
        <f t="shared" si="47"/>
        <v>0</v>
      </c>
      <c r="DN28" s="407">
        <f t="shared" si="113"/>
        <v>0</v>
      </c>
      <c r="DO28" s="259">
        <f t="shared" si="114"/>
        <v>1</v>
      </c>
      <c r="DP28" s="414">
        <f t="shared" si="50"/>
        <v>0</v>
      </c>
      <c r="DQ28" s="407">
        <f t="shared" si="115"/>
        <v>0</v>
      </c>
      <c r="DR28" s="259">
        <f t="shared" si="116"/>
        <v>1</v>
      </c>
      <c r="DS28" s="414">
        <f t="shared" si="53"/>
        <v>0</v>
      </c>
      <c r="DT28" s="407">
        <f t="shared" si="117"/>
        <v>0</v>
      </c>
      <c r="DU28" s="259">
        <f t="shared" si="118"/>
        <v>1</v>
      </c>
      <c r="DV28" s="414">
        <f t="shared" si="56"/>
        <v>0</v>
      </c>
      <c r="DW28" s="407">
        <f t="shared" si="119"/>
        <v>0</v>
      </c>
      <c r="DX28" s="259">
        <f t="shared" si="120"/>
        <v>1</v>
      </c>
      <c r="DY28" s="414">
        <f t="shared" si="59"/>
        <v>0</v>
      </c>
      <c r="DZ28" s="407">
        <f t="shared" si="121"/>
        <v>0</v>
      </c>
      <c r="EA28" s="259">
        <f t="shared" si="122"/>
        <v>1</v>
      </c>
      <c r="EB28" s="414">
        <f t="shared" si="62"/>
        <v>0</v>
      </c>
      <c r="EC28" s="407">
        <f t="shared" si="123"/>
        <v>0</v>
      </c>
      <c r="ED28" s="259">
        <f t="shared" si="124"/>
        <v>1</v>
      </c>
      <c r="EE28" s="414">
        <f t="shared" si="65"/>
        <v>0</v>
      </c>
      <c r="EF28" s="407">
        <f t="shared" si="125"/>
        <v>0</v>
      </c>
      <c r="EG28" s="259">
        <f t="shared" si="126"/>
        <v>1</v>
      </c>
      <c r="EH28" s="414">
        <f t="shared" si="68"/>
        <v>0</v>
      </c>
      <c r="EI28" s="407">
        <f t="shared" si="69"/>
        <v>0</v>
      </c>
      <c r="EJ28" s="259">
        <f t="shared" si="70"/>
        <v>2</v>
      </c>
      <c r="EK28" s="414">
        <f t="shared" si="71"/>
        <v>0</v>
      </c>
      <c r="EL28" s="407">
        <f t="shared" si="72"/>
        <v>0</v>
      </c>
      <c r="EM28" s="259">
        <f t="shared" si="73"/>
        <v>4</v>
      </c>
      <c r="EN28" s="414">
        <f t="shared" si="74"/>
        <v>0</v>
      </c>
      <c r="EO28" s="407">
        <f t="shared" si="75"/>
        <v>0</v>
      </c>
      <c r="EP28" s="259">
        <f t="shared" si="76"/>
        <v>6</v>
      </c>
      <c r="EQ28" s="414">
        <f t="shared" si="77"/>
        <v>0</v>
      </c>
      <c r="ER28" s="407">
        <f t="shared" si="78"/>
        <v>0</v>
      </c>
      <c r="ES28" s="259">
        <f t="shared" si="79"/>
        <v>8</v>
      </c>
      <c r="ET28" s="414">
        <f t="shared" si="80"/>
        <v>0</v>
      </c>
      <c r="EU28" s="407">
        <f t="shared" si="81"/>
        <v>0</v>
      </c>
      <c r="EV28" s="259">
        <f t="shared" si="82"/>
        <v>10</v>
      </c>
      <c r="EW28" s="414">
        <f t="shared" si="83"/>
        <v>0</v>
      </c>
      <c r="EX28" s="407">
        <f t="shared" si="84"/>
        <v>0</v>
      </c>
      <c r="EY28" s="259">
        <f t="shared" si="85"/>
        <v>20</v>
      </c>
      <c r="EZ28" s="414">
        <f t="shared" si="86"/>
        <v>0</v>
      </c>
      <c r="FA28" s="407">
        <f t="shared" si="87"/>
        <v>0</v>
      </c>
      <c r="FB28" s="259">
        <f t="shared" si="88"/>
        <v>40</v>
      </c>
      <c r="FC28" s="414">
        <f t="shared" si="89"/>
        <v>0</v>
      </c>
      <c r="FD28" s="407">
        <f t="shared" si="90"/>
        <v>0</v>
      </c>
      <c r="FE28" s="259">
        <f t="shared" si="91"/>
        <v>60</v>
      </c>
      <c r="FF28" s="414">
        <f t="shared" si="92"/>
        <v>0</v>
      </c>
      <c r="FG28" s="407">
        <f t="shared" si="93"/>
        <v>0</v>
      </c>
      <c r="FH28" s="259">
        <f t="shared" si="94"/>
        <v>80</v>
      </c>
      <c r="FI28" s="414">
        <f t="shared" si="95"/>
        <v>0</v>
      </c>
      <c r="FJ28" s="407">
        <f t="shared" si="96"/>
        <v>0</v>
      </c>
      <c r="FK28" s="259">
        <f t="shared" si="97"/>
        <v>100</v>
      </c>
      <c r="FL28" s="414">
        <f t="shared" si="98"/>
        <v>0</v>
      </c>
      <c r="FP28" s="421">
        <f t="shared" si="136"/>
        <v>0</v>
      </c>
      <c r="FQ28" s="421">
        <f t="shared" si="136"/>
        <v>0</v>
      </c>
      <c r="FR28" s="421">
        <f t="shared" si="136"/>
        <v>0</v>
      </c>
      <c r="FS28" s="421">
        <f t="shared" si="136"/>
        <v>1.4583333333333335E-4</v>
      </c>
      <c r="FT28" s="421">
        <f t="shared" si="136"/>
        <v>1.8229166666666667E-4</v>
      </c>
      <c r="FU28" s="421">
        <f t="shared" si="136"/>
        <v>3.6458333333333335E-4</v>
      </c>
      <c r="FV28" s="421">
        <f t="shared" si="136"/>
        <v>7.291666666666667E-4</v>
      </c>
      <c r="FW28" s="421">
        <f t="shared" si="136"/>
        <v>1.0937500000000001E-3</v>
      </c>
      <c r="FX28" s="421">
        <f t="shared" si="136"/>
        <v>1.4583333333333334E-3</v>
      </c>
      <c r="FY28" s="421">
        <f t="shared" si="136"/>
        <v>1.8229166666666667E-3</v>
      </c>
      <c r="FZ28" s="421">
        <f t="shared" si="137"/>
        <v>3.6458333333333334E-3</v>
      </c>
      <c r="GA28" s="421">
        <f t="shared" si="137"/>
        <v>7.2916666666666668E-3</v>
      </c>
      <c r="GB28" s="421">
        <f t="shared" si="137"/>
        <v>9.8437500000000001E-3</v>
      </c>
      <c r="GC28" s="421">
        <f t="shared" si="137"/>
        <v>1.1666666666666669E-2</v>
      </c>
      <c r="GD28" s="421">
        <f t="shared" si="137"/>
        <v>1.4583333333333335E-2</v>
      </c>
      <c r="GE28" s="421">
        <f t="shared" si="137"/>
        <v>1.8229166666666668E-2</v>
      </c>
      <c r="GF28" s="421">
        <f t="shared" si="137"/>
        <v>3.6458333333333336E-2</v>
      </c>
      <c r="GG28" s="421">
        <f t="shared" si="137"/>
        <v>5.46875E-2</v>
      </c>
      <c r="GH28" s="421">
        <f t="shared" si="137"/>
        <v>7.2916666666666671E-2</v>
      </c>
      <c r="GI28" s="421">
        <f t="shared" si="137"/>
        <v>7.2916666666666671E-2</v>
      </c>
    </row>
    <row r="29" spans="1:191" ht="16.2" x14ac:dyDescent="0.4">
      <c r="A29" s="63">
        <v>25</v>
      </c>
      <c r="B29" s="242" t="s">
        <v>1407</v>
      </c>
      <c r="C29" s="63">
        <v>3</v>
      </c>
      <c r="D29" s="63">
        <v>-1</v>
      </c>
      <c r="E29" s="63">
        <v>40</v>
      </c>
      <c r="F29" s="63">
        <f t="shared" si="140"/>
        <v>40</v>
      </c>
      <c r="G29" s="63">
        <f t="shared" si="101"/>
        <v>40</v>
      </c>
      <c r="H29" s="63"/>
      <c r="I29" s="63">
        <f t="shared" si="132"/>
        <v>0</v>
      </c>
      <c r="J29" s="63">
        <f t="shared" si="18"/>
        <v>0</v>
      </c>
      <c r="K29" s="63">
        <v>0</v>
      </c>
      <c r="L29" s="254">
        <f>ROUND($BK$7/('全局参数|GlobalPar'!$B$18/10000/E29),6)*(7/5)</f>
        <v>2.7777400000000001E-2</v>
      </c>
      <c r="M29" s="255">
        <v>2</v>
      </c>
      <c r="N29" s="256">
        <f>ROUND(IF(M29&lt;&gt;0,$BK$4/('全局参数|GlobalPar'!$B$18/10000/E29)/M29,0),6)</f>
        <v>0</v>
      </c>
      <c r="O29" s="259">
        <f t="shared" si="141"/>
        <v>8.0000000000000002E-3</v>
      </c>
      <c r="P29" s="260">
        <f t="shared" si="20"/>
        <v>0</v>
      </c>
      <c r="Q29" s="277">
        <v>11</v>
      </c>
      <c r="R29" s="278">
        <v>1</v>
      </c>
      <c r="S29" s="279" t="str">
        <f t="shared" si="21"/>
        <v>[[0,1],[0,1],[0,1],[0,1],[0,1],[0,1],[0,1],[0,1],[0,1],[0,1],[0,2],[0,4],[0,6],[0,8],[0,10],[0,20],[0,40],[0,60],[0,80],[0,100]]</v>
      </c>
      <c r="T29" s="63">
        <v>0</v>
      </c>
      <c r="U29" s="281">
        <v>0</v>
      </c>
      <c r="V29" s="280">
        <f t="shared" si="22"/>
        <v>0</v>
      </c>
      <c r="W29" s="280">
        <v>0.06</v>
      </c>
      <c r="X29" s="280">
        <f t="shared" si="102"/>
        <v>0.1</v>
      </c>
      <c r="Y29" s="304">
        <f t="shared" si="127"/>
        <v>0.05</v>
      </c>
      <c r="Z29" s="63" t="str">
        <f t="shared" si="103"/>
        <v>[[2,5],[3,2],[4,1]]</v>
      </c>
      <c r="AA29" s="305" t="str">
        <f t="shared" si="104"/>
        <v>[0.213333,0.106667,0.071111]</v>
      </c>
      <c r="AB29" s="305">
        <f t="shared" si="105"/>
        <v>0.2</v>
      </c>
      <c r="AC29" s="305">
        <v>0</v>
      </c>
      <c r="AD29" s="306">
        <v>10</v>
      </c>
      <c r="AE29" s="63">
        <v>13</v>
      </c>
      <c r="AF29" s="63">
        <v>0</v>
      </c>
      <c r="AG29" s="63">
        <v>1</v>
      </c>
      <c r="AH29" s="39">
        <v>3</v>
      </c>
      <c r="AI29" s="39">
        <v>0</v>
      </c>
      <c r="AJ29" s="63">
        <v>1</v>
      </c>
      <c r="AK29" s="63">
        <v>1</v>
      </c>
      <c r="AL29" s="63">
        <v>1</v>
      </c>
      <c r="AM29" s="63">
        <v>1</v>
      </c>
      <c r="AN29" s="63" t="s">
        <v>1395</v>
      </c>
      <c r="AO29" s="39"/>
      <c r="AP29" s="39"/>
      <c r="AQ29" s="310">
        <v>0.6</v>
      </c>
      <c r="AR29" s="39">
        <v>80</v>
      </c>
      <c r="AS29" s="39">
        <v>0.18</v>
      </c>
      <c r="AT29" s="39">
        <v>0.8</v>
      </c>
      <c r="AU29" s="39">
        <v>1</v>
      </c>
      <c r="AV29" s="39" t="s">
        <v>1386</v>
      </c>
      <c r="AW29" s="317" t="s">
        <v>1408</v>
      </c>
      <c r="AX29" s="317" t="s">
        <v>1409</v>
      </c>
      <c r="AY29" s="316" t="s">
        <v>1410</v>
      </c>
      <c r="AZ29" s="316" t="s">
        <v>258</v>
      </c>
      <c r="BA29" s="78">
        <f t="shared" si="142"/>
        <v>30</v>
      </c>
      <c r="BB29" s="318">
        <f t="shared" si="25"/>
        <v>5</v>
      </c>
      <c r="BC29" s="78" t="s">
        <v>1317</v>
      </c>
      <c r="BD29" s="78">
        <f t="shared" si="143"/>
        <v>0.746</v>
      </c>
      <c r="BE29" s="78"/>
      <c r="BF29" s="63">
        <f t="shared" si="27"/>
        <v>40</v>
      </c>
      <c r="BG29" s="63">
        <f t="shared" si="28"/>
        <v>42.400000000000006</v>
      </c>
      <c r="BI29" s="63">
        <f t="shared" si="29"/>
        <v>0</v>
      </c>
      <c r="BK29" s="339" t="s">
        <v>1411</v>
      </c>
      <c r="BL29" s="39" t="s">
        <v>1412</v>
      </c>
      <c r="BM29" s="339" t="s">
        <v>1413</v>
      </c>
      <c r="BN29" s="39" t="s">
        <v>1412</v>
      </c>
      <c r="BO29" s="339" t="s">
        <v>1414</v>
      </c>
      <c r="BP29" s="39" t="s">
        <v>1412</v>
      </c>
      <c r="BQ29" s="39" t="s">
        <v>877</v>
      </c>
      <c r="BT29" s="344">
        <f t="shared" si="30"/>
        <v>44</v>
      </c>
      <c r="BU29" s="353">
        <f t="shared" si="128"/>
        <v>0.1</v>
      </c>
      <c r="BV29" s="354">
        <v>2</v>
      </c>
      <c r="BW29" s="133">
        <v>5</v>
      </c>
      <c r="BX29" s="354">
        <v>3</v>
      </c>
      <c r="BY29" s="133">
        <v>2</v>
      </c>
      <c r="BZ29" s="354">
        <v>4</v>
      </c>
      <c r="CA29" s="133">
        <v>1</v>
      </c>
      <c r="CB29" s="133">
        <f t="shared" si="106"/>
        <v>2.5</v>
      </c>
      <c r="CC29" s="133">
        <f t="shared" si="107"/>
        <v>7.5</v>
      </c>
      <c r="CD29" s="358">
        <f t="shared" si="133"/>
        <v>0.21333299999999999</v>
      </c>
      <c r="CE29" s="133">
        <f t="shared" si="107"/>
        <v>15</v>
      </c>
      <c r="CF29" s="359">
        <f t="shared" si="134"/>
        <v>0.106667</v>
      </c>
      <c r="CG29" s="133">
        <f t="shared" si="107"/>
        <v>22.5</v>
      </c>
      <c r="CH29" s="360">
        <f t="shared" si="135"/>
        <v>7.1110999999999994E-2</v>
      </c>
      <c r="CJ29" s="229">
        <v>2E-3</v>
      </c>
      <c r="CK29" s="387">
        <f t="shared" si="129"/>
        <v>0</v>
      </c>
      <c r="CL29" s="259">
        <f t="shared" si="35"/>
        <v>0</v>
      </c>
      <c r="CM29" s="383">
        <f t="shared" si="36"/>
        <v>0</v>
      </c>
      <c r="CN29" s="383">
        <f t="shared" si="37"/>
        <v>0</v>
      </c>
      <c r="CO29" s="384">
        <f t="shared" si="108"/>
        <v>0</v>
      </c>
      <c r="CP29" s="385">
        <f t="shared" si="38"/>
        <v>0</v>
      </c>
      <c r="CQ29" s="383">
        <f t="shared" si="39"/>
        <v>0</v>
      </c>
      <c r="CR29" s="386" t="e">
        <f t="shared" si="40"/>
        <v>#DIV/0!</v>
      </c>
      <c r="CS29" s="407">
        <f t="shared" si="109"/>
        <v>11</v>
      </c>
      <c r="CT29" s="408">
        <f t="shared" si="110"/>
        <v>1</v>
      </c>
      <c r="CU29" s="279"/>
      <c r="CV29" s="277">
        <v>11</v>
      </c>
      <c r="CW29" s="278">
        <v>1</v>
      </c>
      <c r="CY29" s="411"/>
      <c r="CZ29" s="230"/>
      <c r="DD29" s="414"/>
      <c r="DE29" s="407">
        <v>0</v>
      </c>
      <c r="DF29" s="259">
        <v>1</v>
      </c>
      <c r="DG29" s="414">
        <f t="shared" si="41"/>
        <v>0</v>
      </c>
      <c r="DH29" s="407">
        <f t="shared" si="42"/>
        <v>0</v>
      </c>
      <c r="DI29" s="259">
        <f t="shared" si="111"/>
        <v>1</v>
      </c>
      <c r="DJ29" s="414">
        <f t="shared" si="44"/>
        <v>0</v>
      </c>
      <c r="DK29" s="407">
        <f t="shared" si="45"/>
        <v>0</v>
      </c>
      <c r="DL29" s="259">
        <f t="shared" si="112"/>
        <v>1</v>
      </c>
      <c r="DM29" s="414">
        <f t="shared" si="47"/>
        <v>0</v>
      </c>
      <c r="DN29" s="407">
        <f t="shared" si="113"/>
        <v>0</v>
      </c>
      <c r="DO29" s="259">
        <f t="shared" si="114"/>
        <v>1</v>
      </c>
      <c r="DP29" s="414">
        <f t="shared" si="50"/>
        <v>0</v>
      </c>
      <c r="DQ29" s="407">
        <f t="shared" si="115"/>
        <v>0</v>
      </c>
      <c r="DR29" s="259">
        <f t="shared" si="116"/>
        <v>1</v>
      </c>
      <c r="DS29" s="414">
        <f t="shared" si="53"/>
        <v>0</v>
      </c>
      <c r="DT29" s="407">
        <f t="shared" si="117"/>
        <v>0</v>
      </c>
      <c r="DU29" s="259">
        <f t="shared" si="118"/>
        <v>1</v>
      </c>
      <c r="DV29" s="414">
        <f t="shared" si="56"/>
        <v>0</v>
      </c>
      <c r="DW29" s="407">
        <f t="shared" si="119"/>
        <v>0</v>
      </c>
      <c r="DX29" s="259">
        <f t="shared" si="120"/>
        <v>1</v>
      </c>
      <c r="DY29" s="414">
        <f t="shared" si="59"/>
        <v>0</v>
      </c>
      <c r="DZ29" s="407">
        <f t="shared" si="121"/>
        <v>0</v>
      </c>
      <c r="EA29" s="259">
        <f t="shared" si="122"/>
        <v>1</v>
      </c>
      <c r="EB29" s="414">
        <f t="shared" si="62"/>
        <v>0</v>
      </c>
      <c r="EC29" s="407">
        <f t="shared" si="123"/>
        <v>0</v>
      </c>
      <c r="ED29" s="259">
        <f t="shared" si="124"/>
        <v>1</v>
      </c>
      <c r="EE29" s="414">
        <f t="shared" si="65"/>
        <v>0</v>
      </c>
      <c r="EF29" s="407">
        <f t="shared" si="125"/>
        <v>0</v>
      </c>
      <c r="EG29" s="259">
        <f t="shared" si="126"/>
        <v>1</v>
      </c>
      <c r="EH29" s="414">
        <f t="shared" si="68"/>
        <v>0</v>
      </c>
      <c r="EI29" s="407">
        <f t="shared" si="69"/>
        <v>0</v>
      </c>
      <c r="EJ29" s="259">
        <f t="shared" si="70"/>
        <v>2</v>
      </c>
      <c r="EK29" s="414">
        <f t="shared" si="71"/>
        <v>0</v>
      </c>
      <c r="EL29" s="407">
        <f t="shared" si="72"/>
        <v>0</v>
      </c>
      <c r="EM29" s="259">
        <f t="shared" si="73"/>
        <v>4</v>
      </c>
      <c r="EN29" s="414">
        <f t="shared" si="74"/>
        <v>0</v>
      </c>
      <c r="EO29" s="407">
        <f t="shared" si="75"/>
        <v>0</v>
      </c>
      <c r="EP29" s="259">
        <f t="shared" si="76"/>
        <v>6</v>
      </c>
      <c r="EQ29" s="414">
        <f t="shared" si="77"/>
        <v>0</v>
      </c>
      <c r="ER29" s="407">
        <f t="shared" si="78"/>
        <v>0</v>
      </c>
      <c r="ES29" s="259">
        <f t="shared" si="79"/>
        <v>8</v>
      </c>
      <c r="ET29" s="414">
        <f t="shared" si="80"/>
        <v>0</v>
      </c>
      <c r="EU29" s="407">
        <f t="shared" si="81"/>
        <v>0</v>
      </c>
      <c r="EV29" s="259">
        <f t="shared" si="82"/>
        <v>10</v>
      </c>
      <c r="EW29" s="414">
        <f t="shared" si="83"/>
        <v>0</v>
      </c>
      <c r="EX29" s="407">
        <f t="shared" si="84"/>
        <v>0</v>
      </c>
      <c r="EY29" s="259">
        <f t="shared" si="85"/>
        <v>20</v>
      </c>
      <c r="EZ29" s="414">
        <f t="shared" si="86"/>
        <v>0</v>
      </c>
      <c r="FA29" s="407">
        <f t="shared" si="87"/>
        <v>0</v>
      </c>
      <c r="FB29" s="259">
        <f t="shared" si="88"/>
        <v>40</v>
      </c>
      <c r="FC29" s="414">
        <f t="shared" si="89"/>
        <v>0</v>
      </c>
      <c r="FD29" s="407">
        <f t="shared" si="90"/>
        <v>0</v>
      </c>
      <c r="FE29" s="259">
        <f t="shared" si="91"/>
        <v>60</v>
      </c>
      <c r="FF29" s="414">
        <f t="shared" si="92"/>
        <v>0</v>
      </c>
      <c r="FG29" s="407">
        <f t="shared" si="93"/>
        <v>0</v>
      </c>
      <c r="FH29" s="259">
        <f t="shared" si="94"/>
        <v>80</v>
      </c>
      <c r="FI29" s="414">
        <f t="shared" si="95"/>
        <v>0</v>
      </c>
      <c r="FJ29" s="407">
        <f t="shared" si="96"/>
        <v>0</v>
      </c>
      <c r="FK29" s="259">
        <f t="shared" si="97"/>
        <v>100</v>
      </c>
      <c r="FL29" s="414">
        <f t="shared" si="98"/>
        <v>0</v>
      </c>
      <c r="FP29" s="421">
        <f t="shared" si="136"/>
        <v>0</v>
      </c>
      <c r="FQ29" s="421">
        <f t="shared" si="136"/>
        <v>0</v>
      </c>
      <c r="FR29" s="421">
        <f t="shared" si="136"/>
        <v>0</v>
      </c>
      <c r="FS29" s="421">
        <f t="shared" si="136"/>
        <v>1.6666666666666666E-4</v>
      </c>
      <c r="FT29" s="421">
        <f t="shared" si="136"/>
        <v>2.0833333333333335E-4</v>
      </c>
      <c r="FU29" s="421">
        <f t="shared" si="136"/>
        <v>4.1666666666666669E-4</v>
      </c>
      <c r="FV29" s="421">
        <f t="shared" si="136"/>
        <v>8.3333333333333339E-4</v>
      </c>
      <c r="FW29" s="421">
        <f t="shared" si="136"/>
        <v>1.25E-3</v>
      </c>
      <c r="FX29" s="421">
        <f t="shared" si="136"/>
        <v>1.6666666666666668E-3</v>
      </c>
      <c r="FY29" s="421">
        <f t="shared" si="136"/>
        <v>2.0833333333333333E-3</v>
      </c>
      <c r="FZ29" s="421">
        <f t="shared" si="137"/>
        <v>4.1666666666666666E-3</v>
      </c>
      <c r="GA29" s="421">
        <f t="shared" si="137"/>
        <v>8.3333333333333332E-3</v>
      </c>
      <c r="GB29" s="421">
        <f t="shared" si="137"/>
        <v>1.1249999999999998E-2</v>
      </c>
      <c r="GC29" s="421">
        <f t="shared" si="137"/>
        <v>1.3333333333333334E-2</v>
      </c>
      <c r="GD29" s="421">
        <f t="shared" si="137"/>
        <v>1.6666666666666666E-2</v>
      </c>
      <c r="GE29" s="421">
        <f t="shared" si="137"/>
        <v>2.0833333333333332E-2</v>
      </c>
      <c r="GF29" s="421">
        <f t="shared" si="137"/>
        <v>4.1666666666666664E-2</v>
      </c>
      <c r="GG29" s="421">
        <f t="shared" si="137"/>
        <v>6.25E-2</v>
      </c>
      <c r="GH29" s="421">
        <f t="shared" si="137"/>
        <v>8.3333333333333329E-2</v>
      </c>
      <c r="GI29" s="421">
        <f t="shared" si="137"/>
        <v>8.3333333333333329E-2</v>
      </c>
    </row>
    <row r="30" spans="1:191" ht="16.2" x14ac:dyDescent="0.4">
      <c r="A30" s="63">
        <v>26</v>
      </c>
      <c r="B30" s="242" t="s">
        <v>1415</v>
      </c>
      <c r="C30" s="63">
        <v>4</v>
      </c>
      <c r="D30" s="63">
        <v>-1</v>
      </c>
      <c r="E30" s="39">
        <f t="shared" ref="E30:E38" si="144">BQ30</f>
        <v>46</v>
      </c>
      <c r="F30" s="63">
        <f t="shared" si="140"/>
        <v>45</v>
      </c>
      <c r="G30" s="63">
        <f t="shared" si="101"/>
        <v>46</v>
      </c>
      <c r="H30" s="63" t="str">
        <f>"[["&amp;BK30&amp;","&amp;BL30&amp;"],["&amp;BM30&amp;","&amp;BN30&amp;"],["&amp;BO30&amp;","&amp;BP30&amp;"]]"</f>
        <v>[[45,17],[50,2],[55,1]]</v>
      </c>
      <c r="I30" s="63">
        <v>5</v>
      </c>
      <c r="J30" s="63">
        <v>1</v>
      </c>
      <c r="K30" s="63">
        <v>0</v>
      </c>
      <c r="L30" s="254">
        <f>ROUND($BK$7/('全局参数|GlobalPar'!$B$18/10000/E30),6)*(7/5)</f>
        <v>3.1943800000000001E-2</v>
      </c>
      <c r="M30" s="255">
        <v>2</v>
      </c>
      <c r="N30" s="256">
        <f>ROUND(IF(M30&lt;&gt;0,$BK$4/('全局参数|GlobalPar'!$B$18/10000/E30)/M30,0),6)</f>
        <v>0</v>
      </c>
      <c r="O30" s="259">
        <f t="shared" si="141"/>
        <v>9.1999999999999998E-3</v>
      </c>
      <c r="P30" s="260">
        <f t="shared" si="20"/>
        <v>0</v>
      </c>
      <c r="Q30" s="277">
        <v>12</v>
      </c>
      <c r="R30" s="278">
        <v>1</v>
      </c>
      <c r="S30" s="279" t="str">
        <f t="shared" si="21"/>
        <v>[[0,1],[0,1],[0,1],[0,1],[0,1],[0,1],[0,1],[0,1],[0,1],[0,1],[0,2],[0,4],[0,6],[0,8],[0,10],[0,20],[0,40],[0,60],[0,80],[0,100]]</v>
      </c>
      <c r="T30" s="63">
        <v>0</v>
      </c>
      <c r="U30" s="282">
        <v>1</v>
      </c>
      <c r="V30" s="280">
        <f t="shared" si="22"/>
        <v>0.06</v>
      </c>
      <c r="W30" s="280">
        <v>0.06</v>
      </c>
      <c r="X30" s="280">
        <f t="shared" si="102"/>
        <v>0.1</v>
      </c>
      <c r="Y30" s="304">
        <f t="shared" si="127"/>
        <v>0.05</v>
      </c>
      <c r="Z30" s="63" t="str">
        <f t="shared" si="103"/>
        <v>[[2,5],[3,2],[4,1]]</v>
      </c>
      <c r="AA30" s="305" t="str">
        <f t="shared" si="104"/>
        <v>[0.245333,0.122667,0.081778]</v>
      </c>
      <c r="AB30" s="305">
        <f t="shared" si="105"/>
        <v>0.23</v>
      </c>
      <c r="AC30" s="305">
        <v>0</v>
      </c>
      <c r="AD30" s="306">
        <v>11</v>
      </c>
      <c r="AE30" s="63">
        <f t="shared" ref="AE30:AE38" si="145">IF(C30=4,1,IF(C30=6,2,-1))</f>
        <v>1</v>
      </c>
      <c r="AF30" s="63">
        <v>0</v>
      </c>
      <c r="AG30" s="39">
        <v>2</v>
      </c>
      <c r="AH30" s="39">
        <v>4</v>
      </c>
      <c r="AI30" s="39">
        <v>1</v>
      </c>
      <c r="AJ30" s="63">
        <v>1</v>
      </c>
      <c r="AK30" s="63">
        <v>1</v>
      </c>
      <c r="AL30" s="63">
        <v>1</v>
      </c>
      <c r="AM30" s="63">
        <v>1</v>
      </c>
      <c r="AN30" s="63" t="s">
        <v>919</v>
      </c>
      <c r="AO30" s="39"/>
      <c r="AP30" s="39"/>
      <c r="AQ30" s="310">
        <v>0.75</v>
      </c>
      <c r="AR30" s="39">
        <v>80</v>
      </c>
      <c r="AS30" s="39">
        <v>0.18</v>
      </c>
      <c r="AT30" s="39">
        <v>0.8</v>
      </c>
      <c r="AU30" s="39">
        <v>1</v>
      </c>
      <c r="AV30" s="39" t="s">
        <v>1386</v>
      </c>
      <c r="AW30" s="319" t="s">
        <v>1416</v>
      </c>
      <c r="AX30" s="319" t="s">
        <v>1417</v>
      </c>
      <c r="AY30" s="320" t="s">
        <v>258</v>
      </c>
      <c r="AZ30" s="316" t="s">
        <v>258</v>
      </c>
      <c r="BA30" s="78">
        <f t="shared" si="142"/>
        <v>5.2</v>
      </c>
      <c r="BB30" s="318">
        <f t="shared" si="25"/>
        <v>28.846153846153847</v>
      </c>
      <c r="BC30" s="78" t="s">
        <v>1317</v>
      </c>
      <c r="BD30" s="78">
        <f t="shared" si="143"/>
        <v>0.746</v>
      </c>
      <c r="BE30" s="78"/>
      <c r="BF30" s="63">
        <f t="shared" si="27"/>
        <v>52</v>
      </c>
      <c r="BG30" s="63">
        <f t="shared" si="28"/>
        <v>54.760000000000005</v>
      </c>
      <c r="BI30" s="63">
        <f t="shared" si="29"/>
        <v>0</v>
      </c>
      <c r="BJ30" s="256">
        <v>0.1</v>
      </c>
      <c r="BK30" s="339">
        <v>45</v>
      </c>
      <c r="BL30" s="39">
        <v>17</v>
      </c>
      <c r="BM30" s="340">
        <v>50</v>
      </c>
      <c r="BN30" s="62">
        <v>2</v>
      </c>
      <c r="BO30" s="346">
        <v>55</v>
      </c>
      <c r="BP30" s="63">
        <v>1</v>
      </c>
      <c r="BQ30" s="347">
        <f t="shared" ref="BQ30:BQ38" si="146">(BK30*BL30+BM30*BN30+BO30*BP30)/(BL30+BN30+BP30)</f>
        <v>46</v>
      </c>
      <c r="BR30" s="39">
        <f>(BL30+BN30+BP30)/BN30</f>
        <v>10</v>
      </c>
      <c r="BS30" s="39">
        <f>MIN(BR30*BJ30,1)</f>
        <v>1</v>
      </c>
      <c r="BT30" s="344">
        <f t="shared" si="30"/>
        <v>50.6</v>
      </c>
      <c r="BU30" s="353">
        <f t="shared" si="128"/>
        <v>0.1</v>
      </c>
      <c r="BV30" s="354">
        <v>2</v>
      </c>
      <c r="BW30" s="133">
        <v>5</v>
      </c>
      <c r="BX30" s="354">
        <v>3</v>
      </c>
      <c r="BY30" s="133">
        <v>2</v>
      </c>
      <c r="BZ30" s="354">
        <v>4</v>
      </c>
      <c r="CA30" s="133">
        <v>1</v>
      </c>
      <c r="CB30" s="133">
        <f t="shared" si="106"/>
        <v>2.5</v>
      </c>
      <c r="CC30" s="133">
        <f t="shared" si="107"/>
        <v>7.5</v>
      </c>
      <c r="CD30" s="358">
        <f t="shared" si="133"/>
        <v>0.245333</v>
      </c>
      <c r="CE30" s="133">
        <f t="shared" si="107"/>
        <v>15</v>
      </c>
      <c r="CF30" s="359">
        <f t="shared" si="134"/>
        <v>0.122667</v>
      </c>
      <c r="CG30" s="133">
        <f t="shared" si="107"/>
        <v>22.5</v>
      </c>
      <c r="CH30" s="360">
        <f t="shared" si="135"/>
        <v>8.1778000000000003E-2</v>
      </c>
      <c r="CJ30" s="229">
        <v>2E-3</v>
      </c>
      <c r="CK30" s="387">
        <f t="shared" si="129"/>
        <v>0</v>
      </c>
      <c r="CL30" s="259">
        <f t="shared" si="35"/>
        <v>0</v>
      </c>
      <c r="CM30" s="383">
        <f t="shared" si="36"/>
        <v>0</v>
      </c>
      <c r="CN30" s="383">
        <f t="shared" si="37"/>
        <v>0</v>
      </c>
      <c r="CO30" s="384">
        <f t="shared" si="108"/>
        <v>0</v>
      </c>
      <c r="CP30" s="385">
        <f t="shared" si="38"/>
        <v>0</v>
      </c>
      <c r="CQ30" s="383">
        <f t="shared" si="39"/>
        <v>0</v>
      </c>
      <c r="CR30" s="386" t="e">
        <f t="shared" si="40"/>
        <v>#DIV/0!</v>
      </c>
      <c r="CS30" s="407">
        <f t="shared" si="109"/>
        <v>12</v>
      </c>
      <c r="CT30" s="408">
        <f t="shared" si="110"/>
        <v>1</v>
      </c>
      <c r="CU30" s="279"/>
      <c r="CV30" s="277">
        <v>12</v>
      </c>
      <c r="CW30" s="278">
        <v>1</v>
      </c>
      <c r="CY30" s="411"/>
      <c r="CZ30" s="230"/>
      <c r="DD30" s="414"/>
      <c r="DE30" s="407">
        <v>0</v>
      </c>
      <c r="DF30" s="259">
        <v>1</v>
      </c>
      <c r="DG30" s="414">
        <f t="shared" si="41"/>
        <v>0</v>
      </c>
      <c r="DH30" s="407">
        <f t="shared" si="42"/>
        <v>0</v>
      </c>
      <c r="DI30" s="259">
        <f t="shared" si="111"/>
        <v>1</v>
      </c>
      <c r="DJ30" s="414">
        <f t="shared" si="44"/>
        <v>0</v>
      </c>
      <c r="DK30" s="407">
        <f t="shared" si="45"/>
        <v>0</v>
      </c>
      <c r="DL30" s="259">
        <f t="shared" si="112"/>
        <v>1</v>
      </c>
      <c r="DM30" s="414">
        <f t="shared" si="47"/>
        <v>0</v>
      </c>
      <c r="DN30" s="407">
        <f t="shared" si="113"/>
        <v>0</v>
      </c>
      <c r="DO30" s="259">
        <f t="shared" si="114"/>
        <v>1</v>
      </c>
      <c r="DP30" s="414">
        <f t="shared" si="50"/>
        <v>0</v>
      </c>
      <c r="DQ30" s="407">
        <f t="shared" si="115"/>
        <v>0</v>
      </c>
      <c r="DR30" s="259">
        <f t="shared" si="116"/>
        <v>1</v>
      </c>
      <c r="DS30" s="414">
        <f t="shared" si="53"/>
        <v>0</v>
      </c>
      <c r="DT30" s="407">
        <f t="shared" si="117"/>
        <v>0</v>
      </c>
      <c r="DU30" s="259">
        <f t="shared" si="118"/>
        <v>1</v>
      </c>
      <c r="DV30" s="414">
        <f t="shared" si="56"/>
        <v>0</v>
      </c>
      <c r="DW30" s="407">
        <f t="shared" si="119"/>
        <v>0</v>
      </c>
      <c r="DX30" s="259">
        <f t="shared" si="120"/>
        <v>1</v>
      </c>
      <c r="DY30" s="414">
        <f t="shared" si="59"/>
        <v>0</v>
      </c>
      <c r="DZ30" s="407">
        <f t="shared" si="121"/>
        <v>0</v>
      </c>
      <c r="EA30" s="259">
        <f t="shared" si="122"/>
        <v>1</v>
      </c>
      <c r="EB30" s="414">
        <f t="shared" si="62"/>
        <v>0</v>
      </c>
      <c r="EC30" s="407">
        <f t="shared" si="123"/>
        <v>0</v>
      </c>
      <c r="ED30" s="259">
        <f t="shared" si="124"/>
        <v>1</v>
      </c>
      <c r="EE30" s="414">
        <f t="shared" si="65"/>
        <v>0</v>
      </c>
      <c r="EF30" s="407">
        <f t="shared" si="125"/>
        <v>0</v>
      </c>
      <c r="EG30" s="259">
        <f t="shared" si="126"/>
        <v>1</v>
      </c>
      <c r="EH30" s="414">
        <f t="shared" si="68"/>
        <v>0</v>
      </c>
      <c r="EI30" s="407">
        <f t="shared" si="69"/>
        <v>0</v>
      </c>
      <c r="EJ30" s="259">
        <f t="shared" si="70"/>
        <v>2</v>
      </c>
      <c r="EK30" s="414">
        <f t="shared" si="71"/>
        <v>0</v>
      </c>
      <c r="EL30" s="407">
        <f t="shared" si="72"/>
        <v>0</v>
      </c>
      <c r="EM30" s="259">
        <f t="shared" si="73"/>
        <v>4</v>
      </c>
      <c r="EN30" s="414">
        <f t="shared" si="74"/>
        <v>0</v>
      </c>
      <c r="EO30" s="407">
        <f t="shared" si="75"/>
        <v>0</v>
      </c>
      <c r="EP30" s="259">
        <f t="shared" si="76"/>
        <v>6</v>
      </c>
      <c r="EQ30" s="414">
        <f t="shared" si="77"/>
        <v>0</v>
      </c>
      <c r="ER30" s="407">
        <f t="shared" si="78"/>
        <v>0</v>
      </c>
      <c r="ES30" s="259">
        <f t="shared" si="79"/>
        <v>8</v>
      </c>
      <c r="ET30" s="414">
        <f t="shared" si="80"/>
        <v>0</v>
      </c>
      <c r="EU30" s="407">
        <f t="shared" si="81"/>
        <v>0</v>
      </c>
      <c r="EV30" s="259">
        <f t="shared" si="82"/>
        <v>10</v>
      </c>
      <c r="EW30" s="414">
        <f t="shared" si="83"/>
        <v>0</v>
      </c>
      <c r="EX30" s="407">
        <f t="shared" si="84"/>
        <v>0</v>
      </c>
      <c r="EY30" s="259">
        <f t="shared" si="85"/>
        <v>20</v>
      </c>
      <c r="EZ30" s="414">
        <f t="shared" si="86"/>
        <v>0</v>
      </c>
      <c r="FA30" s="407">
        <f t="shared" si="87"/>
        <v>0</v>
      </c>
      <c r="FB30" s="259">
        <f t="shared" si="88"/>
        <v>40</v>
      </c>
      <c r="FC30" s="414">
        <f t="shared" si="89"/>
        <v>0</v>
      </c>
      <c r="FD30" s="407">
        <f t="shared" si="90"/>
        <v>0</v>
      </c>
      <c r="FE30" s="259">
        <f t="shared" si="91"/>
        <v>60</v>
      </c>
      <c r="FF30" s="414">
        <f t="shared" si="92"/>
        <v>0</v>
      </c>
      <c r="FG30" s="407">
        <f t="shared" si="93"/>
        <v>0</v>
      </c>
      <c r="FH30" s="259">
        <f t="shared" si="94"/>
        <v>80</v>
      </c>
      <c r="FI30" s="414">
        <f t="shared" si="95"/>
        <v>0</v>
      </c>
      <c r="FJ30" s="407">
        <f t="shared" si="96"/>
        <v>0</v>
      </c>
      <c r="FK30" s="259">
        <f t="shared" si="97"/>
        <v>100</v>
      </c>
      <c r="FL30" s="414">
        <f t="shared" si="98"/>
        <v>0</v>
      </c>
      <c r="FP30" s="421">
        <f t="shared" si="136"/>
        <v>0</v>
      </c>
      <c r="FQ30" s="421">
        <f t="shared" si="136"/>
        <v>0</v>
      </c>
      <c r="FR30" s="421">
        <f t="shared" si="136"/>
        <v>0</v>
      </c>
      <c r="FS30" s="421">
        <f t="shared" si="136"/>
        <v>1.916666666666667E-4</v>
      </c>
      <c r="FT30" s="421">
        <f t="shared" si="136"/>
        <v>2.3958333333333337E-4</v>
      </c>
      <c r="FU30" s="421">
        <f t="shared" si="136"/>
        <v>4.7916666666666675E-4</v>
      </c>
      <c r="FV30" s="421">
        <f t="shared" si="136"/>
        <v>9.583333333333335E-4</v>
      </c>
      <c r="FW30" s="421">
        <f t="shared" si="136"/>
        <v>1.4375000000000002E-3</v>
      </c>
      <c r="FX30" s="421">
        <f t="shared" si="136"/>
        <v>1.916666666666667E-3</v>
      </c>
      <c r="FY30" s="421">
        <f t="shared" si="136"/>
        <v>2.395833333333334E-3</v>
      </c>
      <c r="FZ30" s="421">
        <f t="shared" si="137"/>
        <v>4.791666666666668E-3</v>
      </c>
      <c r="GA30" s="421">
        <f t="shared" si="137"/>
        <v>9.5833333333333361E-3</v>
      </c>
      <c r="GB30" s="421">
        <f t="shared" si="137"/>
        <v>1.2937499999999998E-2</v>
      </c>
      <c r="GC30" s="421">
        <f t="shared" si="137"/>
        <v>1.5333333333333332E-2</v>
      </c>
      <c r="GD30" s="421">
        <f t="shared" si="137"/>
        <v>1.9166666666666665E-2</v>
      </c>
      <c r="GE30" s="421">
        <f t="shared" si="137"/>
        <v>2.3958333333333338E-2</v>
      </c>
      <c r="GF30" s="421">
        <f t="shared" si="137"/>
        <v>4.7916666666666677E-2</v>
      </c>
      <c r="GG30" s="421">
        <f t="shared" si="137"/>
        <v>7.1875000000000008E-2</v>
      </c>
      <c r="GH30" s="421">
        <f t="shared" si="137"/>
        <v>9.5833333333333354E-2</v>
      </c>
      <c r="GI30" s="421">
        <f t="shared" si="137"/>
        <v>9.583333333333334E-2</v>
      </c>
    </row>
    <row r="31" spans="1:191" ht="16.2" x14ac:dyDescent="0.4">
      <c r="A31" s="63">
        <v>27</v>
      </c>
      <c r="B31" s="242" t="s">
        <v>1418</v>
      </c>
      <c r="C31" s="63">
        <v>4</v>
      </c>
      <c r="D31" s="63">
        <v>-1</v>
      </c>
      <c r="E31" s="39">
        <f t="shared" si="144"/>
        <v>53</v>
      </c>
      <c r="F31" s="63">
        <f t="shared" si="140"/>
        <v>50</v>
      </c>
      <c r="G31" s="63">
        <f t="shared" si="101"/>
        <v>53</v>
      </c>
      <c r="H31" s="63" t="str">
        <f t="shared" ref="H31:H38" si="147">"[["&amp;BK31&amp;","&amp;BL31&amp;"],["&amp;BM31&amp;","&amp;BN31&amp;"],["&amp;BO31&amp;","&amp;BP31&amp;"]]"</f>
        <v>[[50,17],[65,2],[80,1]]</v>
      </c>
      <c r="I31" s="63">
        <f>I30</f>
        <v>5</v>
      </c>
      <c r="J31" s="63">
        <f>J30</f>
        <v>1</v>
      </c>
      <c r="K31" s="63">
        <v>0</v>
      </c>
      <c r="L31" s="254">
        <f>ROUND($BK$7/('全局参数|GlobalPar'!$B$18/10000/E31),6)*(7/5)</f>
        <v>3.6805999999999998E-2</v>
      </c>
      <c r="M31" s="255">
        <v>2</v>
      </c>
      <c r="N31" s="256">
        <f>ROUND(IF(M31&lt;&gt;0,$BK$4/('全局参数|GlobalPar'!$B$18/10000/E31)/M31,0),6)</f>
        <v>0</v>
      </c>
      <c r="O31" s="259">
        <f t="shared" si="141"/>
        <v>1.06E-2</v>
      </c>
      <c r="P31" s="260">
        <f t="shared" si="20"/>
        <v>0</v>
      </c>
      <c r="Q31" s="277">
        <v>12</v>
      </c>
      <c r="R31" s="278">
        <v>1</v>
      </c>
      <c r="S31" s="279" t="str">
        <f t="shared" si="21"/>
        <v>[[0,1],[0,1],[0,1],[0,1],[0,1],[0,1],[0,1],[0,1],[0,1],[0,1],[0,2],[0,4],[0,6],[0,8],[0,10],[0,20],[0,40],[0,60],[0,80],[0,100]]</v>
      </c>
      <c r="T31" s="63">
        <v>0</v>
      </c>
      <c r="U31" s="282">
        <v>0.11764705882352899</v>
      </c>
      <c r="V31" s="280">
        <f t="shared" si="22"/>
        <v>0.06</v>
      </c>
      <c r="W31" s="280">
        <v>0.06</v>
      </c>
      <c r="X31" s="280">
        <f t="shared" si="102"/>
        <v>0.1</v>
      </c>
      <c r="Y31" s="304">
        <f t="shared" si="127"/>
        <v>0.05</v>
      </c>
      <c r="Z31" s="63" t="str">
        <f t="shared" si="103"/>
        <v>[[2,5],[3,2],[4,1]]</v>
      </c>
      <c r="AA31" s="305" t="str">
        <f t="shared" si="104"/>
        <v>[0.282667,0.141333,0.094222]</v>
      </c>
      <c r="AB31" s="305">
        <f t="shared" si="105"/>
        <v>0.26500000000000001</v>
      </c>
      <c r="AC31" s="305">
        <v>0</v>
      </c>
      <c r="AD31" s="306">
        <v>11</v>
      </c>
      <c r="AE31" s="63">
        <f t="shared" si="145"/>
        <v>1</v>
      </c>
      <c r="AF31" s="63">
        <v>0</v>
      </c>
      <c r="AG31" s="63">
        <v>2</v>
      </c>
      <c r="AH31" s="39">
        <v>4</v>
      </c>
      <c r="AI31" s="39">
        <v>1</v>
      </c>
      <c r="AJ31" s="63">
        <v>1</v>
      </c>
      <c r="AK31" s="63">
        <v>1</v>
      </c>
      <c r="AL31" s="63">
        <v>1</v>
      </c>
      <c r="AM31" s="63">
        <v>1</v>
      </c>
      <c r="AN31" s="63" t="s">
        <v>919</v>
      </c>
      <c r="AO31" s="39"/>
      <c r="AP31" s="39"/>
      <c r="AQ31" s="310">
        <v>0.75</v>
      </c>
      <c r="AR31" s="39">
        <v>90</v>
      </c>
      <c r="AS31" s="39">
        <v>0.18</v>
      </c>
      <c r="AT31" s="39">
        <v>0.8</v>
      </c>
      <c r="AU31" s="39">
        <v>1</v>
      </c>
      <c r="AV31" s="39" t="s">
        <v>1386</v>
      </c>
      <c r="AW31" s="317" t="s">
        <v>1419</v>
      </c>
      <c r="AX31" s="317" t="s">
        <v>1420</v>
      </c>
      <c r="AY31" s="320" t="s">
        <v>403</v>
      </c>
      <c r="AZ31" s="316" t="s">
        <v>258</v>
      </c>
      <c r="BA31" s="78">
        <f t="shared" si="142"/>
        <v>5.9</v>
      </c>
      <c r="BB31" s="318">
        <f t="shared" si="25"/>
        <v>25.423728813559322</v>
      </c>
      <c r="BC31" s="78" t="s">
        <v>1317</v>
      </c>
      <c r="BD31" s="78">
        <f t="shared" si="143"/>
        <v>0.746</v>
      </c>
      <c r="BE31" s="78"/>
      <c r="BF31" s="63">
        <f t="shared" si="27"/>
        <v>59</v>
      </c>
      <c r="BG31" s="63">
        <f t="shared" si="28"/>
        <v>62.18</v>
      </c>
      <c r="BI31" s="63">
        <f t="shared" si="29"/>
        <v>0</v>
      </c>
      <c r="BJ31" s="256">
        <v>0.1</v>
      </c>
      <c r="BK31" s="340">
        <v>50</v>
      </c>
      <c r="BL31" s="39">
        <v>17</v>
      </c>
      <c r="BM31" s="348">
        <v>65</v>
      </c>
      <c r="BN31" s="62">
        <v>2</v>
      </c>
      <c r="BO31" s="346">
        <v>80</v>
      </c>
      <c r="BP31" s="63">
        <v>1</v>
      </c>
      <c r="BQ31" s="347">
        <f t="shared" si="146"/>
        <v>53</v>
      </c>
      <c r="BR31" s="39">
        <f>(BL31+BN31+BP31)/BL31</f>
        <v>1.1764705882352942</v>
      </c>
      <c r="BS31" s="39">
        <f t="shared" ref="BS31:BS38" si="148">MIN(BR31*BJ31,1)</f>
        <v>0.11764705882352942</v>
      </c>
      <c r="BT31" s="344">
        <f t="shared" si="30"/>
        <v>58.300000000000004</v>
      </c>
      <c r="BU31" s="353">
        <f t="shared" si="128"/>
        <v>0.1</v>
      </c>
      <c r="BV31" s="354">
        <v>2</v>
      </c>
      <c r="BW31" s="133">
        <v>5</v>
      </c>
      <c r="BX31" s="354">
        <v>3</v>
      </c>
      <c r="BY31" s="133">
        <v>2</v>
      </c>
      <c r="BZ31" s="354">
        <v>4</v>
      </c>
      <c r="CA31" s="133">
        <v>1</v>
      </c>
      <c r="CB31" s="133">
        <f t="shared" si="106"/>
        <v>2.5</v>
      </c>
      <c r="CC31" s="133">
        <f t="shared" si="107"/>
        <v>7.5</v>
      </c>
      <c r="CD31" s="358">
        <f t="shared" si="133"/>
        <v>0.282667</v>
      </c>
      <c r="CE31" s="133">
        <f t="shared" si="107"/>
        <v>15</v>
      </c>
      <c r="CF31" s="359">
        <f t="shared" si="134"/>
        <v>0.14133299999999999</v>
      </c>
      <c r="CG31" s="133">
        <f t="shared" si="107"/>
        <v>22.5</v>
      </c>
      <c r="CH31" s="360">
        <f t="shared" si="135"/>
        <v>9.4222E-2</v>
      </c>
      <c r="CJ31" s="229">
        <v>2E-3</v>
      </c>
      <c r="CK31" s="387">
        <f t="shared" si="129"/>
        <v>0</v>
      </c>
      <c r="CL31" s="259">
        <f t="shared" si="35"/>
        <v>0</v>
      </c>
      <c r="CM31" s="383">
        <f t="shared" si="36"/>
        <v>0</v>
      </c>
      <c r="CN31" s="383">
        <f t="shared" si="37"/>
        <v>0</v>
      </c>
      <c r="CO31" s="384">
        <f t="shared" si="108"/>
        <v>0</v>
      </c>
      <c r="CP31" s="385">
        <f t="shared" si="38"/>
        <v>0</v>
      </c>
      <c r="CQ31" s="383">
        <f t="shared" si="39"/>
        <v>0</v>
      </c>
      <c r="CR31" s="386" t="e">
        <f t="shared" si="40"/>
        <v>#DIV/0!</v>
      </c>
      <c r="CS31" s="407">
        <f t="shared" si="109"/>
        <v>12</v>
      </c>
      <c r="CT31" s="408">
        <f t="shared" si="110"/>
        <v>1</v>
      </c>
      <c r="CU31" s="279"/>
      <c r="CV31" s="277">
        <v>12</v>
      </c>
      <c r="CW31" s="278">
        <v>1</v>
      </c>
      <c r="CY31" s="411"/>
      <c r="CZ31" s="230"/>
      <c r="DD31" s="414"/>
      <c r="DE31" s="407">
        <v>0</v>
      </c>
      <c r="DF31" s="259">
        <v>1</v>
      </c>
      <c r="DG31" s="414">
        <f t="shared" si="41"/>
        <v>0</v>
      </c>
      <c r="DH31" s="407">
        <f t="shared" si="42"/>
        <v>0</v>
      </c>
      <c r="DI31" s="259">
        <f t="shared" si="111"/>
        <v>1</v>
      </c>
      <c r="DJ31" s="414">
        <f t="shared" si="44"/>
        <v>0</v>
      </c>
      <c r="DK31" s="407">
        <f t="shared" si="45"/>
        <v>0</v>
      </c>
      <c r="DL31" s="259">
        <f t="shared" si="112"/>
        <v>1</v>
      </c>
      <c r="DM31" s="414">
        <f t="shared" si="47"/>
        <v>0</v>
      </c>
      <c r="DN31" s="407">
        <f t="shared" si="113"/>
        <v>0</v>
      </c>
      <c r="DO31" s="259">
        <f t="shared" si="114"/>
        <v>1</v>
      </c>
      <c r="DP31" s="414">
        <f t="shared" si="50"/>
        <v>0</v>
      </c>
      <c r="DQ31" s="407">
        <f t="shared" si="115"/>
        <v>0</v>
      </c>
      <c r="DR31" s="259">
        <f t="shared" si="116"/>
        <v>1</v>
      </c>
      <c r="DS31" s="414">
        <f t="shared" si="53"/>
        <v>0</v>
      </c>
      <c r="DT31" s="407">
        <f t="shared" si="117"/>
        <v>0</v>
      </c>
      <c r="DU31" s="259">
        <f t="shared" si="118"/>
        <v>1</v>
      </c>
      <c r="DV31" s="414">
        <f t="shared" si="56"/>
        <v>0</v>
      </c>
      <c r="DW31" s="407">
        <f t="shared" si="119"/>
        <v>0</v>
      </c>
      <c r="DX31" s="259">
        <f t="shared" si="120"/>
        <v>1</v>
      </c>
      <c r="DY31" s="414">
        <f t="shared" si="59"/>
        <v>0</v>
      </c>
      <c r="DZ31" s="407">
        <f t="shared" si="121"/>
        <v>0</v>
      </c>
      <c r="EA31" s="259">
        <f t="shared" si="122"/>
        <v>1</v>
      </c>
      <c r="EB31" s="414">
        <f t="shared" si="62"/>
        <v>0</v>
      </c>
      <c r="EC31" s="407">
        <f t="shared" si="123"/>
        <v>0</v>
      </c>
      <c r="ED31" s="259">
        <f t="shared" si="124"/>
        <v>1</v>
      </c>
      <c r="EE31" s="414">
        <f t="shared" si="65"/>
        <v>0</v>
      </c>
      <c r="EF31" s="407">
        <f t="shared" si="125"/>
        <v>0</v>
      </c>
      <c r="EG31" s="259">
        <f t="shared" si="126"/>
        <v>1</v>
      </c>
      <c r="EH31" s="414">
        <f t="shared" si="68"/>
        <v>0</v>
      </c>
      <c r="EI31" s="407">
        <f t="shared" si="69"/>
        <v>0</v>
      </c>
      <c r="EJ31" s="259">
        <f t="shared" si="70"/>
        <v>2</v>
      </c>
      <c r="EK31" s="414">
        <f t="shared" si="71"/>
        <v>0</v>
      </c>
      <c r="EL31" s="407">
        <f t="shared" si="72"/>
        <v>0</v>
      </c>
      <c r="EM31" s="259">
        <f t="shared" si="73"/>
        <v>4</v>
      </c>
      <c r="EN31" s="414">
        <f t="shared" si="74"/>
        <v>0</v>
      </c>
      <c r="EO31" s="407">
        <f t="shared" si="75"/>
        <v>0</v>
      </c>
      <c r="EP31" s="259">
        <f t="shared" si="76"/>
        <v>6</v>
      </c>
      <c r="EQ31" s="414">
        <f t="shared" si="77"/>
        <v>0</v>
      </c>
      <c r="ER31" s="407">
        <f t="shared" si="78"/>
        <v>0</v>
      </c>
      <c r="ES31" s="259">
        <f t="shared" si="79"/>
        <v>8</v>
      </c>
      <c r="ET31" s="414">
        <f t="shared" si="80"/>
        <v>0</v>
      </c>
      <c r="EU31" s="407">
        <f t="shared" si="81"/>
        <v>0</v>
      </c>
      <c r="EV31" s="259">
        <f t="shared" si="82"/>
        <v>10</v>
      </c>
      <c r="EW31" s="414">
        <f t="shared" si="83"/>
        <v>0</v>
      </c>
      <c r="EX31" s="407">
        <f t="shared" si="84"/>
        <v>0</v>
      </c>
      <c r="EY31" s="259">
        <f t="shared" si="85"/>
        <v>20</v>
      </c>
      <c r="EZ31" s="414">
        <f t="shared" si="86"/>
        <v>0</v>
      </c>
      <c r="FA31" s="407">
        <f t="shared" si="87"/>
        <v>0</v>
      </c>
      <c r="FB31" s="259">
        <f t="shared" si="88"/>
        <v>40</v>
      </c>
      <c r="FC31" s="414">
        <f t="shared" si="89"/>
        <v>0</v>
      </c>
      <c r="FD31" s="407">
        <f t="shared" si="90"/>
        <v>0</v>
      </c>
      <c r="FE31" s="259">
        <f t="shared" si="91"/>
        <v>60</v>
      </c>
      <c r="FF31" s="414">
        <f t="shared" si="92"/>
        <v>0</v>
      </c>
      <c r="FG31" s="407">
        <f t="shared" si="93"/>
        <v>0</v>
      </c>
      <c r="FH31" s="259">
        <f t="shared" si="94"/>
        <v>80</v>
      </c>
      <c r="FI31" s="414">
        <f t="shared" si="95"/>
        <v>0</v>
      </c>
      <c r="FJ31" s="407">
        <f t="shared" si="96"/>
        <v>0</v>
      </c>
      <c r="FK31" s="259">
        <f t="shared" si="97"/>
        <v>100</v>
      </c>
      <c r="FL31" s="414">
        <f t="shared" si="98"/>
        <v>0</v>
      </c>
      <c r="FP31" s="421">
        <f t="shared" si="136"/>
        <v>0</v>
      </c>
      <c r="FQ31" s="421">
        <f t="shared" si="136"/>
        <v>0</v>
      </c>
      <c r="FR31" s="421">
        <f t="shared" si="136"/>
        <v>0</v>
      </c>
      <c r="FS31" s="421">
        <f t="shared" si="136"/>
        <v>2.2083333333333335E-4</v>
      </c>
      <c r="FT31" s="421">
        <f t="shared" si="136"/>
        <v>2.7604166666666673E-4</v>
      </c>
      <c r="FU31" s="421">
        <f t="shared" si="136"/>
        <v>5.5208333333333346E-4</v>
      </c>
      <c r="FV31" s="421">
        <f t="shared" si="136"/>
        <v>1.1041666666666669E-3</v>
      </c>
      <c r="FW31" s="421">
        <f t="shared" si="136"/>
        <v>1.6562500000000002E-3</v>
      </c>
      <c r="FX31" s="421">
        <f t="shared" si="136"/>
        <v>2.2083333333333338E-3</v>
      </c>
      <c r="FY31" s="421">
        <f t="shared" si="136"/>
        <v>2.7604166666666671E-3</v>
      </c>
      <c r="FZ31" s="421">
        <f t="shared" si="137"/>
        <v>5.5208333333333342E-3</v>
      </c>
      <c r="GA31" s="421">
        <f t="shared" si="137"/>
        <v>1.1041666666666668E-2</v>
      </c>
      <c r="GB31" s="421">
        <f t="shared" si="137"/>
        <v>1.4906249999999998E-2</v>
      </c>
      <c r="GC31" s="421">
        <f t="shared" si="137"/>
        <v>1.7666666666666667E-2</v>
      </c>
      <c r="GD31" s="421">
        <f t="shared" si="137"/>
        <v>2.2083333333333333E-2</v>
      </c>
      <c r="GE31" s="421">
        <f t="shared" si="137"/>
        <v>2.7604166666666669E-2</v>
      </c>
      <c r="GF31" s="421">
        <f t="shared" si="137"/>
        <v>5.5208333333333338E-2</v>
      </c>
      <c r="GG31" s="421">
        <f t="shared" si="137"/>
        <v>8.2812500000000011E-2</v>
      </c>
      <c r="GH31" s="421">
        <f t="shared" si="137"/>
        <v>0.11041666666666668</v>
      </c>
      <c r="GI31" s="421">
        <f t="shared" si="137"/>
        <v>0.11041666666666666</v>
      </c>
    </row>
    <row r="32" spans="1:191" ht="16.2" x14ac:dyDescent="0.4">
      <c r="A32" s="63">
        <v>28</v>
      </c>
      <c r="B32" s="242" t="s">
        <v>1421</v>
      </c>
      <c r="C32" s="63">
        <v>4</v>
      </c>
      <c r="D32" s="63">
        <v>-1</v>
      </c>
      <c r="E32" s="39">
        <f t="shared" si="144"/>
        <v>54</v>
      </c>
      <c r="F32" s="63">
        <f t="shared" si="140"/>
        <v>50</v>
      </c>
      <c r="G32" s="63">
        <f t="shared" si="101"/>
        <v>54</v>
      </c>
      <c r="H32" s="63" t="str">
        <f t="shared" si="147"/>
        <v>[[50,17],[70,2],[90,1]]</v>
      </c>
      <c r="I32" s="63">
        <f t="shared" ref="I32:I38" si="149">I31</f>
        <v>5</v>
      </c>
      <c r="J32" s="63">
        <f t="shared" ref="J32:J38" si="150">J31</f>
        <v>1</v>
      </c>
      <c r="K32" s="63">
        <v>0</v>
      </c>
      <c r="L32" s="254">
        <f>ROUND($BK$7/('全局参数|GlobalPar'!$B$18/10000/E32),6)*(7/5)</f>
        <v>3.7500399999999996E-2</v>
      </c>
      <c r="M32" s="255">
        <v>2</v>
      </c>
      <c r="N32" s="256">
        <f>ROUND(IF(M32&lt;&gt;0,$BK$4/('全局参数|GlobalPar'!$B$18/10000/E32)/M32,0),6)</f>
        <v>0</v>
      </c>
      <c r="O32" s="259">
        <f t="shared" si="141"/>
        <v>1.0800000000000001E-2</v>
      </c>
      <c r="P32" s="260">
        <f t="shared" si="20"/>
        <v>0</v>
      </c>
      <c r="Q32" s="277">
        <v>12</v>
      </c>
      <c r="R32" s="278">
        <v>1</v>
      </c>
      <c r="S32" s="279" t="str">
        <f t="shared" si="21"/>
        <v>[[0,1],[0,1],[0,1],[0,1],[0,1],[0,1],[0,1],[0,1],[0,1],[0,1],[0,2],[0,4],[0,6],[0,8],[0,10],[0,20],[0,40],[0,60],[0,80],[0,100]]</v>
      </c>
      <c r="T32" s="63">
        <v>0</v>
      </c>
      <c r="U32" s="282">
        <v>0.11764705882352899</v>
      </c>
      <c r="V32" s="280">
        <f t="shared" si="22"/>
        <v>0.06</v>
      </c>
      <c r="W32" s="280">
        <v>0.06</v>
      </c>
      <c r="X32" s="280">
        <f t="shared" si="102"/>
        <v>0.1</v>
      </c>
      <c r="Y32" s="304">
        <f t="shared" si="127"/>
        <v>0.05</v>
      </c>
      <c r="Z32" s="63" t="str">
        <f t="shared" si="103"/>
        <v>[[2,5],[3,2],[4,1]]</v>
      </c>
      <c r="AA32" s="305" t="str">
        <f t="shared" si="104"/>
        <v>[0.288,0.144,0.096]</v>
      </c>
      <c r="AB32" s="305">
        <f t="shared" si="105"/>
        <v>0.27</v>
      </c>
      <c r="AC32" s="305">
        <v>0</v>
      </c>
      <c r="AD32" s="306">
        <v>11</v>
      </c>
      <c r="AE32" s="63">
        <f t="shared" si="145"/>
        <v>1</v>
      </c>
      <c r="AF32" s="63">
        <v>0</v>
      </c>
      <c r="AG32" s="39">
        <v>2</v>
      </c>
      <c r="AH32" s="39">
        <v>4</v>
      </c>
      <c r="AI32" s="39">
        <v>0</v>
      </c>
      <c r="AJ32" s="63">
        <v>1</v>
      </c>
      <c r="AK32" s="63">
        <v>1</v>
      </c>
      <c r="AL32" s="63">
        <v>1</v>
      </c>
      <c r="AM32" s="63">
        <v>1</v>
      </c>
      <c r="AN32" s="63" t="s">
        <v>919</v>
      </c>
      <c r="AO32" s="39"/>
      <c r="AP32" s="39"/>
      <c r="AQ32" s="310">
        <v>0.75</v>
      </c>
      <c r="AR32" s="39">
        <v>100</v>
      </c>
      <c r="AS32" s="39">
        <v>0.18</v>
      </c>
      <c r="AT32" s="39">
        <v>0.8</v>
      </c>
      <c r="AU32" s="39">
        <v>1</v>
      </c>
      <c r="AV32" s="39" t="s">
        <v>1386</v>
      </c>
      <c r="AW32" s="317" t="s">
        <v>1422</v>
      </c>
      <c r="AX32" s="317" t="s">
        <v>1423</v>
      </c>
      <c r="AY32" s="320" t="s">
        <v>248</v>
      </c>
      <c r="AZ32" s="316" t="s">
        <v>258</v>
      </c>
      <c r="BA32" s="78">
        <f t="shared" si="142"/>
        <v>6</v>
      </c>
      <c r="BB32" s="318">
        <f t="shared" si="25"/>
        <v>25</v>
      </c>
      <c r="BC32" s="78" t="s">
        <v>1317</v>
      </c>
      <c r="BD32" s="78">
        <f t="shared" si="143"/>
        <v>0.746</v>
      </c>
      <c r="BE32" s="78"/>
      <c r="BF32" s="63">
        <f t="shared" si="27"/>
        <v>60</v>
      </c>
      <c r="BG32" s="63">
        <f t="shared" si="28"/>
        <v>63.24</v>
      </c>
      <c r="BI32" s="63">
        <f t="shared" si="29"/>
        <v>0</v>
      </c>
      <c r="BJ32" s="256">
        <v>0.1</v>
      </c>
      <c r="BK32" s="340">
        <v>50</v>
      </c>
      <c r="BL32" s="39">
        <v>17</v>
      </c>
      <c r="BM32" s="348">
        <v>70</v>
      </c>
      <c r="BN32" s="62">
        <v>2</v>
      </c>
      <c r="BO32" s="346">
        <v>90</v>
      </c>
      <c r="BP32" s="63">
        <v>1</v>
      </c>
      <c r="BQ32" s="347">
        <f t="shared" si="146"/>
        <v>54</v>
      </c>
      <c r="BR32" s="39">
        <f>(BL32+BN32+BP32)/BL32</f>
        <v>1.1764705882352942</v>
      </c>
      <c r="BS32" s="39">
        <f t="shared" si="148"/>
        <v>0.11764705882352942</v>
      </c>
      <c r="BT32" s="344">
        <f t="shared" si="30"/>
        <v>59.400000000000006</v>
      </c>
      <c r="BU32" s="353">
        <f t="shared" si="128"/>
        <v>0.1</v>
      </c>
      <c r="BV32" s="354">
        <v>2</v>
      </c>
      <c r="BW32" s="133">
        <v>5</v>
      </c>
      <c r="BX32" s="354">
        <v>3</v>
      </c>
      <c r="BY32" s="133">
        <v>2</v>
      </c>
      <c r="BZ32" s="354">
        <v>4</v>
      </c>
      <c r="CA32" s="133">
        <v>1</v>
      </c>
      <c r="CB32" s="133">
        <f t="shared" si="106"/>
        <v>2.5</v>
      </c>
      <c r="CC32" s="133">
        <f t="shared" si="107"/>
        <v>7.5</v>
      </c>
      <c r="CD32" s="358">
        <f t="shared" si="133"/>
        <v>0.28799999999999998</v>
      </c>
      <c r="CE32" s="133">
        <f t="shared" si="107"/>
        <v>15</v>
      </c>
      <c r="CF32" s="359">
        <f t="shared" si="134"/>
        <v>0.14399999999999999</v>
      </c>
      <c r="CG32" s="133">
        <f t="shared" si="107"/>
        <v>22.5</v>
      </c>
      <c r="CH32" s="360">
        <f t="shared" si="135"/>
        <v>9.6000000000000002E-2</v>
      </c>
      <c r="CJ32" s="229">
        <v>2E-3</v>
      </c>
      <c r="CK32" s="387">
        <f t="shared" si="129"/>
        <v>0</v>
      </c>
      <c r="CL32" s="259">
        <f t="shared" si="35"/>
        <v>0</v>
      </c>
      <c r="CM32" s="383">
        <f t="shared" si="36"/>
        <v>0</v>
      </c>
      <c r="CN32" s="383">
        <f t="shared" si="37"/>
        <v>0</v>
      </c>
      <c r="CO32" s="384">
        <f t="shared" si="108"/>
        <v>0</v>
      </c>
      <c r="CP32" s="385">
        <f t="shared" si="38"/>
        <v>0</v>
      </c>
      <c r="CQ32" s="383">
        <f t="shared" si="39"/>
        <v>0</v>
      </c>
      <c r="CR32" s="386" t="e">
        <f t="shared" si="40"/>
        <v>#DIV/0!</v>
      </c>
      <c r="CS32" s="407">
        <f t="shared" si="109"/>
        <v>12</v>
      </c>
      <c r="CT32" s="408">
        <f t="shared" si="110"/>
        <v>1</v>
      </c>
      <c r="CU32" s="279"/>
      <c r="CV32" s="277">
        <v>12</v>
      </c>
      <c r="CW32" s="278">
        <v>1</v>
      </c>
      <c r="CY32" s="411"/>
      <c r="CZ32" s="230"/>
      <c r="DD32" s="414"/>
      <c r="DE32" s="407">
        <v>0</v>
      </c>
      <c r="DF32" s="259">
        <v>1</v>
      </c>
      <c r="DG32" s="414">
        <f t="shared" si="41"/>
        <v>0</v>
      </c>
      <c r="DH32" s="407">
        <f t="shared" si="42"/>
        <v>0</v>
      </c>
      <c r="DI32" s="259">
        <f t="shared" si="111"/>
        <v>1</v>
      </c>
      <c r="DJ32" s="414">
        <f t="shared" si="44"/>
        <v>0</v>
      </c>
      <c r="DK32" s="407">
        <f t="shared" si="45"/>
        <v>0</v>
      </c>
      <c r="DL32" s="259">
        <f t="shared" si="112"/>
        <v>1</v>
      </c>
      <c r="DM32" s="414">
        <f t="shared" si="47"/>
        <v>0</v>
      </c>
      <c r="DN32" s="407">
        <f t="shared" si="113"/>
        <v>0</v>
      </c>
      <c r="DO32" s="259">
        <f t="shared" si="114"/>
        <v>1</v>
      </c>
      <c r="DP32" s="414">
        <f t="shared" si="50"/>
        <v>0</v>
      </c>
      <c r="DQ32" s="407">
        <f t="shared" si="115"/>
        <v>0</v>
      </c>
      <c r="DR32" s="259">
        <f t="shared" si="116"/>
        <v>1</v>
      </c>
      <c r="DS32" s="414">
        <f t="shared" si="53"/>
        <v>0</v>
      </c>
      <c r="DT32" s="407">
        <f t="shared" si="117"/>
        <v>0</v>
      </c>
      <c r="DU32" s="259">
        <f t="shared" si="118"/>
        <v>1</v>
      </c>
      <c r="DV32" s="414">
        <f t="shared" si="56"/>
        <v>0</v>
      </c>
      <c r="DW32" s="407">
        <f t="shared" si="119"/>
        <v>0</v>
      </c>
      <c r="DX32" s="259">
        <f t="shared" si="120"/>
        <v>1</v>
      </c>
      <c r="DY32" s="414">
        <f t="shared" si="59"/>
        <v>0</v>
      </c>
      <c r="DZ32" s="407">
        <f t="shared" si="121"/>
        <v>0</v>
      </c>
      <c r="EA32" s="259">
        <f t="shared" si="122"/>
        <v>1</v>
      </c>
      <c r="EB32" s="414">
        <f t="shared" si="62"/>
        <v>0</v>
      </c>
      <c r="EC32" s="407">
        <f t="shared" si="123"/>
        <v>0</v>
      </c>
      <c r="ED32" s="259">
        <f t="shared" si="124"/>
        <v>1</v>
      </c>
      <c r="EE32" s="414">
        <f t="shared" si="65"/>
        <v>0</v>
      </c>
      <c r="EF32" s="407">
        <f t="shared" si="125"/>
        <v>0</v>
      </c>
      <c r="EG32" s="259">
        <f t="shared" si="126"/>
        <v>1</v>
      </c>
      <c r="EH32" s="414">
        <f t="shared" si="68"/>
        <v>0</v>
      </c>
      <c r="EI32" s="407">
        <f t="shared" si="69"/>
        <v>0</v>
      </c>
      <c r="EJ32" s="259">
        <f t="shared" si="70"/>
        <v>2</v>
      </c>
      <c r="EK32" s="414">
        <f t="shared" si="71"/>
        <v>0</v>
      </c>
      <c r="EL32" s="407">
        <f t="shared" si="72"/>
        <v>0</v>
      </c>
      <c r="EM32" s="259">
        <f t="shared" si="73"/>
        <v>4</v>
      </c>
      <c r="EN32" s="414">
        <f t="shared" si="74"/>
        <v>0</v>
      </c>
      <c r="EO32" s="407">
        <f t="shared" si="75"/>
        <v>0</v>
      </c>
      <c r="EP32" s="259">
        <f t="shared" si="76"/>
        <v>6</v>
      </c>
      <c r="EQ32" s="414">
        <f t="shared" si="77"/>
        <v>0</v>
      </c>
      <c r="ER32" s="407">
        <f t="shared" si="78"/>
        <v>0</v>
      </c>
      <c r="ES32" s="259">
        <f t="shared" si="79"/>
        <v>8</v>
      </c>
      <c r="ET32" s="414">
        <f t="shared" si="80"/>
        <v>0</v>
      </c>
      <c r="EU32" s="407">
        <f t="shared" si="81"/>
        <v>0</v>
      </c>
      <c r="EV32" s="259">
        <f t="shared" si="82"/>
        <v>10</v>
      </c>
      <c r="EW32" s="414">
        <f t="shared" si="83"/>
        <v>0</v>
      </c>
      <c r="EX32" s="407">
        <f t="shared" si="84"/>
        <v>0</v>
      </c>
      <c r="EY32" s="259">
        <f t="shared" si="85"/>
        <v>20</v>
      </c>
      <c r="EZ32" s="414">
        <f t="shared" si="86"/>
        <v>0</v>
      </c>
      <c r="FA32" s="407">
        <f t="shared" si="87"/>
        <v>0</v>
      </c>
      <c r="FB32" s="259">
        <f t="shared" si="88"/>
        <v>40</v>
      </c>
      <c r="FC32" s="414">
        <f t="shared" si="89"/>
        <v>0</v>
      </c>
      <c r="FD32" s="407">
        <f t="shared" si="90"/>
        <v>0</v>
      </c>
      <c r="FE32" s="259">
        <f t="shared" si="91"/>
        <v>60</v>
      </c>
      <c r="FF32" s="414">
        <f t="shared" si="92"/>
        <v>0</v>
      </c>
      <c r="FG32" s="407">
        <f t="shared" si="93"/>
        <v>0</v>
      </c>
      <c r="FH32" s="259">
        <f t="shared" si="94"/>
        <v>80</v>
      </c>
      <c r="FI32" s="414">
        <f t="shared" si="95"/>
        <v>0</v>
      </c>
      <c r="FJ32" s="407">
        <f t="shared" si="96"/>
        <v>0</v>
      </c>
      <c r="FK32" s="259">
        <f t="shared" si="97"/>
        <v>100</v>
      </c>
      <c r="FL32" s="414">
        <f t="shared" si="98"/>
        <v>0</v>
      </c>
      <c r="FP32" s="421">
        <f t="shared" si="136"/>
        <v>0</v>
      </c>
      <c r="FQ32" s="421">
        <f t="shared" si="136"/>
        <v>0</v>
      </c>
      <c r="FR32" s="421">
        <f t="shared" si="136"/>
        <v>0</v>
      </c>
      <c r="FS32" s="421">
        <f t="shared" si="136"/>
        <v>2.2499999999999999E-4</v>
      </c>
      <c r="FT32" s="421">
        <f t="shared" si="136"/>
        <v>2.8124999999999998E-4</v>
      </c>
      <c r="FU32" s="421">
        <f t="shared" si="136"/>
        <v>5.6249999999999996E-4</v>
      </c>
      <c r="FV32" s="421">
        <f t="shared" si="136"/>
        <v>1.1249999999999999E-3</v>
      </c>
      <c r="FW32" s="421">
        <f t="shared" si="136"/>
        <v>1.6875E-3</v>
      </c>
      <c r="FX32" s="421">
        <f t="shared" si="136"/>
        <v>2.2499999999999998E-3</v>
      </c>
      <c r="FY32" s="421">
        <f t="shared" si="136"/>
        <v>2.8124999999999999E-3</v>
      </c>
      <c r="FZ32" s="421">
        <f t="shared" si="137"/>
        <v>5.6249999999999998E-3</v>
      </c>
      <c r="GA32" s="421">
        <f t="shared" si="137"/>
        <v>1.125E-2</v>
      </c>
      <c r="GB32" s="421">
        <f t="shared" si="137"/>
        <v>1.5187499999999998E-2</v>
      </c>
      <c r="GC32" s="421">
        <f t="shared" si="137"/>
        <v>1.7999999999999999E-2</v>
      </c>
      <c r="GD32" s="421">
        <f t="shared" si="137"/>
        <v>2.2499999999999999E-2</v>
      </c>
      <c r="GE32" s="421">
        <f t="shared" si="137"/>
        <v>2.8125000000000001E-2</v>
      </c>
      <c r="GF32" s="421">
        <f t="shared" si="137"/>
        <v>5.6250000000000001E-2</v>
      </c>
      <c r="GG32" s="421">
        <f t="shared" si="137"/>
        <v>8.4375000000000006E-2</v>
      </c>
      <c r="GH32" s="421">
        <f t="shared" si="137"/>
        <v>0.1125</v>
      </c>
      <c r="GI32" s="421">
        <f t="shared" si="137"/>
        <v>0.1125</v>
      </c>
    </row>
    <row r="33" spans="1:191" ht="16.2" x14ac:dyDescent="0.4">
      <c r="A33" s="63">
        <v>29</v>
      </c>
      <c r="B33" s="242" t="s">
        <v>1424</v>
      </c>
      <c r="C33" s="63">
        <v>4</v>
      </c>
      <c r="D33" s="63">
        <v>-1</v>
      </c>
      <c r="E33" s="39">
        <f t="shared" si="144"/>
        <v>69.5</v>
      </c>
      <c r="F33" s="63">
        <f t="shared" si="140"/>
        <v>65</v>
      </c>
      <c r="G33" s="63">
        <f t="shared" si="101"/>
        <v>69.5</v>
      </c>
      <c r="H33" s="63" t="str">
        <f t="shared" si="147"/>
        <v>[[65,17],[85,1],[100,2]]</v>
      </c>
      <c r="I33" s="63">
        <f t="shared" si="149"/>
        <v>5</v>
      </c>
      <c r="J33" s="63">
        <f t="shared" si="150"/>
        <v>1</v>
      </c>
      <c r="K33" s="63">
        <v>0</v>
      </c>
      <c r="L33" s="254">
        <f>ROUND($BK$7/('全局参数|GlobalPar'!$B$18/10000/E33),6)*(7/5)</f>
        <v>4.8263599999999997E-2</v>
      </c>
      <c r="M33" s="255">
        <v>2</v>
      </c>
      <c r="N33" s="256">
        <f>ROUND(IF(M33&lt;&gt;0,$BK$4/('全局参数|GlobalPar'!$B$18/10000/E33)/M33,0),6)</f>
        <v>0</v>
      </c>
      <c r="O33" s="259">
        <f t="shared" si="141"/>
        <v>1.3899999999999999E-2</v>
      </c>
      <c r="P33" s="260">
        <f t="shared" ref="P33:P59" si="151">CK33</f>
        <v>0</v>
      </c>
      <c r="Q33" s="277">
        <v>13</v>
      </c>
      <c r="R33" s="278">
        <v>1</v>
      </c>
      <c r="S33" s="279" t="str">
        <f t="shared" si="21"/>
        <v>[[0,1],[0,1],[0,1],[0,1],[0,1],[0,1],[0,1],[0,1],[0,1],[0,1],[0,2],[0,4],[0,6],[0,8],[0,10],[0,20],[0,40],[0,60],[0,80],[0,100]]</v>
      </c>
      <c r="T33" s="63">
        <v>0</v>
      </c>
      <c r="U33" s="282">
        <v>1</v>
      </c>
      <c r="V33" s="280">
        <f t="shared" si="22"/>
        <v>0.06</v>
      </c>
      <c r="W33" s="280">
        <v>0.06</v>
      </c>
      <c r="X33" s="280">
        <f t="shared" si="102"/>
        <v>0.1</v>
      </c>
      <c r="Y33" s="304">
        <f t="shared" si="127"/>
        <v>0.05</v>
      </c>
      <c r="Z33" s="63" t="str">
        <f t="shared" si="103"/>
        <v>[[2,5],[3,2],[4,1]]</v>
      </c>
      <c r="AA33" s="305" t="str">
        <f t="shared" si="104"/>
        <v>[0.370667,0.185333,0.123556]</v>
      </c>
      <c r="AB33" s="305">
        <f t="shared" si="105"/>
        <v>0.34749999999999998</v>
      </c>
      <c r="AC33" s="305">
        <v>0</v>
      </c>
      <c r="AD33" s="306">
        <v>11</v>
      </c>
      <c r="AE33" s="63">
        <f t="shared" si="145"/>
        <v>1</v>
      </c>
      <c r="AF33" s="63">
        <v>0</v>
      </c>
      <c r="AG33" s="39">
        <v>2</v>
      </c>
      <c r="AH33" s="39">
        <v>4</v>
      </c>
      <c r="AI33" s="39">
        <v>1</v>
      </c>
      <c r="AJ33" s="63">
        <v>1</v>
      </c>
      <c r="AK33" s="63">
        <v>1</v>
      </c>
      <c r="AL33" s="63">
        <v>1</v>
      </c>
      <c r="AM33" s="63">
        <v>1</v>
      </c>
      <c r="AN33" s="63" t="s">
        <v>1425</v>
      </c>
      <c r="AO33" s="39"/>
      <c r="AP33" s="39"/>
      <c r="AQ33" s="310">
        <v>0.75</v>
      </c>
      <c r="AR33" s="39">
        <v>110</v>
      </c>
      <c r="AS33" s="39">
        <v>0.18</v>
      </c>
      <c r="AT33" s="39">
        <v>0.8</v>
      </c>
      <c r="AU33" s="39">
        <v>1</v>
      </c>
      <c r="AV33" s="39" t="s">
        <v>1386</v>
      </c>
      <c r="AW33" s="317" t="s">
        <v>1426</v>
      </c>
      <c r="AX33" s="317" t="s">
        <v>1427</v>
      </c>
      <c r="AY33" s="320" t="s">
        <v>521</v>
      </c>
      <c r="AZ33" s="316" t="s">
        <v>258</v>
      </c>
      <c r="BA33" s="78">
        <f t="shared" si="142"/>
        <v>7.5500000000000007</v>
      </c>
      <c r="BB33" s="318">
        <f t="shared" si="25"/>
        <v>19.867549668874169</v>
      </c>
      <c r="BC33" s="78" t="s">
        <v>1317</v>
      </c>
      <c r="BD33" s="78">
        <f t="shared" si="143"/>
        <v>0.746</v>
      </c>
      <c r="BE33" s="78"/>
      <c r="BF33" s="63">
        <f t="shared" si="27"/>
        <v>75.5</v>
      </c>
      <c r="BG33" s="63">
        <f t="shared" si="28"/>
        <v>79.67</v>
      </c>
      <c r="BI33" s="63">
        <f t="shared" si="29"/>
        <v>0</v>
      </c>
      <c r="BJ33" s="256">
        <v>0.1</v>
      </c>
      <c r="BK33" s="339">
        <v>65</v>
      </c>
      <c r="BL33" s="39">
        <v>17</v>
      </c>
      <c r="BM33" s="348">
        <v>85</v>
      </c>
      <c r="BN33" s="62">
        <v>1</v>
      </c>
      <c r="BO33" s="340">
        <v>100</v>
      </c>
      <c r="BP33" s="63">
        <v>2</v>
      </c>
      <c r="BQ33" s="347">
        <f t="shared" si="146"/>
        <v>69.5</v>
      </c>
      <c r="BR33" s="39">
        <f t="shared" ref="BR33:BR34" si="152">(BL33+BN33+BP33)/BP33</f>
        <v>10</v>
      </c>
      <c r="BS33" s="39">
        <f t="shared" si="148"/>
        <v>1</v>
      </c>
      <c r="BT33" s="344">
        <f t="shared" si="30"/>
        <v>76.45</v>
      </c>
      <c r="BU33" s="353">
        <f t="shared" si="128"/>
        <v>0.1</v>
      </c>
      <c r="BV33" s="354">
        <v>2</v>
      </c>
      <c r="BW33" s="133">
        <v>5</v>
      </c>
      <c r="BX33" s="354">
        <v>3</v>
      </c>
      <c r="BY33" s="133">
        <v>2</v>
      </c>
      <c r="BZ33" s="354">
        <v>4</v>
      </c>
      <c r="CA33" s="133">
        <v>1</v>
      </c>
      <c r="CB33" s="133">
        <f t="shared" si="106"/>
        <v>2.5</v>
      </c>
      <c r="CC33" s="133">
        <f t="shared" si="107"/>
        <v>7.5</v>
      </c>
      <c r="CD33" s="358">
        <f t="shared" si="133"/>
        <v>0.37066700000000002</v>
      </c>
      <c r="CE33" s="133">
        <f t="shared" si="107"/>
        <v>15</v>
      </c>
      <c r="CF33" s="359">
        <f t="shared" si="134"/>
        <v>0.185333</v>
      </c>
      <c r="CG33" s="133">
        <f t="shared" si="107"/>
        <v>22.5</v>
      </c>
      <c r="CH33" s="360">
        <f t="shared" si="135"/>
        <v>0.123556</v>
      </c>
      <c r="CJ33" s="229">
        <v>2E-3</v>
      </c>
      <c r="CK33" s="387">
        <f t="shared" si="129"/>
        <v>0</v>
      </c>
      <c r="CL33" s="259">
        <f t="shared" si="35"/>
        <v>0</v>
      </c>
      <c r="CM33" s="383">
        <f t="shared" si="36"/>
        <v>0</v>
      </c>
      <c r="CN33" s="383">
        <f t="shared" si="37"/>
        <v>0</v>
      </c>
      <c r="CO33" s="384">
        <f t="shared" si="108"/>
        <v>0</v>
      </c>
      <c r="CP33" s="385">
        <f t="shared" si="38"/>
        <v>0</v>
      </c>
      <c r="CQ33" s="383">
        <f t="shared" si="39"/>
        <v>0</v>
      </c>
      <c r="CR33" s="386" t="e">
        <f t="shared" si="40"/>
        <v>#DIV/0!</v>
      </c>
      <c r="CS33" s="407">
        <f t="shared" si="109"/>
        <v>13</v>
      </c>
      <c r="CT33" s="408">
        <f t="shared" si="110"/>
        <v>1</v>
      </c>
      <c r="CU33" s="279"/>
      <c r="CV33" s="277">
        <v>13</v>
      </c>
      <c r="CW33" s="278">
        <v>1</v>
      </c>
      <c r="CY33" s="411"/>
      <c r="CZ33" s="230"/>
      <c r="DD33" s="414"/>
      <c r="DE33" s="407">
        <v>0</v>
      </c>
      <c r="DF33" s="259">
        <v>1</v>
      </c>
      <c r="DG33" s="414">
        <f t="shared" si="41"/>
        <v>0</v>
      </c>
      <c r="DH33" s="407">
        <f t="shared" si="42"/>
        <v>0</v>
      </c>
      <c r="DI33" s="259">
        <f t="shared" si="111"/>
        <v>1</v>
      </c>
      <c r="DJ33" s="414">
        <f t="shared" si="44"/>
        <v>0</v>
      </c>
      <c r="DK33" s="407">
        <f t="shared" si="45"/>
        <v>0</v>
      </c>
      <c r="DL33" s="259">
        <f t="shared" si="112"/>
        <v>1</v>
      </c>
      <c r="DM33" s="414">
        <f t="shared" si="47"/>
        <v>0</v>
      </c>
      <c r="DN33" s="407">
        <f t="shared" si="113"/>
        <v>0</v>
      </c>
      <c r="DO33" s="259">
        <f t="shared" si="114"/>
        <v>1</v>
      </c>
      <c r="DP33" s="414">
        <f t="shared" si="50"/>
        <v>0</v>
      </c>
      <c r="DQ33" s="407">
        <f t="shared" si="115"/>
        <v>0</v>
      </c>
      <c r="DR33" s="259">
        <f t="shared" si="116"/>
        <v>1</v>
      </c>
      <c r="DS33" s="414">
        <f t="shared" si="53"/>
        <v>0</v>
      </c>
      <c r="DT33" s="407">
        <f t="shared" si="117"/>
        <v>0</v>
      </c>
      <c r="DU33" s="259">
        <f t="shared" si="118"/>
        <v>1</v>
      </c>
      <c r="DV33" s="414">
        <f t="shared" si="56"/>
        <v>0</v>
      </c>
      <c r="DW33" s="407">
        <f t="shared" si="119"/>
        <v>0</v>
      </c>
      <c r="DX33" s="259">
        <f t="shared" si="120"/>
        <v>1</v>
      </c>
      <c r="DY33" s="414">
        <f t="shared" si="59"/>
        <v>0</v>
      </c>
      <c r="DZ33" s="407">
        <f t="shared" si="121"/>
        <v>0</v>
      </c>
      <c r="EA33" s="259">
        <f t="shared" si="122"/>
        <v>1</v>
      </c>
      <c r="EB33" s="414">
        <f t="shared" si="62"/>
        <v>0</v>
      </c>
      <c r="EC33" s="407">
        <f t="shared" si="123"/>
        <v>0</v>
      </c>
      <c r="ED33" s="259">
        <f t="shared" si="124"/>
        <v>1</v>
      </c>
      <c r="EE33" s="414">
        <f t="shared" si="65"/>
        <v>0</v>
      </c>
      <c r="EF33" s="407">
        <f t="shared" si="125"/>
        <v>0</v>
      </c>
      <c r="EG33" s="259">
        <f t="shared" si="126"/>
        <v>1</v>
      </c>
      <c r="EH33" s="414">
        <f t="shared" si="68"/>
        <v>0</v>
      </c>
      <c r="EI33" s="407">
        <f t="shared" si="69"/>
        <v>0</v>
      </c>
      <c r="EJ33" s="259">
        <f t="shared" si="70"/>
        <v>2</v>
      </c>
      <c r="EK33" s="414">
        <f t="shared" si="71"/>
        <v>0</v>
      </c>
      <c r="EL33" s="407">
        <f t="shared" si="72"/>
        <v>0</v>
      </c>
      <c r="EM33" s="259">
        <f t="shared" si="73"/>
        <v>4</v>
      </c>
      <c r="EN33" s="414">
        <f t="shared" si="74"/>
        <v>0</v>
      </c>
      <c r="EO33" s="407">
        <f t="shared" si="75"/>
        <v>0</v>
      </c>
      <c r="EP33" s="259">
        <f t="shared" si="76"/>
        <v>6</v>
      </c>
      <c r="EQ33" s="414">
        <f t="shared" si="77"/>
        <v>0</v>
      </c>
      <c r="ER33" s="407">
        <f t="shared" si="78"/>
        <v>0</v>
      </c>
      <c r="ES33" s="259">
        <f t="shared" si="79"/>
        <v>8</v>
      </c>
      <c r="ET33" s="414">
        <f t="shared" si="80"/>
        <v>0</v>
      </c>
      <c r="EU33" s="407">
        <f t="shared" si="81"/>
        <v>0</v>
      </c>
      <c r="EV33" s="259">
        <f t="shared" si="82"/>
        <v>10</v>
      </c>
      <c r="EW33" s="414">
        <f t="shared" si="83"/>
        <v>0</v>
      </c>
      <c r="EX33" s="407">
        <f t="shared" si="84"/>
        <v>0</v>
      </c>
      <c r="EY33" s="259">
        <f t="shared" si="85"/>
        <v>20</v>
      </c>
      <c r="EZ33" s="414">
        <f t="shared" si="86"/>
        <v>0</v>
      </c>
      <c r="FA33" s="407">
        <f t="shared" si="87"/>
        <v>0</v>
      </c>
      <c r="FB33" s="259">
        <f t="shared" si="88"/>
        <v>40</v>
      </c>
      <c r="FC33" s="414">
        <f t="shared" si="89"/>
        <v>0</v>
      </c>
      <c r="FD33" s="407">
        <f t="shared" si="90"/>
        <v>0</v>
      </c>
      <c r="FE33" s="259">
        <f t="shared" si="91"/>
        <v>60</v>
      </c>
      <c r="FF33" s="414">
        <f t="shared" si="92"/>
        <v>0</v>
      </c>
      <c r="FG33" s="407">
        <f t="shared" si="93"/>
        <v>0</v>
      </c>
      <c r="FH33" s="259">
        <f t="shared" si="94"/>
        <v>80</v>
      </c>
      <c r="FI33" s="414">
        <f t="shared" si="95"/>
        <v>0</v>
      </c>
      <c r="FJ33" s="407">
        <f t="shared" si="96"/>
        <v>0</v>
      </c>
      <c r="FK33" s="259">
        <f t="shared" si="97"/>
        <v>100</v>
      </c>
      <c r="FL33" s="414">
        <f t="shared" si="98"/>
        <v>0</v>
      </c>
      <c r="FP33" s="421">
        <f t="shared" si="136"/>
        <v>0</v>
      </c>
      <c r="FQ33" s="421">
        <f t="shared" si="136"/>
        <v>0</v>
      </c>
      <c r="FR33" s="421">
        <f t="shared" si="136"/>
        <v>0</v>
      </c>
      <c r="FS33" s="421">
        <f t="shared" si="136"/>
        <v>2.8958333333333332E-4</v>
      </c>
      <c r="FT33" s="421">
        <f t="shared" si="136"/>
        <v>3.6197916666666664E-4</v>
      </c>
      <c r="FU33" s="421">
        <f t="shared" si="136"/>
        <v>7.2395833333333329E-4</v>
      </c>
      <c r="FV33" s="421">
        <f t="shared" si="136"/>
        <v>1.4479166666666666E-3</v>
      </c>
      <c r="FW33" s="421">
        <f t="shared" si="136"/>
        <v>2.1718750000000002E-3</v>
      </c>
      <c r="FX33" s="421">
        <f t="shared" si="136"/>
        <v>2.8958333333333332E-3</v>
      </c>
      <c r="FY33" s="421">
        <f t="shared" si="136"/>
        <v>3.6197916666666666E-3</v>
      </c>
      <c r="FZ33" s="421">
        <f t="shared" si="137"/>
        <v>7.2395833333333331E-3</v>
      </c>
      <c r="GA33" s="421">
        <f t="shared" si="137"/>
        <v>1.4479166666666666E-2</v>
      </c>
      <c r="GB33" s="421">
        <f t="shared" si="137"/>
        <v>1.9546874999999998E-2</v>
      </c>
      <c r="GC33" s="421">
        <f t="shared" si="137"/>
        <v>2.3166666666666669E-2</v>
      </c>
      <c r="GD33" s="421">
        <f t="shared" si="137"/>
        <v>2.8958333333333336E-2</v>
      </c>
      <c r="GE33" s="421">
        <f t="shared" si="137"/>
        <v>3.619791666666667E-2</v>
      </c>
      <c r="GF33" s="421">
        <f t="shared" si="137"/>
        <v>7.239583333333334E-2</v>
      </c>
      <c r="GG33" s="421">
        <f t="shared" si="137"/>
        <v>0.10859375</v>
      </c>
      <c r="GH33" s="421">
        <f t="shared" si="137"/>
        <v>0.14479166666666668</v>
      </c>
      <c r="GI33" s="421">
        <f t="shared" si="137"/>
        <v>0.14479166666666668</v>
      </c>
    </row>
    <row r="34" spans="1:191" ht="16.2" x14ac:dyDescent="0.4">
      <c r="A34" s="63">
        <v>30</v>
      </c>
      <c r="B34" s="242" t="s">
        <v>1428</v>
      </c>
      <c r="C34" s="63">
        <v>4</v>
      </c>
      <c r="D34" s="63">
        <v>-1</v>
      </c>
      <c r="E34" s="39">
        <f t="shared" si="144"/>
        <v>87</v>
      </c>
      <c r="F34" s="63">
        <f t="shared" si="140"/>
        <v>85</v>
      </c>
      <c r="G34" s="63">
        <f t="shared" si="101"/>
        <v>87</v>
      </c>
      <c r="H34" s="63" t="str">
        <f t="shared" si="147"/>
        <v>[[85,17],[95,1],[100,2]]</v>
      </c>
      <c r="I34" s="63">
        <f t="shared" si="149"/>
        <v>5</v>
      </c>
      <c r="J34" s="63">
        <f t="shared" si="150"/>
        <v>1</v>
      </c>
      <c r="K34" s="63">
        <v>0</v>
      </c>
      <c r="L34" s="254">
        <f>ROUND($BK$7/('全局参数|GlobalPar'!$B$18/10000/E34),6)*(7/5)</f>
        <v>6.0416999999999992E-2</v>
      </c>
      <c r="M34" s="255">
        <v>2</v>
      </c>
      <c r="N34" s="256">
        <f>ROUND(IF(M34&lt;&gt;0,$BK$4/('全局参数|GlobalPar'!$B$18/10000/E34)/M34,0),6)</f>
        <v>0</v>
      </c>
      <c r="O34" s="259">
        <f t="shared" si="141"/>
        <v>1.7399999999999999E-2</v>
      </c>
      <c r="P34" s="260">
        <f t="shared" si="151"/>
        <v>0</v>
      </c>
      <c r="Q34" s="277">
        <v>13</v>
      </c>
      <c r="R34" s="278">
        <v>1</v>
      </c>
      <c r="S34" s="279" t="str">
        <f t="shared" si="21"/>
        <v>[[0,1],[0,1],[0,1],[0,1],[0,1],[0,1],[0,1],[0,1],[0,1],[0,1],[0,2],[0,4],[0,6],[0,8],[0,10],[0,20],[0,40],[0,60],[0,80],[0,100]]</v>
      </c>
      <c r="T34" s="63">
        <v>0</v>
      </c>
      <c r="U34" s="282">
        <v>1</v>
      </c>
      <c r="V34" s="280">
        <f t="shared" si="22"/>
        <v>0.06</v>
      </c>
      <c r="W34" s="280">
        <v>0.06</v>
      </c>
      <c r="X34" s="280">
        <f t="shared" si="102"/>
        <v>0.1</v>
      </c>
      <c r="Y34" s="304">
        <f t="shared" si="127"/>
        <v>0.05</v>
      </c>
      <c r="Z34" s="63" t="str">
        <f t="shared" si="103"/>
        <v>[[2,5],[3,2],[4,1]]</v>
      </c>
      <c r="AA34" s="305" t="str">
        <f t="shared" si="104"/>
        <v>[0.464,0.232,0.154667]</v>
      </c>
      <c r="AB34" s="305">
        <f t="shared" si="105"/>
        <v>0.435</v>
      </c>
      <c r="AC34" s="305">
        <v>0</v>
      </c>
      <c r="AD34" s="306">
        <v>11</v>
      </c>
      <c r="AE34" s="63">
        <f t="shared" si="145"/>
        <v>1</v>
      </c>
      <c r="AF34" s="63">
        <v>0</v>
      </c>
      <c r="AG34" s="39">
        <v>2</v>
      </c>
      <c r="AH34" s="39">
        <v>4</v>
      </c>
      <c r="AI34" s="39">
        <v>1</v>
      </c>
      <c r="AJ34" s="63">
        <v>1</v>
      </c>
      <c r="AK34" s="63">
        <v>1</v>
      </c>
      <c r="AL34" s="63">
        <v>1</v>
      </c>
      <c r="AM34" s="63">
        <v>1</v>
      </c>
      <c r="AN34" s="63" t="s">
        <v>1425</v>
      </c>
      <c r="AO34" s="39"/>
      <c r="AP34" s="39"/>
      <c r="AQ34" s="310">
        <v>0.75</v>
      </c>
      <c r="AR34" s="39">
        <v>120</v>
      </c>
      <c r="AS34" s="39">
        <v>0.18</v>
      </c>
      <c r="AT34" s="39">
        <v>0.8</v>
      </c>
      <c r="AU34" s="39">
        <v>1</v>
      </c>
      <c r="AV34" s="39" t="s">
        <v>1386</v>
      </c>
      <c r="AW34" s="317" t="s">
        <v>1429</v>
      </c>
      <c r="AX34" s="317" t="s">
        <v>1430</v>
      </c>
      <c r="AY34" s="320" t="s">
        <v>346</v>
      </c>
      <c r="AZ34" s="316" t="s">
        <v>258</v>
      </c>
      <c r="BA34" s="78">
        <f t="shared" si="142"/>
        <v>9.3000000000000007</v>
      </c>
      <c r="BB34" s="318">
        <f t="shared" si="25"/>
        <v>16.129032258064516</v>
      </c>
      <c r="BC34" s="78" t="s">
        <v>1317</v>
      </c>
      <c r="BD34" s="78">
        <f t="shared" si="143"/>
        <v>0.746</v>
      </c>
      <c r="BE34" s="78"/>
      <c r="BF34" s="63">
        <f t="shared" si="27"/>
        <v>93</v>
      </c>
      <c r="BG34" s="63">
        <f t="shared" si="28"/>
        <v>98.22</v>
      </c>
      <c r="BI34" s="63">
        <f t="shared" si="29"/>
        <v>0</v>
      </c>
      <c r="BJ34" s="256">
        <v>0.1</v>
      </c>
      <c r="BK34" s="339">
        <v>85</v>
      </c>
      <c r="BL34" s="39">
        <v>17</v>
      </c>
      <c r="BM34" s="348">
        <v>95</v>
      </c>
      <c r="BN34" s="62">
        <v>1</v>
      </c>
      <c r="BO34" s="340">
        <v>100</v>
      </c>
      <c r="BP34" s="63">
        <v>2</v>
      </c>
      <c r="BQ34" s="347">
        <f t="shared" si="146"/>
        <v>87</v>
      </c>
      <c r="BR34" s="39">
        <f t="shared" si="152"/>
        <v>10</v>
      </c>
      <c r="BS34" s="39">
        <f t="shared" si="148"/>
        <v>1</v>
      </c>
      <c r="BT34" s="344">
        <f t="shared" si="30"/>
        <v>95.7</v>
      </c>
      <c r="BU34" s="353">
        <f t="shared" si="128"/>
        <v>0.1</v>
      </c>
      <c r="BV34" s="354">
        <v>2</v>
      </c>
      <c r="BW34" s="133">
        <v>5</v>
      </c>
      <c r="BX34" s="354">
        <v>3</v>
      </c>
      <c r="BY34" s="133">
        <v>2</v>
      </c>
      <c r="BZ34" s="354">
        <v>4</v>
      </c>
      <c r="CA34" s="133">
        <v>1</v>
      </c>
      <c r="CB34" s="133">
        <f t="shared" si="106"/>
        <v>2.5</v>
      </c>
      <c r="CC34" s="133">
        <f t="shared" si="107"/>
        <v>7.5</v>
      </c>
      <c r="CD34" s="358">
        <f t="shared" si="133"/>
        <v>0.46400000000000002</v>
      </c>
      <c r="CE34" s="133">
        <f t="shared" si="107"/>
        <v>15</v>
      </c>
      <c r="CF34" s="359">
        <f t="shared" si="134"/>
        <v>0.23200000000000001</v>
      </c>
      <c r="CG34" s="133">
        <f t="shared" si="107"/>
        <v>22.5</v>
      </c>
      <c r="CH34" s="360">
        <f t="shared" si="135"/>
        <v>0.154667</v>
      </c>
      <c r="CJ34" s="229">
        <v>2E-3</v>
      </c>
      <c r="CK34" s="387">
        <f t="shared" si="129"/>
        <v>0</v>
      </c>
      <c r="CL34" s="259">
        <f t="shared" si="35"/>
        <v>0</v>
      </c>
      <c r="CM34" s="383">
        <f t="shared" si="36"/>
        <v>0</v>
      </c>
      <c r="CN34" s="383">
        <f t="shared" si="37"/>
        <v>0</v>
      </c>
      <c r="CO34" s="384">
        <f t="shared" si="108"/>
        <v>0</v>
      </c>
      <c r="CP34" s="385">
        <f t="shared" si="38"/>
        <v>0</v>
      </c>
      <c r="CQ34" s="383">
        <f t="shared" si="39"/>
        <v>0</v>
      </c>
      <c r="CR34" s="386" t="e">
        <f t="shared" si="40"/>
        <v>#DIV/0!</v>
      </c>
      <c r="CS34" s="407">
        <f t="shared" si="109"/>
        <v>13</v>
      </c>
      <c r="CT34" s="408">
        <f t="shared" si="110"/>
        <v>1</v>
      </c>
      <c r="CU34" s="279"/>
      <c r="CV34" s="277">
        <v>13</v>
      </c>
      <c r="CW34" s="278">
        <v>1</v>
      </c>
      <c r="CY34" s="411"/>
      <c r="CZ34" s="230"/>
      <c r="DD34" s="414"/>
      <c r="DE34" s="407">
        <v>0</v>
      </c>
      <c r="DF34" s="259">
        <v>1</v>
      </c>
      <c r="DG34" s="414">
        <f t="shared" si="41"/>
        <v>0</v>
      </c>
      <c r="DH34" s="407">
        <f t="shared" si="42"/>
        <v>0</v>
      </c>
      <c r="DI34" s="259">
        <f t="shared" si="111"/>
        <v>1</v>
      </c>
      <c r="DJ34" s="414">
        <f t="shared" si="44"/>
        <v>0</v>
      </c>
      <c r="DK34" s="407">
        <f t="shared" si="45"/>
        <v>0</v>
      </c>
      <c r="DL34" s="259">
        <f t="shared" si="112"/>
        <v>1</v>
      </c>
      <c r="DM34" s="414">
        <f t="shared" si="47"/>
        <v>0</v>
      </c>
      <c r="DN34" s="407">
        <f t="shared" si="113"/>
        <v>0</v>
      </c>
      <c r="DO34" s="259">
        <f t="shared" si="114"/>
        <v>1</v>
      </c>
      <c r="DP34" s="414">
        <f t="shared" si="50"/>
        <v>0</v>
      </c>
      <c r="DQ34" s="407">
        <f t="shared" si="115"/>
        <v>0</v>
      </c>
      <c r="DR34" s="259">
        <f t="shared" si="116"/>
        <v>1</v>
      </c>
      <c r="DS34" s="414">
        <f t="shared" si="53"/>
        <v>0</v>
      </c>
      <c r="DT34" s="407">
        <f t="shared" si="117"/>
        <v>0</v>
      </c>
      <c r="DU34" s="259">
        <f t="shared" si="118"/>
        <v>1</v>
      </c>
      <c r="DV34" s="414">
        <f t="shared" si="56"/>
        <v>0</v>
      </c>
      <c r="DW34" s="407">
        <f t="shared" si="119"/>
        <v>0</v>
      </c>
      <c r="DX34" s="259">
        <f t="shared" si="120"/>
        <v>1</v>
      </c>
      <c r="DY34" s="414">
        <f t="shared" si="59"/>
        <v>0</v>
      </c>
      <c r="DZ34" s="407">
        <f t="shared" si="121"/>
        <v>0</v>
      </c>
      <c r="EA34" s="259">
        <f t="shared" si="122"/>
        <v>1</v>
      </c>
      <c r="EB34" s="414">
        <f t="shared" si="62"/>
        <v>0</v>
      </c>
      <c r="EC34" s="407">
        <f t="shared" si="123"/>
        <v>0</v>
      </c>
      <c r="ED34" s="259">
        <f t="shared" si="124"/>
        <v>1</v>
      </c>
      <c r="EE34" s="414">
        <f t="shared" si="65"/>
        <v>0</v>
      </c>
      <c r="EF34" s="407">
        <f t="shared" si="125"/>
        <v>0</v>
      </c>
      <c r="EG34" s="259">
        <f t="shared" si="126"/>
        <v>1</v>
      </c>
      <c r="EH34" s="414">
        <f t="shared" si="68"/>
        <v>0</v>
      </c>
      <c r="EI34" s="407">
        <f t="shared" si="69"/>
        <v>0</v>
      </c>
      <c r="EJ34" s="259">
        <f t="shared" si="70"/>
        <v>2</v>
      </c>
      <c r="EK34" s="414">
        <f t="shared" si="71"/>
        <v>0</v>
      </c>
      <c r="EL34" s="407">
        <f t="shared" si="72"/>
        <v>0</v>
      </c>
      <c r="EM34" s="259">
        <f t="shared" si="73"/>
        <v>4</v>
      </c>
      <c r="EN34" s="414">
        <f t="shared" si="74"/>
        <v>0</v>
      </c>
      <c r="EO34" s="407">
        <f t="shared" si="75"/>
        <v>0</v>
      </c>
      <c r="EP34" s="259">
        <f t="shared" si="76"/>
        <v>6</v>
      </c>
      <c r="EQ34" s="414">
        <f t="shared" si="77"/>
        <v>0</v>
      </c>
      <c r="ER34" s="407">
        <f t="shared" si="78"/>
        <v>0</v>
      </c>
      <c r="ES34" s="259">
        <f t="shared" si="79"/>
        <v>8</v>
      </c>
      <c r="ET34" s="414">
        <f t="shared" si="80"/>
        <v>0</v>
      </c>
      <c r="EU34" s="407">
        <f t="shared" si="81"/>
        <v>0</v>
      </c>
      <c r="EV34" s="259">
        <f t="shared" si="82"/>
        <v>10</v>
      </c>
      <c r="EW34" s="414">
        <f t="shared" si="83"/>
        <v>0</v>
      </c>
      <c r="EX34" s="407">
        <f t="shared" si="84"/>
        <v>0</v>
      </c>
      <c r="EY34" s="259">
        <f t="shared" si="85"/>
        <v>20</v>
      </c>
      <c r="EZ34" s="414">
        <f t="shared" si="86"/>
        <v>0</v>
      </c>
      <c r="FA34" s="407">
        <f t="shared" si="87"/>
        <v>0</v>
      </c>
      <c r="FB34" s="259">
        <f t="shared" si="88"/>
        <v>40</v>
      </c>
      <c r="FC34" s="414">
        <f t="shared" si="89"/>
        <v>0</v>
      </c>
      <c r="FD34" s="407">
        <f t="shared" si="90"/>
        <v>0</v>
      </c>
      <c r="FE34" s="259">
        <f t="shared" si="91"/>
        <v>60</v>
      </c>
      <c r="FF34" s="414">
        <f t="shared" si="92"/>
        <v>0</v>
      </c>
      <c r="FG34" s="407">
        <f t="shared" si="93"/>
        <v>0</v>
      </c>
      <c r="FH34" s="259">
        <f t="shared" si="94"/>
        <v>80</v>
      </c>
      <c r="FI34" s="414">
        <f t="shared" si="95"/>
        <v>0</v>
      </c>
      <c r="FJ34" s="407">
        <f t="shared" si="96"/>
        <v>0</v>
      </c>
      <c r="FK34" s="259">
        <f t="shared" si="97"/>
        <v>100</v>
      </c>
      <c r="FL34" s="414">
        <f t="shared" si="98"/>
        <v>0</v>
      </c>
      <c r="FP34" s="421">
        <f t="shared" si="136"/>
        <v>0</v>
      </c>
      <c r="FQ34" s="421">
        <f t="shared" si="136"/>
        <v>0</v>
      </c>
      <c r="FR34" s="421">
        <f t="shared" si="136"/>
        <v>0</v>
      </c>
      <c r="FS34" s="421">
        <f t="shared" si="136"/>
        <v>3.6250000000000008E-4</v>
      </c>
      <c r="FT34" s="421">
        <f t="shared" si="136"/>
        <v>4.5312500000000008E-4</v>
      </c>
      <c r="FU34" s="421">
        <f t="shared" si="136"/>
        <v>9.0625000000000015E-4</v>
      </c>
      <c r="FV34" s="421">
        <f t="shared" si="136"/>
        <v>1.8125000000000003E-3</v>
      </c>
      <c r="FW34" s="421">
        <f t="shared" si="136"/>
        <v>2.7187500000000007E-3</v>
      </c>
      <c r="FX34" s="421">
        <f t="shared" si="136"/>
        <v>3.6250000000000006E-3</v>
      </c>
      <c r="FY34" s="421">
        <f t="shared" si="136"/>
        <v>4.5312500000000006E-3</v>
      </c>
      <c r="FZ34" s="421">
        <f t="shared" si="137"/>
        <v>9.0625000000000011E-3</v>
      </c>
      <c r="GA34" s="421">
        <f t="shared" si="137"/>
        <v>1.8125000000000002E-2</v>
      </c>
      <c r="GB34" s="421">
        <f t="shared" si="137"/>
        <v>2.4468750000000001E-2</v>
      </c>
      <c r="GC34" s="421">
        <f t="shared" si="137"/>
        <v>2.9000000000000001E-2</v>
      </c>
      <c r="GD34" s="421">
        <f t="shared" si="137"/>
        <v>3.6249999999999998E-2</v>
      </c>
      <c r="GE34" s="421">
        <f t="shared" si="137"/>
        <v>4.5312500000000006E-2</v>
      </c>
      <c r="GF34" s="421">
        <f t="shared" si="137"/>
        <v>9.0625000000000011E-2</v>
      </c>
      <c r="GG34" s="421">
        <f t="shared" si="137"/>
        <v>0.13593750000000002</v>
      </c>
      <c r="GH34" s="421">
        <f t="shared" si="137"/>
        <v>0.18125000000000002</v>
      </c>
      <c r="GI34" s="421">
        <f t="shared" si="137"/>
        <v>0.18124999999999999</v>
      </c>
    </row>
    <row r="35" spans="1:191" ht="16.2" x14ac:dyDescent="0.4">
      <c r="A35" s="63">
        <v>31</v>
      </c>
      <c r="B35" s="242" t="s">
        <v>1431</v>
      </c>
      <c r="C35" s="63">
        <v>4</v>
      </c>
      <c r="D35" s="63">
        <v>-1</v>
      </c>
      <c r="E35" s="39">
        <f t="shared" si="144"/>
        <v>96</v>
      </c>
      <c r="F35" s="63">
        <f t="shared" si="140"/>
        <v>95</v>
      </c>
      <c r="G35" s="63">
        <f t="shared" si="101"/>
        <v>96</v>
      </c>
      <c r="H35" s="63" t="str">
        <f t="shared" si="147"/>
        <v>[[95,17],[100,2],[105,1]]</v>
      </c>
      <c r="I35" s="63">
        <f t="shared" si="149"/>
        <v>5</v>
      </c>
      <c r="J35" s="63">
        <f t="shared" si="150"/>
        <v>1</v>
      </c>
      <c r="K35" s="63">
        <v>0</v>
      </c>
      <c r="L35" s="254">
        <f>ROUND($BK$7/('全局参数|GlobalPar'!$B$18/10000/E35),6)*(7/5)</f>
        <v>6.6666599999999993E-2</v>
      </c>
      <c r="M35" s="255">
        <v>3</v>
      </c>
      <c r="N35" s="256">
        <f>ROUND(IF(M35&lt;&gt;0,$BK$4/('全局参数|GlobalPar'!$B$18/10000/E35)/M35,0),6)</f>
        <v>0</v>
      </c>
      <c r="O35" s="259">
        <f t="shared" si="141"/>
        <v>1.9199999999999998E-2</v>
      </c>
      <c r="P35" s="260">
        <f t="shared" si="151"/>
        <v>0</v>
      </c>
      <c r="Q35" s="277">
        <v>13</v>
      </c>
      <c r="R35" s="278">
        <v>1</v>
      </c>
      <c r="S35" s="279" t="str">
        <f t="shared" si="21"/>
        <v>[[0,1],[0,1],[0,1],[0,1],[0,1],[0,1],[0,1],[0,1],[0,1],[0,1],[0,2],[0,4],[0,6],[0,8],[0,10],[0,20],[0,40],[0,60],[0,80],[0,100]]</v>
      </c>
      <c r="T35" s="63">
        <v>0</v>
      </c>
      <c r="U35" s="282">
        <v>1</v>
      </c>
      <c r="V35" s="280">
        <f t="shared" si="22"/>
        <v>0.06</v>
      </c>
      <c r="W35" s="280">
        <v>0.06</v>
      </c>
      <c r="X35" s="280">
        <f t="shared" si="102"/>
        <v>0.1</v>
      </c>
      <c r="Y35" s="304">
        <f t="shared" si="127"/>
        <v>0.05</v>
      </c>
      <c r="Z35" s="63" t="str">
        <f t="shared" si="103"/>
        <v>[[2,5],[3,2],[4,1]]</v>
      </c>
      <c r="AA35" s="305" t="str">
        <f t="shared" si="104"/>
        <v>[0.512,0.256,0.170667]</v>
      </c>
      <c r="AB35" s="305">
        <v>0.5</v>
      </c>
      <c r="AC35" s="305">
        <v>1</v>
      </c>
      <c r="AD35" s="306">
        <v>11</v>
      </c>
      <c r="AE35" s="63">
        <f t="shared" si="145"/>
        <v>1</v>
      </c>
      <c r="AF35" s="63">
        <v>0</v>
      </c>
      <c r="AG35" s="39">
        <v>2</v>
      </c>
      <c r="AH35" s="39">
        <v>4</v>
      </c>
      <c r="AI35" s="39">
        <v>0</v>
      </c>
      <c r="AJ35" s="63">
        <v>1</v>
      </c>
      <c r="AK35" s="63">
        <v>1</v>
      </c>
      <c r="AL35" s="63">
        <v>1</v>
      </c>
      <c r="AM35" s="63">
        <v>1</v>
      </c>
      <c r="AN35" s="63" t="s">
        <v>1432</v>
      </c>
      <c r="AO35" s="39"/>
      <c r="AP35" s="39"/>
      <c r="AQ35" s="310">
        <v>0.75</v>
      </c>
      <c r="AR35" s="39">
        <v>130</v>
      </c>
      <c r="AS35" s="39">
        <v>0.18</v>
      </c>
      <c r="AT35" s="39">
        <v>0.8</v>
      </c>
      <c r="AU35" s="39">
        <v>1</v>
      </c>
      <c r="AV35" s="39" t="s">
        <v>1386</v>
      </c>
      <c r="AW35" s="317" t="s">
        <v>1433</v>
      </c>
      <c r="AX35" s="317" t="s">
        <v>1434</v>
      </c>
      <c r="AY35" s="320" t="s">
        <v>518</v>
      </c>
      <c r="AZ35" s="316" t="s">
        <v>258</v>
      </c>
      <c r="BA35" s="78">
        <f t="shared" si="142"/>
        <v>10.200000000000001</v>
      </c>
      <c r="BB35" s="318">
        <f t="shared" si="25"/>
        <v>14.705882352941176</v>
      </c>
      <c r="BC35" s="78" t="s">
        <v>1317</v>
      </c>
      <c r="BD35" s="78">
        <f t="shared" si="143"/>
        <v>0.746</v>
      </c>
      <c r="BE35" s="78"/>
      <c r="BF35" s="63">
        <f t="shared" si="27"/>
        <v>102</v>
      </c>
      <c r="BG35" s="63">
        <f t="shared" si="28"/>
        <v>107.76</v>
      </c>
      <c r="BI35" s="63">
        <f t="shared" si="29"/>
        <v>0</v>
      </c>
      <c r="BJ35" s="256">
        <v>0.1</v>
      </c>
      <c r="BK35" s="339">
        <v>95</v>
      </c>
      <c r="BL35" s="39">
        <v>17</v>
      </c>
      <c r="BM35" s="340">
        <v>100</v>
      </c>
      <c r="BN35" s="62">
        <v>2</v>
      </c>
      <c r="BO35" s="346">
        <v>105</v>
      </c>
      <c r="BP35" s="63">
        <v>1</v>
      </c>
      <c r="BQ35" s="347">
        <f t="shared" si="146"/>
        <v>96</v>
      </c>
      <c r="BR35" s="39">
        <f>(BL35+BN35+BP35)/BN35</f>
        <v>10</v>
      </c>
      <c r="BS35" s="39">
        <f t="shared" si="148"/>
        <v>1</v>
      </c>
      <c r="BT35" s="344">
        <f t="shared" si="30"/>
        <v>105.60000000000001</v>
      </c>
      <c r="BU35" s="353">
        <f t="shared" si="128"/>
        <v>0.1</v>
      </c>
      <c r="BV35" s="354">
        <v>2</v>
      </c>
      <c r="BW35" s="133">
        <v>5</v>
      </c>
      <c r="BX35" s="354">
        <v>3</v>
      </c>
      <c r="BY35" s="133">
        <v>2</v>
      </c>
      <c r="BZ35" s="354">
        <v>4</v>
      </c>
      <c r="CA35" s="133">
        <v>1</v>
      </c>
      <c r="CB35" s="133">
        <f t="shared" si="106"/>
        <v>2.5</v>
      </c>
      <c r="CC35" s="133">
        <f t="shared" si="107"/>
        <v>7.5</v>
      </c>
      <c r="CD35" s="358">
        <f t="shared" si="133"/>
        <v>0.51200000000000001</v>
      </c>
      <c r="CE35" s="133">
        <f t="shared" si="107"/>
        <v>15</v>
      </c>
      <c r="CF35" s="359">
        <f t="shared" si="134"/>
        <v>0.25600000000000001</v>
      </c>
      <c r="CG35" s="133">
        <f t="shared" si="107"/>
        <v>22.5</v>
      </c>
      <c r="CH35" s="360">
        <f t="shared" si="135"/>
        <v>0.17066700000000001</v>
      </c>
      <c r="CJ35" s="229">
        <v>2E-3</v>
      </c>
      <c r="CK35" s="387">
        <f t="shared" si="129"/>
        <v>0</v>
      </c>
      <c r="CL35" s="259">
        <f t="shared" si="35"/>
        <v>0</v>
      </c>
      <c r="CM35" s="383">
        <f t="shared" si="36"/>
        <v>0</v>
      </c>
      <c r="CN35" s="383">
        <f t="shared" si="37"/>
        <v>0</v>
      </c>
      <c r="CO35" s="384">
        <f t="shared" si="108"/>
        <v>0</v>
      </c>
      <c r="CP35" s="385">
        <f t="shared" si="38"/>
        <v>0</v>
      </c>
      <c r="CQ35" s="383">
        <f t="shared" si="39"/>
        <v>0</v>
      </c>
      <c r="CR35" s="386" t="e">
        <f t="shared" si="40"/>
        <v>#DIV/0!</v>
      </c>
      <c r="CS35" s="407">
        <f t="shared" si="109"/>
        <v>13</v>
      </c>
      <c r="CT35" s="408">
        <f t="shared" si="110"/>
        <v>1</v>
      </c>
      <c r="CU35" s="279"/>
      <c r="CV35" s="277">
        <v>13</v>
      </c>
      <c r="CW35" s="278">
        <v>1</v>
      </c>
      <c r="CY35" s="411"/>
      <c r="CZ35" s="230"/>
      <c r="DD35" s="414"/>
      <c r="DE35" s="407">
        <v>0</v>
      </c>
      <c r="DF35" s="259">
        <v>1</v>
      </c>
      <c r="DG35" s="414">
        <f t="shared" si="41"/>
        <v>0</v>
      </c>
      <c r="DH35" s="407">
        <f t="shared" si="42"/>
        <v>0</v>
      </c>
      <c r="DI35" s="259">
        <f t="shared" si="111"/>
        <v>1</v>
      </c>
      <c r="DJ35" s="414">
        <f t="shared" si="44"/>
        <v>0</v>
      </c>
      <c r="DK35" s="407">
        <f t="shared" si="45"/>
        <v>0</v>
      </c>
      <c r="DL35" s="259">
        <f t="shared" si="112"/>
        <v>1</v>
      </c>
      <c r="DM35" s="414">
        <f t="shared" si="47"/>
        <v>0</v>
      </c>
      <c r="DN35" s="407">
        <f t="shared" si="113"/>
        <v>0</v>
      </c>
      <c r="DO35" s="259">
        <f t="shared" si="114"/>
        <v>1</v>
      </c>
      <c r="DP35" s="414">
        <f t="shared" si="50"/>
        <v>0</v>
      </c>
      <c r="DQ35" s="407">
        <f t="shared" si="115"/>
        <v>0</v>
      </c>
      <c r="DR35" s="259">
        <f t="shared" si="116"/>
        <v>1</v>
      </c>
      <c r="DS35" s="414">
        <f t="shared" si="53"/>
        <v>0</v>
      </c>
      <c r="DT35" s="407">
        <f t="shared" si="117"/>
        <v>0</v>
      </c>
      <c r="DU35" s="259">
        <f t="shared" si="118"/>
        <v>1</v>
      </c>
      <c r="DV35" s="414">
        <f t="shared" si="56"/>
        <v>0</v>
      </c>
      <c r="DW35" s="407">
        <f t="shared" si="119"/>
        <v>0</v>
      </c>
      <c r="DX35" s="259">
        <f t="shared" si="120"/>
        <v>1</v>
      </c>
      <c r="DY35" s="414">
        <f t="shared" si="59"/>
        <v>0</v>
      </c>
      <c r="DZ35" s="407">
        <f t="shared" si="121"/>
        <v>0</v>
      </c>
      <c r="EA35" s="259">
        <f t="shared" si="122"/>
        <v>1</v>
      </c>
      <c r="EB35" s="414">
        <f t="shared" si="62"/>
        <v>0</v>
      </c>
      <c r="EC35" s="407">
        <f t="shared" si="123"/>
        <v>0</v>
      </c>
      <c r="ED35" s="259">
        <f t="shared" si="124"/>
        <v>1</v>
      </c>
      <c r="EE35" s="414">
        <f t="shared" si="65"/>
        <v>0</v>
      </c>
      <c r="EF35" s="407">
        <f t="shared" si="125"/>
        <v>0</v>
      </c>
      <c r="EG35" s="259">
        <f t="shared" si="126"/>
        <v>1</v>
      </c>
      <c r="EH35" s="414">
        <f t="shared" si="68"/>
        <v>0</v>
      </c>
      <c r="EI35" s="407">
        <f t="shared" si="69"/>
        <v>0</v>
      </c>
      <c r="EJ35" s="259">
        <f t="shared" si="70"/>
        <v>2</v>
      </c>
      <c r="EK35" s="414">
        <f t="shared" si="71"/>
        <v>0</v>
      </c>
      <c r="EL35" s="407">
        <f t="shared" si="72"/>
        <v>0</v>
      </c>
      <c r="EM35" s="259">
        <f t="shared" si="73"/>
        <v>4</v>
      </c>
      <c r="EN35" s="414">
        <f t="shared" si="74"/>
        <v>0</v>
      </c>
      <c r="EO35" s="407">
        <f t="shared" si="75"/>
        <v>0</v>
      </c>
      <c r="EP35" s="259">
        <f t="shared" si="76"/>
        <v>6</v>
      </c>
      <c r="EQ35" s="414">
        <f t="shared" si="77"/>
        <v>0</v>
      </c>
      <c r="ER35" s="407">
        <f t="shared" si="78"/>
        <v>0</v>
      </c>
      <c r="ES35" s="259">
        <f t="shared" si="79"/>
        <v>8</v>
      </c>
      <c r="ET35" s="414">
        <f t="shared" si="80"/>
        <v>0</v>
      </c>
      <c r="EU35" s="407">
        <f t="shared" si="81"/>
        <v>0</v>
      </c>
      <c r="EV35" s="259">
        <f t="shared" si="82"/>
        <v>10</v>
      </c>
      <c r="EW35" s="414">
        <f t="shared" si="83"/>
        <v>0</v>
      </c>
      <c r="EX35" s="407">
        <f t="shared" si="84"/>
        <v>0</v>
      </c>
      <c r="EY35" s="259">
        <f t="shared" si="85"/>
        <v>20</v>
      </c>
      <c r="EZ35" s="414">
        <f t="shared" si="86"/>
        <v>0</v>
      </c>
      <c r="FA35" s="407">
        <f t="shared" si="87"/>
        <v>0</v>
      </c>
      <c r="FB35" s="259">
        <f t="shared" si="88"/>
        <v>40</v>
      </c>
      <c r="FC35" s="414">
        <f t="shared" si="89"/>
        <v>0</v>
      </c>
      <c r="FD35" s="407">
        <f t="shared" si="90"/>
        <v>0</v>
      </c>
      <c r="FE35" s="259">
        <f t="shared" si="91"/>
        <v>60</v>
      </c>
      <c r="FF35" s="414">
        <f t="shared" si="92"/>
        <v>0</v>
      </c>
      <c r="FG35" s="407">
        <f t="shared" si="93"/>
        <v>0</v>
      </c>
      <c r="FH35" s="259">
        <f t="shared" si="94"/>
        <v>80</v>
      </c>
      <c r="FI35" s="414">
        <f t="shared" si="95"/>
        <v>0</v>
      </c>
      <c r="FJ35" s="407">
        <f t="shared" si="96"/>
        <v>0</v>
      </c>
      <c r="FK35" s="259">
        <f t="shared" si="97"/>
        <v>100</v>
      </c>
      <c r="FL35" s="414">
        <f t="shared" si="98"/>
        <v>0</v>
      </c>
      <c r="FP35" s="421">
        <f t="shared" ref="FP35:FY44" si="153">$Y35*FP$4/10000*$E35*FP$3/$FX$1</f>
        <v>0</v>
      </c>
      <c r="FQ35" s="421">
        <f t="shared" si="153"/>
        <v>0</v>
      </c>
      <c r="FR35" s="421">
        <f t="shared" si="153"/>
        <v>0</v>
      </c>
      <c r="FS35" s="421">
        <f t="shared" si="153"/>
        <v>4.0000000000000007E-4</v>
      </c>
      <c r="FT35" s="421">
        <f t="shared" si="153"/>
        <v>5.0000000000000001E-4</v>
      </c>
      <c r="FU35" s="421">
        <f t="shared" si="153"/>
        <v>1E-3</v>
      </c>
      <c r="FV35" s="421">
        <f t="shared" si="153"/>
        <v>2E-3</v>
      </c>
      <c r="FW35" s="421">
        <f t="shared" si="153"/>
        <v>3.0000000000000005E-3</v>
      </c>
      <c r="FX35" s="421">
        <f t="shared" si="153"/>
        <v>4.0000000000000001E-3</v>
      </c>
      <c r="FY35" s="421">
        <f t="shared" si="153"/>
        <v>5.000000000000001E-3</v>
      </c>
      <c r="FZ35" s="421">
        <f t="shared" ref="FZ35:GI44" si="154">$Y35*FZ$4/10000*$E35*FZ$3/$FX$1</f>
        <v>1.0000000000000002E-2</v>
      </c>
      <c r="GA35" s="421">
        <f t="shared" si="154"/>
        <v>2.0000000000000004E-2</v>
      </c>
      <c r="GB35" s="421">
        <f t="shared" si="154"/>
        <v>2.7E-2</v>
      </c>
      <c r="GC35" s="421">
        <f t="shared" si="154"/>
        <v>3.2000000000000001E-2</v>
      </c>
      <c r="GD35" s="421">
        <f t="shared" si="154"/>
        <v>0.04</v>
      </c>
      <c r="GE35" s="421">
        <f t="shared" si="154"/>
        <v>5.000000000000001E-2</v>
      </c>
      <c r="GF35" s="421">
        <f t="shared" si="154"/>
        <v>0.10000000000000002</v>
      </c>
      <c r="GG35" s="421">
        <f t="shared" si="154"/>
        <v>0.15000000000000002</v>
      </c>
      <c r="GH35" s="421">
        <f t="shared" si="154"/>
        <v>0.20000000000000004</v>
      </c>
      <c r="GI35" s="421">
        <f t="shared" si="154"/>
        <v>0.2</v>
      </c>
    </row>
    <row r="36" spans="1:191" ht="16.2" x14ac:dyDescent="0.4">
      <c r="A36" s="63">
        <v>32</v>
      </c>
      <c r="B36" s="242" t="s">
        <v>1435</v>
      </c>
      <c r="C36" s="63">
        <v>4</v>
      </c>
      <c r="D36" s="63">
        <v>-1</v>
      </c>
      <c r="E36" s="39">
        <f t="shared" si="144"/>
        <v>111</v>
      </c>
      <c r="F36" s="63">
        <f t="shared" si="140"/>
        <v>105</v>
      </c>
      <c r="G36" s="63">
        <f t="shared" si="101"/>
        <v>111</v>
      </c>
      <c r="H36" s="63" t="str">
        <f t="shared" si="147"/>
        <v>[[105,17],[135,1],[150,2]]</v>
      </c>
      <c r="I36" s="63">
        <f t="shared" si="149"/>
        <v>5</v>
      </c>
      <c r="J36" s="63">
        <f t="shared" si="150"/>
        <v>1</v>
      </c>
      <c r="K36" s="63">
        <v>0</v>
      </c>
      <c r="L36" s="254">
        <f>ROUND($BK$7/('全局参数|GlobalPar'!$B$18/10000/E36),6)*(7/5)</f>
        <v>7.7083999999999986E-2</v>
      </c>
      <c r="M36" s="255">
        <v>3</v>
      </c>
      <c r="N36" s="256">
        <f>ROUND(IF(M36&lt;&gt;0,$BK$4/('全局参数|GlobalPar'!$B$18/10000/E36)/M36,0),6)</f>
        <v>0</v>
      </c>
      <c r="O36" s="259">
        <f t="shared" si="141"/>
        <v>2.2200000000000001E-2</v>
      </c>
      <c r="P36" s="260">
        <f t="shared" si="151"/>
        <v>0</v>
      </c>
      <c r="Q36" s="277">
        <v>14</v>
      </c>
      <c r="R36" s="278">
        <v>1</v>
      </c>
      <c r="S36" s="279" t="str">
        <f t="shared" si="21"/>
        <v>[[0,1],[0,1],[0,1],[0,1],[0,1],[0,1],[0,1],[0,1],[0,1],[0,1],[0,2],[0,4],[0,6],[0,8],[0,10],[0,20],[0,40],[0,60],[0,80],[0,100]]</v>
      </c>
      <c r="T36" s="63">
        <v>0</v>
      </c>
      <c r="U36" s="282">
        <v>1</v>
      </c>
      <c r="V36" s="280">
        <f t="shared" si="22"/>
        <v>0.06</v>
      </c>
      <c r="W36" s="280">
        <v>0.06</v>
      </c>
      <c r="X36" s="280">
        <f t="shared" si="102"/>
        <v>0.1</v>
      </c>
      <c r="Y36" s="304">
        <f t="shared" si="127"/>
        <v>0.05</v>
      </c>
      <c r="Z36" s="63" t="str">
        <f t="shared" si="103"/>
        <v>[[2,5],[3,2],[4,1]]</v>
      </c>
      <c r="AA36" s="305" t="str">
        <f t="shared" si="104"/>
        <v>[0.592,0.296,0.197333]</v>
      </c>
      <c r="AB36" s="305">
        <v>0.5</v>
      </c>
      <c r="AC36" s="305">
        <v>1</v>
      </c>
      <c r="AD36" s="306">
        <v>11</v>
      </c>
      <c r="AE36" s="63">
        <f t="shared" si="145"/>
        <v>1</v>
      </c>
      <c r="AF36" s="63">
        <v>0</v>
      </c>
      <c r="AG36" s="39">
        <v>2</v>
      </c>
      <c r="AH36" s="39">
        <v>4</v>
      </c>
      <c r="AI36" s="39">
        <v>1</v>
      </c>
      <c r="AJ36" s="63">
        <v>1</v>
      </c>
      <c r="AK36" s="63">
        <v>1</v>
      </c>
      <c r="AL36" s="63">
        <v>1</v>
      </c>
      <c r="AM36" s="63">
        <v>1</v>
      </c>
      <c r="AN36" s="63" t="s">
        <v>1436</v>
      </c>
      <c r="AO36" s="39"/>
      <c r="AP36" s="39"/>
      <c r="AQ36" s="310">
        <v>0.75</v>
      </c>
      <c r="AR36" s="39">
        <v>140</v>
      </c>
      <c r="AS36" s="39">
        <v>0.18</v>
      </c>
      <c r="AT36" s="39">
        <v>0.8</v>
      </c>
      <c r="AU36" s="39">
        <v>1</v>
      </c>
      <c r="AV36" s="39" t="s">
        <v>1386</v>
      </c>
      <c r="AW36" s="317" t="s">
        <v>1437</v>
      </c>
      <c r="AX36" s="317" t="s">
        <v>1438</v>
      </c>
      <c r="AY36" s="320" t="s">
        <v>377</v>
      </c>
      <c r="AZ36" s="316" t="s">
        <v>258</v>
      </c>
      <c r="BA36" s="78">
        <f t="shared" si="142"/>
        <v>11.700000000000001</v>
      </c>
      <c r="BB36" s="318">
        <f t="shared" si="25"/>
        <v>12.820512820512819</v>
      </c>
      <c r="BC36" s="78" t="s">
        <v>1317</v>
      </c>
      <c r="BD36" s="78">
        <f t="shared" si="143"/>
        <v>0.746</v>
      </c>
      <c r="BE36" s="78"/>
      <c r="BF36" s="63">
        <f t="shared" si="27"/>
        <v>117</v>
      </c>
      <c r="BG36" s="63">
        <f t="shared" si="28"/>
        <v>123.66000000000001</v>
      </c>
      <c r="BI36" s="63">
        <f t="shared" si="29"/>
        <v>0</v>
      </c>
      <c r="BJ36" s="256">
        <v>0.1</v>
      </c>
      <c r="BK36" s="339">
        <v>105</v>
      </c>
      <c r="BL36" s="39">
        <v>17</v>
      </c>
      <c r="BM36" s="348">
        <v>135</v>
      </c>
      <c r="BN36" s="62">
        <v>1</v>
      </c>
      <c r="BO36" s="340">
        <v>150</v>
      </c>
      <c r="BP36" s="63">
        <v>2</v>
      </c>
      <c r="BQ36" s="347">
        <f t="shared" si="146"/>
        <v>111</v>
      </c>
      <c r="BR36" s="39">
        <f t="shared" ref="BR36:BR37" si="155">(BL36+BN36+BP36)/BP36</f>
        <v>10</v>
      </c>
      <c r="BS36" s="39">
        <f t="shared" si="148"/>
        <v>1</v>
      </c>
      <c r="BT36" s="344">
        <f t="shared" si="30"/>
        <v>122.10000000000001</v>
      </c>
      <c r="BU36" s="353">
        <f t="shared" si="128"/>
        <v>0.1</v>
      </c>
      <c r="BV36" s="354">
        <v>2</v>
      </c>
      <c r="BW36" s="133">
        <v>5</v>
      </c>
      <c r="BX36" s="354">
        <v>3</v>
      </c>
      <c r="BY36" s="133">
        <v>2</v>
      </c>
      <c r="BZ36" s="354">
        <v>4</v>
      </c>
      <c r="CA36" s="133">
        <v>1</v>
      </c>
      <c r="CB36" s="133">
        <f t="shared" si="106"/>
        <v>2.5</v>
      </c>
      <c r="CC36" s="133">
        <f t="shared" si="107"/>
        <v>7.5</v>
      </c>
      <c r="CD36" s="358">
        <f t="shared" si="133"/>
        <v>0.59199999999999997</v>
      </c>
      <c r="CE36" s="133">
        <f t="shared" si="107"/>
        <v>15</v>
      </c>
      <c r="CF36" s="359">
        <f t="shared" si="134"/>
        <v>0.29599999999999999</v>
      </c>
      <c r="CG36" s="133">
        <f t="shared" si="107"/>
        <v>22.5</v>
      </c>
      <c r="CH36" s="360">
        <f t="shared" si="135"/>
        <v>0.19733300000000001</v>
      </c>
      <c r="CJ36" s="229">
        <v>2E-3</v>
      </c>
      <c r="CK36" s="387">
        <f t="shared" si="129"/>
        <v>0</v>
      </c>
      <c r="CL36" s="259">
        <f t="shared" si="35"/>
        <v>0</v>
      </c>
      <c r="CM36" s="383">
        <f t="shared" si="36"/>
        <v>0</v>
      </c>
      <c r="CN36" s="383">
        <f t="shared" si="37"/>
        <v>0</v>
      </c>
      <c r="CO36" s="384">
        <f t="shared" si="108"/>
        <v>0</v>
      </c>
      <c r="CP36" s="385">
        <f t="shared" si="38"/>
        <v>0</v>
      </c>
      <c r="CQ36" s="383">
        <f t="shared" si="39"/>
        <v>0</v>
      </c>
      <c r="CR36" s="386" t="e">
        <f t="shared" si="40"/>
        <v>#DIV/0!</v>
      </c>
      <c r="CS36" s="407">
        <f t="shared" si="109"/>
        <v>14</v>
      </c>
      <c r="CT36" s="408">
        <f t="shared" si="110"/>
        <v>1</v>
      </c>
      <c r="CU36" s="279"/>
      <c r="CV36" s="277">
        <v>14</v>
      </c>
      <c r="CW36" s="278">
        <v>1</v>
      </c>
      <c r="CY36" s="411"/>
      <c r="CZ36" s="230"/>
      <c r="DD36" s="414"/>
      <c r="DE36" s="407">
        <v>0</v>
      </c>
      <c r="DF36" s="259">
        <v>1</v>
      </c>
      <c r="DG36" s="414">
        <f t="shared" si="41"/>
        <v>0</v>
      </c>
      <c r="DH36" s="407">
        <f t="shared" si="42"/>
        <v>0</v>
      </c>
      <c r="DI36" s="259">
        <f t="shared" si="111"/>
        <v>1</v>
      </c>
      <c r="DJ36" s="414">
        <f t="shared" si="44"/>
        <v>0</v>
      </c>
      <c r="DK36" s="407">
        <f t="shared" si="45"/>
        <v>0</v>
      </c>
      <c r="DL36" s="259">
        <f t="shared" si="112"/>
        <v>1</v>
      </c>
      <c r="DM36" s="414">
        <f t="shared" si="47"/>
        <v>0</v>
      </c>
      <c r="DN36" s="407">
        <f t="shared" si="113"/>
        <v>0</v>
      </c>
      <c r="DO36" s="259">
        <f t="shared" si="114"/>
        <v>1</v>
      </c>
      <c r="DP36" s="414">
        <f t="shared" si="50"/>
        <v>0</v>
      </c>
      <c r="DQ36" s="407">
        <f t="shared" si="115"/>
        <v>0</v>
      </c>
      <c r="DR36" s="259">
        <f t="shared" si="116"/>
        <v>1</v>
      </c>
      <c r="DS36" s="414">
        <f t="shared" si="53"/>
        <v>0</v>
      </c>
      <c r="DT36" s="407">
        <f t="shared" si="117"/>
        <v>0</v>
      </c>
      <c r="DU36" s="259">
        <f t="shared" si="118"/>
        <v>1</v>
      </c>
      <c r="DV36" s="414">
        <f t="shared" si="56"/>
        <v>0</v>
      </c>
      <c r="DW36" s="407">
        <f t="shared" si="119"/>
        <v>0</v>
      </c>
      <c r="DX36" s="259">
        <f t="shared" si="120"/>
        <v>1</v>
      </c>
      <c r="DY36" s="414">
        <f t="shared" si="59"/>
        <v>0</v>
      </c>
      <c r="DZ36" s="407">
        <f t="shared" si="121"/>
        <v>0</v>
      </c>
      <c r="EA36" s="259">
        <f t="shared" si="122"/>
        <v>1</v>
      </c>
      <c r="EB36" s="414">
        <f t="shared" si="62"/>
        <v>0</v>
      </c>
      <c r="EC36" s="407">
        <f t="shared" si="123"/>
        <v>0</v>
      </c>
      <c r="ED36" s="259">
        <f t="shared" si="124"/>
        <v>1</v>
      </c>
      <c r="EE36" s="414">
        <f t="shared" si="65"/>
        <v>0</v>
      </c>
      <c r="EF36" s="407">
        <f t="shared" si="125"/>
        <v>0</v>
      </c>
      <c r="EG36" s="259">
        <f t="shared" si="126"/>
        <v>1</v>
      </c>
      <c r="EH36" s="414">
        <f t="shared" si="68"/>
        <v>0</v>
      </c>
      <c r="EI36" s="407">
        <f t="shared" si="69"/>
        <v>0</v>
      </c>
      <c r="EJ36" s="259">
        <f t="shared" si="70"/>
        <v>2</v>
      </c>
      <c r="EK36" s="414">
        <f t="shared" si="71"/>
        <v>0</v>
      </c>
      <c r="EL36" s="407">
        <f t="shared" si="72"/>
        <v>0</v>
      </c>
      <c r="EM36" s="259">
        <f t="shared" si="73"/>
        <v>4</v>
      </c>
      <c r="EN36" s="414">
        <f t="shared" si="74"/>
        <v>0</v>
      </c>
      <c r="EO36" s="407">
        <f t="shared" si="75"/>
        <v>0</v>
      </c>
      <c r="EP36" s="259">
        <f t="shared" si="76"/>
        <v>6</v>
      </c>
      <c r="EQ36" s="414">
        <f t="shared" si="77"/>
        <v>0</v>
      </c>
      <c r="ER36" s="407">
        <f t="shared" si="78"/>
        <v>0</v>
      </c>
      <c r="ES36" s="259">
        <f t="shared" si="79"/>
        <v>8</v>
      </c>
      <c r="ET36" s="414">
        <f t="shared" si="80"/>
        <v>0</v>
      </c>
      <c r="EU36" s="407">
        <f t="shared" si="81"/>
        <v>0</v>
      </c>
      <c r="EV36" s="259">
        <f t="shared" si="82"/>
        <v>10</v>
      </c>
      <c r="EW36" s="414">
        <f t="shared" si="83"/>
        <v>0</v>
      </c>
      <c r="EX36" s="407">
        <f t="shared" si="84"/>
        <v>0</v>
      </c>
      <c r="EY36" s="259">
        <f t="shared" si="85"/>
        <v>20</v>
      </c>
      <c r="EZ36" s="414">
        <f t="shared" si="86"/>
        <v>0</v>
      </c>
      <c r="FA36" s="407">
        <f t="shared" si="87"/>
        <v>0</v>
      </c>
      <c r="FB36" s="259">
        <f t="shared" si="88"/>
        <v>40</v>
      </c>
      <c r="FC36" s="414">
        <f t="shared" si="89"/>
        <v>0</v>
      </c>
      <c r="FD36" s="407">
        <f t="shared" si="90"/>
        <v>0</v>
      </c>
      <c r="FE36" s="259">
        <f t="shared" si="91"/>
        <v>60</v>
      </c>
      <c r="FF36" s="414">
        <f t="shared" si="92"/>
        <v>0</v>
      </c>
      <c r="FG36" s="407">
        <f t="shared" si="93"/>
        <v>0</v>
      </c>
      <c r="FH36" s="259">
        <f t="shared" si="94"/>
        <v>80</v>
      </c>
      <c r="FI36" s="414">
        <f t="shared" si="95"/>
        <v>0</v>
      </c>
      <c r="FJ36" s="407">
        <f t="shared" si="96"/>
        <v>0</v>
      </c>
      <c r="FK36" s="259">
        <f t="shared" si="97"/>
        <v>100</v>
      </c>
      <c r="FL36" s="414">
        <f t="shared" si="98"/>
        <v>0</v>
      </c>
      <c r="FP36" s="421">
        <f t="shared" si="153"/>
        <v>0</v>
      </c>
      <c r="FQ36" s="421">
        <f t="shared" si="153"/>
        <v>0</v>
      </c>
      <c r="FR36" s="421">
        <f t="shared" si="153"/>
        <v>0</v>
      </c>
      <c r="FS36" s="421">
        <f t="shared" si="153"/>
        <v>4.6250000000000007E-4</v>
      </c>
      <c r="FT36" s="421">
        <f t="shared" si="153"/>
        <v>5.7812500000000008E-4</v>
      </c>
      <c r="FU36" s="421">
        <f t="shared" si="153"/>
        <v>1.1562500000000002E-3</v>
      </c>
      <c r="FV36" s="421">
        <f t="shared" si="153"/>
        <v>2.3125000000000003E-3</v>
      </c>
      <c r="FW36" s="421">
        <f t="shared" si="153"/>
        <v>3.4687500000000005E-3</v>
      </c>
      <c r="FX36" s="421">
        <f t="shared" si="153"/>
        <v>4.6250000000000006E-3</v>
      </c>
      <c r="FY36" s="421">
        <f t="shared" si="153"/>
        <v>5.7812500000000008E-3</v>
      </c>
      <c r="FZ36" s="421">
        <f t="shared" si="154"/>
        <v>1.1562500000000002E-2</v>
      </c>
      <c r="GA36" s="421">
        <f t="shared" si="154"/>
        <v>2.3125000000000003E-2</v>
      </c>
      <c r="GB36" s="421">
        <f t="shared" si="154"/>
        <v>3.121875E-2</v>
      </c>
      <c r="GC36" s="421">
        <f t="shared" si="154"/>
        <v>3.6999999999999998E-2</v>
      </c>
      <c r="GD36" s="421">
        <f t="shared" si="154"/>
        <v>4.6250000000000006E-2</v>
      </c>
      <c r="GE36" s="421">
        <f t="shared" si="154"/>
        <v>5.781250000000001E-2</v>
      </c>
      <c r="GF36" s="421">
        <f t="shared" si="154"/>
        <v>0.11562500000000002</v>
      </c>
      <c r="GG36" s="421">
        <f t="shared" si="154"/>
        <v>0.17343750000000002</v>
      </c>
      <c r="GH36" s="421">
        <f t="shared" si="154"/>
        <v>0.23125000000000004</v>
      </c>
      <c r="GI36" s="421">
        <f t="shared" si="154"/>
        <v>0.23125000000000004</v>
      </c>
    </row>
    <row r="37" spans="1:191" ht="16.2" x14ac:dyDescent="0.4">
      <c r="A37" s="63">
        <v>33</v>
      </c>
      <c r="B37" s="242" t="s">
        <v>1439</v>
      </c>
      <c r="C37" s="63">
        <v>4</v>
      </c>
      <c r="D37" s="63">
        <v>-1</v>
      </c>
      <c r="E37" s="39">
        <f t="shared" si="144"/>
        <v>119.5</v>
      </c>
      <c r="F37" s="63">
        <f t="shared" si="140"/>
        <v>115</v>
      </c>
      <c r="G37" s="63">
        <f t="shared" si="101"/>
        <v>119.5</v>
      </c>
      <c r="H37" s="63" t="str">
        <f t="shared" si="147"/>
        <v>[[115,17],[135,1],[150,2]]</v>
      </c>
      <c r="I37" s="63">
        <f t="shared" si="149"/>
        <v>5</v>
      </c>
      <c r="J37" s="63">
        <f t="shared" si="150"/>
        <v>1</v>
      </c>
      <c r="K37" s="63">
        <v>0</v>
      </c>
      <c r="L37" s="254">
        <f>ROUND($BK$7/('全局参数|GlobalPar'!$B$18/10000/E37),6)*(7/5)</f>
        <v>8.2986400000000002E-2</v>
      </c>
      <c r="M37" s="255">
        <v>3</v>
      </c>
      <c r="N37" s="256">
        <f>ROUND(IF(M37&lt;&gt;0,$BK$4/('全局参数|GlobalPar'!$B$18/10000/E37)/M37,0),6)</f>
        <v>0</v>
      </c>
      <c r="O37" s="259">
        <f t="shared" si="141"/>
        <v>2.3900000000000001E-2</v>
      </c>
      <c r="P37" s="260">
        <f t="shared" si="151"/>
        <v>0</v>
      </c>
      <c r="Q37" s="277">
        <v>14</v>
      </c>
      <c r="R37" s="278">
        <v>1</v>
      </c>
      <c r="S37" s="279" t="str">
        <f t="shared" si="21"/>
        <v>[[0,1],[0,1],[0,1],[0,1],[0,1],[0,1],[0,1],[0,1],[0,1],[0,1],[0,2],[0,4],[0,6],[0,8],[0,10],[0,20],[0,40],[0,60],[0,80],[0,100]]</v>
      </c>
      <c r="T37" s="63">
        <v>0</v>
      </c>
      <c r="U37" s="282">
        <v>1</v>
      </c>
      <c r="V37" s="280">
        <f t="shared" ref="V37:V59" si="156">(I37+J37)/100</f>
        <v>0.06</v>
      </c>
      <c r="W37" s="280">
        <v>0.06</v>
      </c>
      <c r="X37" s="280">
        <f t="shared" si="102"/>
        <v>0.1</v>
      </c>
      <c r="Y37" s="304">
        <f t="shared" si="127"/>
        <v>0.05</v>
      </c>
      <c r="Z37" s="63" t="str">
        <f t="shared" si="103"/>
        <v>[[2,5],[3,2],[4,1]]</v>
      </c>
      <c r="AA37" s="305" t="str">
        <f t="shared" si="104"/>
        <v>[0.637333,0.318667,0.212444]</v>
      </c>
      <c r="AB37" s="305">
        <v>0.5</v>
      </c>
      <c r="AC37" s="305">
        <v>1</v>
      </c>
      <c r="AD37" s="306">
        <v>11</v>
      </c>
      <c r="AE37" s="63">
        <f t="shared" si="145"/>
        <v>1</v>
      </c>
      <c r="AF37" s="63">
        <v>0</v>
      </c>
      <c r="AG37" s="39">
        <v>2</v>
      </c>
      <c r="AH37" s="39">
        <v>4</v>
      </c>
      <c r="AI37" s="39">
        <v>0</v>
      </c>
      <c r="AJ37" s="63">
        <v>1</v>
      </c>
      <c r="AK37" s="63">
        <v>1</v>
      </c>
      <c r="AL37" s="63">
        <v>1</v>
      </c>
      <c r="AM37" s="63">
        <v>1</v>
      </c>
      <c r="AN37" s="63" t="s">
        <v>1436</v>
      </c>
      <c r="AO37" s="39"/>
      <c r="AP37" s="39"/>
      <c r="AQ37" s="310">
        <v>0.75</v>
      </c>
      <c r="AR37" s="39">
        <v>150</v>
      </c>
      <c r="AS37" s="39">
        <v>0.18</v>
      </c>
      <c r="AT37" s="39">
        <v>0.8</v>
      </c>
      <c r="AU37" s="39">
        <v>1</v>
      </c>
      <c r="AV37" s="39" t="s">
        <v>1386</v>
      </c>
      <c r="AW37" s="317" t="s">
        <v>1440</v>
      </c>
      <c r="AX37" s="317" t="s">
        <v>1441</v>
      </c>
      <c r="AY37" s="320" t="s">
        <v>1341</v>
      </c>
      <c r="AZ37" s="316" t="s">
        <v>258</v>
      </c>
      <c r="BA37" s="78">
        <f t="shared" si="142"/>
        <v>12.55</v>
      </c>
      <c r="BB37" s="318">
        <f t="shared" ref="BB37:BB59" si="157">IF(BA37=0,0,$BE$1/BA37)</f>
        <v>11.952191235059761</v>
      </c>
      <c r="BC37" s="78" t="s">
        <v>1317</v>
      </c>
      <c r="BD37" s="78">
        <f t="shared" si="143"/>
        <v>0.746</v>
      </c>
      <c r="BE37" s="78"/>
      <c r="BF37" s="63">
        <f t="shared" ref="BF37:BF62" si="158">(E37+I37+J37)</f>
        <v>125.5</v>
      </c>
      <c r="BG37" s="63">
        <f t="shared" si="28"/>
        <v>132.67000000000002</v>
      </c>
      <c r="BI37" s="63">
        <f t="shared" ref="BI37:BI62" si="159">IF(M37&lt;&gt;0,$BK$4/(0.96/BF37)/M37,0)</f>
        <v>0</v>
      </c>
      <c r="BJ37" s="256">
        <v>0.1</v>
      </c>
      <c r="BK37" s="339">
        <v>115</v>
      </c>
      <c r="BL37" s="39">
        <v>17</v>
      </c>
      <c r="BM37" s="348">
        <v>135</v>
      </c>
      <c r="BN37" s="62">
        <v>1</v>
      </c>
      <c r="BO37" s="340">
        <v>150</v>
      </c>
      <c r="BP37" s="63">
        <v>2</v>
      </c>
      <c r="BQ37" s="347">
        <f t="shared" si="146"/>
        <v>119.5</v>
      </c>
      <c r="BR37" s="39">
        <f t="shared" si="155"/>
        <v>10</v>
      </c>
      <c r="BS37" s="39">
        <f t="shared" si="148"/>
        <v>1</v>
      </c>
      <c r="BT37" s="344">
        <f t="shared" ref="BT37:BT62" si="160">E37*(1+$BW$1)</f>
        <v>131.45000000000002</v>
      </c>
      <c r="BU37" s="353">
        <f t="shared" si="128"/>
        <v>0.1</v>
      </c>
      <c r="BV37" s="354">
        <v>2</v>
      </c>
      <c r="BW37" s="133">
        <v>5</v>
      </c>
      <c r="BX37" s="354">
        <v>3</v>
      </c>
      <c r="BY37" s="133">
        <v>2</v>
      </c>
      <c r="BZ37" s="354">
        <v>4</v>
      </c>
      <c r="CA37" s="133">
        <v>1</v>
      </c>
      <c r="CB37" s="133">
        <f t="shared" si="106"/>
        <v>2.5</v>
      </c>
      <c r="CC37" s="133">
        <f t="shared" si="107"/>
        <v>7.5</v>
      </c>
      <c r="CD37" s="358">
        <f t="shared" si="133"/>
        <v>0.63733300000000004</v>
      </c>
      <c r="CE37" s="133">
        <f t="shared" si="107"/>
        <v>15</v>
      </c>
      <c r="CF37" s="359">
        <f t="shared" si="134"/>
        <v>0.31866699999999998</v>
      </c>
      <c r="CG37" s="133">
        <f t="shared" si="107"/>
        <v>22.5</v>
      </c>
      <c r="CH37" s="360">
        <f t="shared" si="135"/>
        <v>0.21244399999999999</v>
      </c>
      <c r="CJ37" s="229">
        <v>2E-3</v>
      </c>
      <c r="CK37" s="387">
        <f t="shared" si="129"/>
        <v>0</v>
      </c>
      <c r="CL37" s="259">
        <f t="shared" ref="CL37:CL62" si="161">E37*CK37</f>
        <v>0</v>
      </c>
      <c r="CM37" s="383">
        <f t="shared" ref="CM37:CM62" si="162">$E37*$CK37/$CL$2</f>
        <v>0</v>
      </c>
      <c r="CN37" s="383">
        <f t="shared" si="37"/>
        <v>0</v>
      </c>
      <c r="CO37" s="384">
        <f t="shared" si="108"/>
        <v>0</v>
      </c>
      <c r="CP37" s="385">
        <f t="shared" ref="CP37:CP62" si="163">$E37*CO37/$CL$2</f>
        <v>0</v>
      </c>
      <c r="CQ37" s="383">
        <f t="shared" si="39"/>
        <v>0</v>
      </c>
      <c r="CR37" s="386" t="e">
        <f t="shared" ref="CR37:CR62" si="164">1/($CK$2/($E37*(1+CO37))*CQ37)</f>
        <v>#DIV/0!</v>
      </c>
      <c r="CS37" s="407">
        <f t="shared" si="109"/>
        <v>14</v>
      </c>
      <c r="CT37" s="408">
        <f t="shared" si="110"/>
        <v>1</v>
      </c>
      <c r="CU37" s="279"/>
      <c r="CV37" s="277">
        <v>14</v>
      </c>
      <c r="CW37" s="278">
        <v>1</v>
      </c>
      <c r="CY37" s="411"/>
      <c r="CZ37" s="230"/>
      <c r="DD37" s="414"/>
      <c r="DE37" s="407">
        <v>0</v>
      </c>
      <c r="DF37" s="259">
        <v>1</v>
      </c>
      <c r="DG37" s="414">
        <f t="shared" si="41"/>
        <v>0</v>
      </c>
      <c r="DH37" s="407">
        <f t="shared" si="42"/>
        <v>0</v>
      </c>
      <c r="DI37" s="259">
        <f t="shared" si="111"/>
        <v>1</v>
      </c>
      <c r="DJ37" s="414">
        <f t="shared" si="44"/>
        <v>0</v>
      </c>
      <c r="DK37" s="407">
        <f t="shared" si="45"/>
        <v>0</v>
      </c>
      <c r="DL37" s="259">
        <f t="shared" si="112"/>
        <v>1</v>
      </c>
      <c r="DM37" s="414">
        <f t="shared" si="47"/>
        <v>0</v>
      </c>
      <c r="DN37" s="407">
        <f t="shared" si="113"/>
        <v>0</v>
      </c>
      <c r="DO37" s="259">
        <f t="shared" si="114"/>
        <v>1</v>
      </c>
      <c r="DP37" s="414">
        <f t="shared" si="50"/>
        <v>0</v>
      </c>
      <c r="DQ37" s="407">
        <f t="shared" si="115"/>
        <v>0</v>
      </c>
      <c r="DR37" s="259">
        <f t="shared" si="116"/>
        <v>1</v>
      </c>
      <c r="DS37" s="414">
        <f t="shared" si="53"/>
        <v>0</v>
      </c>
      <c r="DT37" s="407">
        <f t="shared" si="117"/>
        <v>0</v>
      </c>
      <c r="DU37" s="259">
        <f t="shared" si="118"/>
        <v>1</v>
      </c>
      <c r="DV37" s="414">
        <f t="shared" si="56"/>
        <v>0</v>
      </c>
      <c r="DW37" s="407">
        <f t="shared" si="119"/>
        <v>0</v>
      </c>
      <c r="DX37" s="259">
        <f t="shared" si="120"/>
        <v>1</v>
      </c>
      <c r="DY37" s="414">
        <f t="shared" si="59"/>
        <v>0</v>
      </c>
      <c r="DZ37" s="407">
        <f t="shared" si="121"/>
        <v>0</v>
      </c>
      <c r="EA37" s="259">
        <f t="shared" si="122"/>
        <v>1</v>
      </c>
      <c r="EB37" s="414">
        <f t="shared" si="62"/>
        <v>0</v>
      </c>
      <c r="EC37" s="407">
        <f t="shared" si="123"/>
        <v>0</v>
      </c>
      <c r="ED37" s="259">
        <f t="shared" si="124"/>
        <v>1</v>
      </c>
      <c r="EE37" s="414">
        <f t="shared" si="65"/>
        <v>0</v>
      </c>
      <c r="EF37" s="407">
        <f t="shared" si="125"/>
        <v>0</v>
      </c>
      <c r="EG37" s="259">
        <f t="shared" si="126"/>
        <v>1</v>
      </c>
      <c r="EH37" s="414">
        <f t="shared" si="68"/>
        <v>0</v>
      </c>
      <c r="EI37" s="407">
        <f t="shared" si="69"/>
        <v>0</v>
      </c>
      <c r="EJ37" s="259">
        <f t="shared" si="70"/>
        <v>2</v>
      </c>
      <c r="EK37" s="414">
        <f t="shared" si="71"/>
        <v>0</v>
      </c>
      <c r="EL37" s="407">
        <f t="shared" si="72"/>
        <v>0</v>
      </c>
      <c r="EM37" s="259">
        <f t="shared" si="73"/>
        <v>4</v>
      </c>
      <c r="EN37" s="414">
        <f t="shared" si="74"/>
        <v>0</v>
      </c>
      <c r="EO37" s="407">
        <f t="shared" si="75"/>
        <v>0</v>
      </c>
      <c r="EP37" s="259">
        <f t="shared" si="76"/>
        <v>6</v>
      </c>
      <c r="EQ37" s="414">
        <f t="shared" si="77"/>
        <v>0</v>
      </c>
      <c r="ER37" s="407">
        <f t="shared" si="78"/>
        <v>0</v>
      </c>
      <c r="ES37" s="259">
        <f t="shared" si="79"/>
        <v>8</v>
      </c>
      <c r="ET37" s="414">
        <f t="shared" si="80"/>
        <v>0</v>
      </c>
      <c r="EU37" s="407">
        <f t="shared" si="81"/>
        <v>0</v>
      </c>
      <c r="EV37" s="259">
        <f t="shared" si="82"/>
        <v>10</v>
      </c>
      <c r="EW37" s="414">
        <f t="shared" si="83"/>
        <v>0</v>
      </c>
      <c r="EX37" s="407">
        <f t="shared" si="84"/>
        <v>0</v>
      </c>
      <c r="EY37" s="259">
        <f t="shared" si="85"/>
        <v>20</v>
      </c>
      <c r="EZ37" s="414">
        <f t="shared" si="86"/>
        <v>0</v>
      </c>
      <c r="FA37" s="407">
        <f t="shared" si="87"/>
        <v>0</v>
      </c>
      <c r="FB37" s="259">
        <f t="shared" si="88"/>
        <v>40</v>
      </c>
      <c r="FC37" s="414">
        <f t="shared" si="89"/>
        <v>0</v>
      </c>
      <c r="FD37" s="407">
        <f t="shared" si="90"/>
        <v>0</v>
      </c>
      <c r="FE37" s="259">
        <f t="shared" si="91"/>
        <v>60</v>
      </c>
      <c r="FF37" s="414">
        <f t="shared" si="92"/>
        <v>0</v>
      </c>
      <c r="FG37" s="407">
        <f t="shared" si="93"/>
        <v>0</v>
      </c>
      <c r="FH37" s="259">
        <f t="shared" si="94"/>
        <v>80</v>
      </c>
      <c r="FI37" s="414">
        <f t="shared" si="95"/>
        <v>0</v>
      </c>
      <c r="FJ37" s="407">
        <f t="shared" si="96"/>
        <v>0</v>
      </c>
      <c r="FK37" s="259">
        <f t="shared" si="97"/>
        <v>100</v>
      </c>
      <c r="FL37" s="414">
        <f t="shared" si="98"/>
        <v>0</v>
      </c>
      <c r="FP37" s="421">
        <f t="shared" si="153"/>
        <v>0</v>
      </c>
      <c r="FQ37" s="421">
        <f t="shared" si="153"/>
        <v>0</v>
      </c>
      <c r="FR37" s="421">
        <f t="shared" si="153"/>
        <v>0</v>
      </c>
      <c r="FS37" s="421">
        <f t="shared" si="153"/>
        <v>4.9791666666666669E-4</v>
      </c>
      <c r="FT37" s="421">
        <f t="shared" si="153"/>
        <v>6.2239583333333331E-4</v>
      </c>
      <c r="FU37" s="421">
        <f t="shared" si="153"/>
        <v>1.2447916666666666E-3</v>
      </c>
      <c r="FV37" s="421">
        <f t="shared" si="153"/>
        <v>2.4895833333333332E-3</v>
      </c>
      <c r="FW37" s="421">
        <f t="shared" si="153"/>
        <v>3.7343750000000003E-3</v>
      </c>
      <c r="FX37" s="421">
        <f t="shared" si="153"/>
        <v>4.9791666666666665E-3</v>
      </c>
      <c r="FY37" s="421">
        <f t="shared" si="153"/>
        <v>6.2239583333333339E-3</v>
      </c>
      <c r="FZ37" s="421">
        <f t="shared" si="154"/>
        <v>1.2447916666666668E-2</v>
      </c>
      <c r="GA37" s="421">
        <f t="shared" si="154"/>
        <v>2.4895833333333336E-2</v>
      </c>
      <c r="GB37" s="421">
        <f t="shared" si="154"/>
        <v>3.3609374999999997E-2</v>
      </c>
      <c r="GC37" s="421">
        <f t="shared" si="154"/>
        <v>3.9833333333333332E-2</v>
      </c>
      <c r="GD37" s="421">
        <f t="shared" si="154"/>
        <v>4.9791666666666665E-2</v>
      </c>
      <c r="GE37" s="421">
        <f t="shared" si="154"/>
        <v>6.2239583333333341E-2</v>
      </c>
      <c r="GF37" s="421">
        <f t="shared" si="154"/>
        <v>0.12447916666666668</v>
      </c>
      <c r="GG37" s="421">
        <f t="shared" si="154"/>
        <v>0.18671875000000002</v>
      </c>
      <c r="GH37" s="421">
        <f t="shared" si="154"/>
        <v>0.24895833333333336</v>
      </c>
      <c r="GI37" s="421">
        <f t="shared" si="154"/>
        <v>0.24895833333333334</v>
      </c>
    </row>
    <row r="38" spans="1:191" ht="16.2" x14ac:dyDescent="0.4">
      <c r="A38" s="63">
        <v>34</v>
      </c>
      <c r="B38" s="242" t="s">
        <v>1442</v>
      </c>
      <c r="C38" s="63">
        <v>4</v>
      </c>
      <c r="D38" s="63">
        <v>-1</v>
      </c>
      <c r="E38" s="39">
        <f t="shared" si="144"/>
        <v>138</v>
      </c>
      <c r="F38" s="63">
        <f t="shared" si="140"/>
        <v>135</v>
      </c>
      <c r="G38" s="63">
        <f t="shared" si="101"/>
        <v>138</v>
      </c>
      <c r="H38" s="63" t="str">
        <f t="shared" si="147"/>
        <v>[[135,17],[150,2],[165,1]]</v>
      </c>
      <c r="I38" s="63">
        <f t="shared" si="149"/>
        <v>5</v>
      </c>
      <c r="J38" s="63">
        <f t="shared" si="150"/>
        <v>1</v>
      </c>
      <c r="K38" s="63">
        <v>0</v>
      </c>
      <c r="L38" s="254">
        <f>ROUND($BK$7/('全局参数|GlobalPar'!$B$18/10000/E38),6)*(7/5)</f>
        <v>9.5832799999999996E-2</v>
      </c>
      <c r="M38" s="255">
        <v>3</v>
      </c>
      <c r="N38" s="256">
        <f>ROUND(IF(M38&lt;&gt;0,$BK$4/('全局参数|GlobalPar'!$B$18/10000/E38)/M38,0),6)</f>
        <v>0</v>
      </c>
      <c r="O38" s="259">
        <f t="shared" si="141"/>
        <v>2.76E-2</v>
      </c>
      <c r="P38" s="260">
        <f t="shared" si="151"/>
        <v>0</v>
      </c>
      <c r="Q38" s="277">
        <v>14</v>
      </c>
      <c r="R38" s="278">
        <v>1</v>
      </c>
      <c r="S38" s="279" t="str">
        <f t="shared" si="21"/>
        <v>[[0,1],[0,1],[0,1],[0,1],[0,1],[0,1],[0,1],[0,1],[0,1],[0,1],[0,2],[0,4],[0,6],[0,8],[0,10],[0,20],[0,40],[0,60],[0,80],[0,100]]</v>
      </c>
      <c r="T38" s="63">
        <v>0</v>
      </c>
      <c r="U38" s="282">
        <v>1</v>
      </c>
      <c r="V38" s="280">
        <f t="shared" si="156"/>
        <v>0.06</v>
      </c>
      <c r="W38" s="280">
        <v>0.06</v>
      </c>
      <c r="X38" s="280">
        <f t="shared" si="102"/>
        <v>0.1</v>
      </c>
      <c r="Y38" s="304">
        <f t="shared" si="127"/>
        <v>0.05</v>
      </c>
      <c r="Z38" s="63" t="str">
        <f t="shared" si="103"/>
        <v>[[2,5],[3,2],[4,3]]</v>
      </c>
      <c r="AA38" s="305" t="str">
        <f t="shared" si="104"/>
        <v>[0.657143,0.328571,0.219048]</v>
      </c>
      <c r="AB38" s="305">
        <v>0.75</v>
      </c>
      <c r="AC38" s="305">
        <v>1</v>
      </c>
      <c r="AD38" s="306">
        <v>11</v>
      </c>
      <c r="AE38" s="63">
        <f t="shared" si="145"/>
        <v>1</v>
      </c>
      <c r="AF38" s="63">
        <v>0</v>
      </c>
      <c r="AG38" s="39">
        <v>2</v>
      </c>
      <c r="AH38" s="39">
        <v>4</v>
      </c>
      <c r="AI38" s="39">
        <v>1</v>
      </c>
      <c r="AJ38" s="63">
        <v>1</v>
      </c>
      <c r="AK38" s="63">
        <v>1</v>
      </c>
      <c r="AL38" s="63">
        <v>1</v>
      </c>
      <c r="AM38" s="63">
        <v>1</v>
      </c>
      <c r="AN38" s="63" t="s">
        <v>1443</v>
      </c>
      <c r="AO38" s="39"/>
      <c r="AP38" s="39"/>
      <c r="AQ38" s="310">
        <v>0.75</v>
      </c>
      <c r="AR38" s="39">
        <v>180</v>
      </c>
      <c r="AS38" s="39">
        <v>0.18</v>
      </c>
      <c r="AT38" s="39">
        <v>0.8</v>
      </c>
      <c r="AU38" s="39">
        <v>1</v>
      </c>
      <c r="AV38" s="39" t="s">
        <v>1386</v>
      </c>
      <c r="AW38" s="319" t="s">
        <v>1444</v>
      </c>
      <c r="AX38" s="319" t="s">
        <v>1445</v>
      </c>
      <c r="AY38" s="320" t="s">
        <v>151</v>
      </c>
      <c r="AZ38" s="316" t="s">
        <v>258</v>
      </c>
      <c r="BA38" s="78">
        <f t="shared" si="142"/>
        <v>14.4</v>
      </c>
      <c r="BB38" s="318">
        <f t="shared" si="157"/>
        <v>10.416666666666666</v>
      </c>
      <c r="BC38" s="78" t="s">
        <v>1317</v>
      </c>
      <c r="BD38" s="78">
        <f t="shared" si="143"/>
        <v>0.746</v>
      </c>
      <c r="BE38" s="78"/>
      <c r="BF38" s="63">
        <f t="shared" si="158"/>
        <v>144</v>
      </c>
      <c r="BG38" s="63">
        <f t="shared" si="28"/>
        <v>152.28</v>
      </c>
      <c r="BI38" s="63">
        <f t="shared" si="159"/>
        <v>0</v>
      </c>
      <c r="BJ38" s="256">
        <v>0.1</v>
      </c>
      <c r="BK38" s="339">
        <v>135</v>
      </c>
      <c r="BL38" s="39">
        <v>17</v>
      </c>
      <c r="BM38" s="340">
        <v>150</v>
      </c>
      <c r="BN38" s="62">
        <v>2</v>
      </c>
      <c r="BO38" s="346">
        <v>165</v>
      </c>
      <c r="BP38" s="63">
        <v>1</v>
      </c>
      <c r="BQ38" s="347">
        <f t="shared" si="146"/>
        <v>138</v>
      </c>
      <c r="BR38" s="39">
        <f>(BL38+BN38+BP38)/BN38</f>
        <v>10</v>
      </c>
      <c r="BS38" s="39">
        <f t="shared" si="148"/>
        <v>1</v>
      </c>
      <c r="BT38" s="344">
        <f t="shared" si="160"/>
        <v>151.80000000000001</v>
      </c>
      <c r="BU38" s="353">
        <f t="shared" si="128"/>
        <v>0.1</v>
      </c>
      <c r="BV38" s="354">
        <v>2</v>
      </c>
      <c r="BW38" s="133">
        <v>5</v>
      </c>
      <c r="BX38" s="354">
        <v>3</v>
      </c>
      <c r="BY38" s="133">
        <v>2</v>
      </c>
      <c r="BZ38" s="354">
        <v>4</v>
      </c>
      <c r="CA38" s="133">
        <v>3</v>
      </c>
      <c r="CB38" s="133">
        <f t="shared" si="106"/>
        <v>2.8</v>
      </c>
      <c r="CC38" s="133">
        <f t="shared" ref="CC38:CG60" si="165">CC$3/10</f>
        <v>7.5</v>
      </c>
      <c r="CD38" s="358">
        <f t="shared" si="133"/>
        <v>0.65714300000000003</v>
      </c>
      <c r="CE38" s="133">
        <f t="shared" si="165"/>
        <v>15</v>
      </c>
      <c r="CF38" s="359">
        <f t="shared" si="134"/>
        <v>0.328571</v>
      </c>
      <c r="CG38" s="133">
        <f t="shared" si="165"/>
        <v>22.5</v>
      </c>
      <c r="CH38" s="360">
        <f t="shared" si="135"/>
        <v>0.21904799999999999</v>
      </c>
      <c r="CJ38" s="229">
        <v>2E-3</v>
      </c>
      <c r="CK38" s="387">
        <f t="shared" si="129"/>
        <v>0</v>
      </c>
      <c r="CL38" s="259">
        <f t="shared" si="161"/>
        <v>0</v>
      </c>
      <c r="CM38" s="383">
        <f t="shared" si="162"/>
        <v>0</v>
      </c>
      <c r="CN38" s="383">
        <f t="shared" si="37"/>
        <v>0</v>
      </c>
      <c r="CO38" s="384">
        <f t="shared" si="108"/>
        <v>0</v>
      </c>
      <c r="CP38" s="385">
        <f t="shared" si="163"/>
        <v>0</v>
      </c>
      <c r="CQ38" s="383">
        <f t="shared" si="39"/>
        <v>0</v>
      </c>
      <c r="CR38" s="386" t="e">
        <f t="shared" si="164"/>
        <v>#DIV/0!</v>
      </c>
      <c r="CS38" s="407">
        <f t="shared" si="109"/>
        <v>14</v>
      </c>
      <c r="CT38" s="408">
        <f t="shared" si="110"/>
        <v>1</v>
      </c>
      <c r="CU38" s="279"/>
      <c r="CV38" s="277">
        <v>14</v>
      </c>
      <c r="CW38" s="278">
        <v>1</v>
      </c>
      <c r="CY38" s="411"/>
      <c r="CZ38" s="230"/>
      <c r="DD38" s="414"/>
      <c r="DE38" s="407">
        <v>0</v>
      </c>
      <c r="DF38" s="259">
        <v>1</v>
      </c>
      <c r="DG38" s="414">
        <f t="shared" si="41"/>
        <v>0</v>
      </c>
      <c r="DH38" s="407">
        <f t="shared" si="42"/>
        <v>0</v>
      </c>
      <c r="DI38" s="259">
        <f t="shared" si="111"/>
        <v>1</v>
      </c>
      <c r="DJ38" s="414">
        <f t="shared" si="44"/>
        <v>0</v>
      </c>
      <c r="DK38" s="407">
        <f t="shared" si="45"/>
        <v>0</v>
      </c>
      <c r="DL38" s="259">
        <f t="shared" si="112"/>
        <v>1</v>
      </c>
      <c r="DM38" s="414">
        <f t="shared" si="47"/>
        <v>0</v>
      </c>
      <c r="DN38" s="407">
        <f t="shared" si="113"/>
        <v>0</v>
      </c>
      <c r="DO38" s="259">
        <f t="shared" si="114"/>
        <v>1</v>
      </c>
      <c r="DP38" s="414">
        <f t="shared" si="50"/>
        <v>0</v>
      </c>
      <c r="DQ38" s="407">
        <f t="shared" si="115"/>
        <v>0</v>
      </c>
      <c r="DR38" s="259">
        <f t="shared" si="116"/>
        <v>1</v>
      </c>
      <c r="DS38" s="414">
        <f t="shared" si="53"/>
        <v>0</v>
      </c>
      <c r="DT38" s="407">
        <f t="shared" si="117"/>
        <v>0</v>
      </c>
      <c r="DU38" s="259">
        <f t="shared" si="118"/>
        <v>1</v>
      </c>
      <c r="DV38" s="414">
        <f t="shared" si="56"/>
        <v>0</v>
      </c>
      <c r="DW38" s="407">
        <f t="shared" si="119"/>
        <v>0</v>
      </c>
      <c r="DX38" s="259">
        <f t="shared" si="120"/>
        <v>1</v>
      </c>
      <c r="DY38" s="414">
        <f t="shared" si="59"/>
        <v>0</v>
      </c>
      <c r="DZ38" s="407">
        <f t="shared" si="121"/>
        <v>0</v>
      </c>
      <c r="EA38" s="259">
        <f t="shared" si="122"/>
        <v>1</v>
      </c>
      <c r="EB38" s="414">
        <f t="shared" si="62"/>
        <v>0</v>
      </c>
      <c r="EC38" s="407">
        <f t="shared" si="123"/>
        <v>0</v>
      </c>
      <c r="ED38" s="259">
        <f t="shared" si="124"/>
        <v>1</v>
      </c>
      <c r="EE38" s="414">
        <f t="shared" si="65"/>
        <v>0</v>
      </c>
      <c r="EF38" s="407">
        <f t="shared" si="125"/>
        <v>0</v>
      </c>
      <c r="EG38" s="259">
        <f t="shared" si="126"/>
        <v>1</v>
      </c>
      <c r="EH38" s="414">
        <f t="shared" si="68"/>
        <v>0</v>
      </c>
      <c r="EI38" s="407">
        <f t="shared" si="69"/>
        <v>0</v>
      </c>
      <c r="EJ38" s="259">
        <f t="shared" si="70"/>
        <v>2</v>
      </c>
      <c r="EK38" s="414">
        <f t="shared" si="71"/>
        <v>0</v>
      </c>
      <c r="EL38" s="407">
        <f t="shared" si="72"/>
        <v>0</v>
      </c>
      <c r="EM38" s="259">
        <f t="shared" si="73"/>
        <v>4</v>
      </c>
      <c r="EN38" s="414">
        <f t="shared" si="74"/>
        <v>0</v>
      </c>
      <c r="EO38" s="407">
        <f t="shared" si="75"/>
        <v>0</v>
      </c>
      <c r="EP38" s="259">
        <f t="shared" si="76"/>
        <v>6</v>
      </c>
      <c r="EQ38" s="414">
        <f t="shared" si="77"/>
        <v>0</v>
      </c>
      <c r="ER38" s="407">
        <f t="shared" si="78"/>
        <v>0</v>
      </c>
      <c r="ES38" s="259">
        <f t="shared" si="79"/>
        <v>8</v>
      </c>
      <c r="ET38" s="414">
        <f t="shared" si="80"/>
        <v>0</v>
      </c>
      <c r="EU38" s="407">
        <f t="shared" si="81"/>
        <v>0</v>
      </c>
      <c r="EV38" s="259">
        <f t="shared" si="82"/>
        <v>10</v>
      </c>
      <c r="EW38" s="414">
        <f t="shared" si="83"/>
        <v>0</v>
      </c>
      <c r="EX38" s="407">
        <f t="shared" si="84"/>
        <v>0</v>
      </c>
      <c r="EY38" s="259">
        <f t="shared" si="85"/>
        <v>20</v>
      </c>
      <c r="EZ38" s="414">
        <f t="shared" si="86"/>
        <v>0</v>
      </c>
      <c r="FA38" s="407">
        <f t="shared" si="87"/>
        <v>0</v>
      </c>
      <c r="FB38" s="259">
        <f t="shared" si="88"/>
        <v>40</v>
      </c>
      <c r="FC38" s="414">
        <f t="shared" si="89"/>
        <v>0</v>
      </c>
      <c r="FD38" s="407">
        <f t="shared" si="90"/>
        <v>0</v>
      </c>
      <c r="FE38" s="259">
        <f t="shared" si="91"/>
        <v>60</v>
      </c>
      <c r="FF38" s="414">
        <f t="shared" si="92"/>
        <v>0</v>
      </c>
      <c r="FG38" s="407">
        <f t="shared" si="93"/>
        <v>0</v>
      </c>
      <c r="FH38" s="259">
        <f t="shared" si="94"/>
        <v>80</v>
      </c>
      <c r="FI38" s="414">
        <f t="shared" si="95"/>
        <v>0</v>
      </c>
      <c r="FJ38" s="407">
        <f t="shared" si="96"/>
        <v>0</v>
      </c>
      <c r="FK38" s="259">
        <f t="shared" si="97"/>
        <v>100</v>
      </c>
      <c r="FL38" s="414">
        <f t="shared" si="98"/>
        <v>0</v>
      </c>
      <c r="FP38" s="421">
        <f t="shared" si="153"/>
        <v>0</v>
      </c>
      <c r="FQ38" s="421">
        <f t="shared" si="153"/>
        <v>0</v>
      </c>
      <c r="FR38" s="421">
        <f t="shared" si="153"/>
        <v>0</v>
      </c>
      <c r="FS38" s="421">
        <f t="shared" si="153"/>
        <v>5.7499999999999999E-4</v>
      </c>
      <c r="FT38" s="421">
        <f t="shared" si="153"/>
        <v>7.1874999999999999E-4</v>
      </c>
      <c r="FU38" s="421">
        <f t="shared" si="153"/>
        <v>1.4375E-3</v>
      </c>
      <c r="FV38" s="421">
        <f t="shared" si="153"/>
        <v>2.875E-3</v>
      </c>
      <c r="FW38" s="421">
        <f t="shared" si="153"/>
        <v>4.3125000000000004E-3</v>
      </c>
      <c r="FX38" s="421">
        <f t="shared" si="153"/>
        <v>5.7499999999999999E-3</v>
      </c>
      <c r="FY38" s="421">
        <f t="shared" si="153"/>
        <v>7.1875000000000003E-3</v>
      </c>
      <c r="FZ38" s="421">
        <f t="shared" si="154"/>
        <v>1.4375000000000001E-2</v>
      </c>
      <c r="GA38" s="421">
        <f t="shared" si="154"/>
        <v>2.8750000000000001E-2</v>
      </c>
      <c r="GB38" s="421">
        <f t="shared" si="154"/>
        <v>3.88125E-2</v>
      </c>
      <c r="GC38" s="421">
        <f t="shared" si="154"/>
        <v>4.6000000000000006E-2</v>
      </c>
      <c r="GD38" s="421">
        <f t="shared" si="154"/>
        <v>5.7500000000000009E-2</v>
      </c>
      <c r="GE38" s="421">
        <f t="shared" si="154"/>
        <v>7.1874999999999994E-2</v>
      </c>
      <c r="GF38" s="421">
        <f t="shared" si="154"/>
        <v>0.14374999999999999</v>
      </c>
      <c r="GG38" s="421">
        <f t="shared" si="154"/>
        <v>0.21562500000000001</v>
      </c>
      <c r="GH38" s="421">
        <f t="shared" si="154"/>
        <v>0.28749999999999998</v>
      </c>
      <c r="GI38" s="421">
        <f t="shared" si="154"/>
        <v>0.28749999999999998</v>
      </c>
    </row>
    <row r="39" spans="1:191" ht="16.2" x14ac:dyDescent="0.4">
      <c r="A39" s="63">
        <v>35</v>
      </c>
      <c r="B39" s="243"/>
      <c r="C39" s="63">
        <v>4</v>
      </c>
      <c r="D39" s="63">
        <v>-1</v>
      </c>
      <c r="E39" s="244">
        <f>600*(('全局参数|GlobalPar'!B88/100)*2)</f>
        <v>240</v>
      </c>
      <c r="F39" s="63"/>
      <c r="G39" s="63">
        <f t="shared" si="101"/>
        <v>240</v>
      </c>
      <c r="H39" s="63"/>
      <c r="I39" s="63">
        <f t="shared" ref="I39:I59" si="166">ROUND(IF(C39=4,E39*10%,0),0)</f>
        <v>24</v>
      </c>
      <c r="J39" s="63">
        <f t="shared" ref="J39:J59" si="167">ROUND(IF(C39=4,E39*2%,0),0)</f>
        <v>5</v>
      </c>
      <c r="K39" s="63">
        <v>0</v>
      </c>
      <c r="L39" s="254">
        <f>ROUND($BK$7/('全局参数|GlobalPar'!$B$18/10000/E39),6)*(7/5)</f>
        <v>0.16666719999999999</v>
      </c>
      <c r="M39" s="255">
        <v>3</v>
      </c>
      <c r="N39" s="256">
        <f>ROUND(IF(M39&lt;&gt;0,$BK$4/('全局参数|GlobalPar'!$B$18/10000/E39)/M39,0),6)</f>
        <v>0</v>
      </c>
      <c r="O39" s="259">
        <f t="shared" si="141"/>
        <v>0</v>
      </c>
      <c r="P39" s="260">
        <f t="shared" si="151"/>
        <v>0</v>
      </c>
      <c r="Q39" s="277">
        <v>15</v>
      </c>
      <c r="R39" s="278">
        <v>1</v>
      </c>
      <c r="S39" s="279" t="str">
        <f t="shared" si="21"/>
        <v>[[0,1],[0,1],[0,1],[0,1],[0,1],[0,1],[0,1],[0,1],[0,1],[0,1],[0,2],[0,4],[0,6],[0,8],[0,10],[0,20],[0,40],[0,60],[0,80],[0,100]]</v>
      </c>
      <c r="T39" s="63">
        <v>0</v>
      </c>
      <c r="U39" s="283">
        <v>0</v>
      </c>
      <c r="V39" s="280">
        <f t="shared" si="156"/>
        <v>0.28999999999999998</v>
      </c>
      <c r="W39" s="280">
        <v>0</v>
      </c>
      <c r="X39" s="280">
        <f t="shared" si="102"/>
        <v>0.1</v>
      </c>
      <c r="Y39" s="304">
        <f t="shared" si="127"/>
        <v>0.05</v>
      </c>
      <c r="Z39" s="63" t="str">
        <f t="shared" si="103"/>
        <v>[[6,5],[6,2],[7,2]]</v>
      </c>
      <c r="AA39" s="305" t="str">
        <f t="shared" si="104"/>
        <v>[0.514286,0.257143,0.171429]</v>
      </c>
      <c r="AB39" s="305">
        <v>1.2</v>
      </c>
      <c r="AC39" s="305">
        <v>1</v>
      </c>
      <c r="AD39" s="306">
        <v>12</v>
      </c>
      <c r="AE39" s="63">
        <v>11</v>
      </c>
      <c r="AF39" s="63">
        <v>0</v>
      </c>
      <c r="AG39" s="39">
        <v>3</v>
      </c>
      <c r="AH39" s="39"/>
      <c r="AI39" s="39">
        <v>0</v>
      </c>
      <c r="AJ39" s="63">
        <v>1</v>
      </c>
      <c r="AK39" s="63">
        <v>0.5</v>
      </c>
      <c r="AL39" s="63">
        <v>1</v>
      </c>
      <c r="AM39" s="63">
        <v>1</v>
      </c>
      <c r="AN39" s="63" t="s">
        <v>1443</v>
      </c>
      <c r="AO39" s="39"/>
      <c r="AP39" s="39"/>
      <c r="AQ39" s="310">
        <v>1</v>
      </c>
      <c r="AR39" s="39">
        <v>240</v>
      </c>
      <c r="AS39" s="39">
        <v>0.18</v>
      </c>
      <c r="AT39" s="39">
        <v>0.8</v>
      </c>
      <c r="AU39" s="39">
        <v>1</v>
      </c>
      <c r="AV39" s="39" t="s">
        <v>1446</v>
      </c>
      <c r="AW39" s="317" t="s">
        <v>1447</v>
      </c>
      <c r="AX39" s="317" t="s">
        <v>1448</v>
      </c>
      <c r="AY39" s="320" t="s">
        <v>390</v>
      </c>
      <c r="AZ39" s="320" t="s">
        <v>258</v>
      </c>
      <c r="BA39" s="78">
        <f t="shared" si="142"/>
        <v>26.900000000000002</v>
      </c>
      <c r="BB39" s="318">
        <f t="shared" si="157"/>
        <v>5.5762081784386615</v>
      </c>
      <c r="BC39" s="78"/>
      <c r="BD39" s="78">
        <f t="shared" si="143"/>
        <v>0.746</v>
      </c>
      <c r="BE39" s="78"/>
      <c r="BF39" s="63">
        <f t="shared" si="158"/>
        <v>269</v>
      </c>
      <c r="BG39" s="63">
        <f>IF(O39=0,BF39,BF39*(1+$BN$1))</f>
        <v>269</v>
      </c>
      <c r="BI39" s="63">
        <f t="shared" si="159"/>
        <v>0</v>
      </c>
      <c r="BT39" s="344">
        <f t="shared" si="160"/>
        <v>264</v>
      </c>
      <c r="BU39" s="353">
        <f t="shared" si="128"/>
        <v>0.1</v>
      </c>
      <c r="BV39" s="354">
        <v>6</v>
      </c>
      <c r="BW39" s="133">
        <v>5</v>
      </c>
      <c r="BX39" s="354">
        <v>6</v>
      </c>
      <c r="BY39" s="133">
        <v>2</v>
      </c>
      <c r="BZ39" s="354">
        <v>7</v>
      </c>
      <c r="CA39" s="133">
        <v>2</v>
      </c>
      <c r="CB39" s="133">
        <f t="shared" si="106"/>
        <v>6.2222222222222223</v>
      </c>
      <c r="CC39" s="133">
        <f t="shared" si="165"/>
        <v>7.5</v>
      </c>
      <c r="CD39" s="358">
        <f t="shared" si="133"/>
        <v>0.51428600000000002</v>
      </c>
      <c r="CE39" s="133">
        <f t="shared" si="165"/>
        <v>15</v>
      </c>
      <c r="CF39" s="359">
        <f t="shared" si="134"/>
        <v>0.25714300000000001</v>
      </c>
      <c r="CG39" s="133">
        <f t="shared" si="165"/>
        <v>22.5</v>
      </c>
      <c r="CH39" s="360">
        <f t="shared" si="135"/>
        <v>0.171429</v>
      </c>
      <c r="CJ39" s="229">
        <v>2E-3</v>
      </c>
      <c r="CK39" s="387">
        <f t="shared" si="129"/>
        <v>0</v>
      </c>
      <c r="CL39" s="259">
        <f t="shared" si="161"/>
        <v>0</v>
      </c>
      <c r="CM39" s="383">
        <f t="shared" si="162"/>
        <v>0</v>
      </c>
      <c r="CN39" s="383">
        <f t="shared" si="37"/>
        <v>0</v>
      </c>
      <c r="CO39" s="384">
        <f t="shared" si="108"/>
        <v>0</v>
      </c>
      <c r="CP39" s="385">
        <f t="shared" si="163"/>
        <v>0</v>
      </c>
      <c r="CQ39" s="383">
        <f t="shared" si="39"/>
        <v>0</v>
      </c>
      <c r="CR39" s="386" t="e">
        <f t="shared" si="164"/>
        <v>#DIV/0!</v>
      </c>
      <c r="CS39" s="407">
        <f t="shared" si="109"/>
        <v>15</v>
      </c>
      <c r="CT39" s="408">
        <f t="shared" si="110"/>
        <v>1</v>
      </c>
      <c r="CU39" s="279"/>
      <c r="CV39" s="277">
        <v>15</v>
      </c>
      <c r="CW39" s="278">
        <v>1</v>
      </c>
      <c r="CY39" s="411"/>
      <c r="CZ39" s="230"/>
      <c r="DD39" s="414"/>
      <c r="DE39" s="407">
        <v>0</v>
      </c>
      <c r="DF39" s="259">
        <v>1</v>
      </c>
      <c r="DG39" s="414">
        <f t="shared" si="41"/>
        <v>0</v>
      </c>
      <c r="DH39" s="407">
        <f t="shared" si="42"/>
        <v>0</v>
      </c>
      <c r="DI39" s="259">
        <f t="shared" si="111"/>
        <v>1</v>
      </c>
      <c r="DJ39" s="414">
        <f t="shared" si="44"/>
        <v>0</v>
      </c>
      <c r="DK39" s="407">
        <f t="shared" si="45"/>
        <v>0</v>
      </c>
      <c r="DL39" s="259">
        <f t="shared" si="112"/>
        <v>1</v>
      </c>
      <c r="DM39" s="414">
        <f t="shared" si="47"/>
        <v>0</v>
      </c>
      <c r="DN39" s="407">
        <f t="shared" si="113"/>
        <v>0</v>
      </c>
      <c r="DO39" s="259">
        <f t="shared" si="114"/>
        <v>1</v>
      </c>
      <c r="DP39" s="414">
        <f t="shared" si="50"/>
        <v>0</v>
      </c>
      <c r="DQ39" s="407">
        <f t="shared" si="115"/>
        <v>0</v>
      </c>
      <c r="DR39" s="259">
        <f t="shared" si="116"/>
        <v>1</v>
      </c>
      <c r="DS39" s="414">
        <f t="shared" si="53"/>
        <v>0</v>
      </c>
      <c r="DT39" s="407">
        <f t="shared" si="117"/>
        <v>0</v>
      </c>
      <c r="DU39" s="259">
        <f t="shared" si="118"/>
        <v>1</v>
      </c>
      <c r="DV39" s="414">
        <f t="shared" si="56"/>
        <v>0</v>
      </c>
      <c r="DW39" s="407">
        <f t="shared" si="119"/>
        <v>0</v>
      </c>
      <c r="DX39" s="259">
        <f t="shared" si="120"/>
        <v>1</v>
      </c>
      <c r="DY39" s="414">
        <f t="shared" si="59"/>
        <v>0</v>
      </c>
      <c r="DZ39" s="407">
        <f t="shared" si="121"/>
        <v>0</v>
      </c>
      <c r="EA39" s="259">
        <f t="shared" si="122"/>
        <v>1</v>
      </c>
      <c r="EB39" s="414">
        <f t="shared" si="62"/>
        <v>0</v>
      </c>
      <c r="EC39" s="407">
        <f t="shared" si="123"/>
        <v>0</v>
      </c>
      <c r="ED39" s="259">
        <f t="shared" si="124"/>
        <v>1</v>
      </c>
      <c r="EE39" s="414">
        <f t="shared" si="65"/>
        <v>0</v>
      </c>
      <c r="EF39" s="407">
        <f t="shared" si="125"/>
        <v>0</v>
      </c>
      <c r="EG39" s="259">
        <f t="shared" si="126"/>
        <v>1</v>
      </c>
      <c r="EH39" s="414">
        <f t="shared" si="68"/>
        <v>0</v>
      </c>
      <c r="EI39" s="407">
        <f t="shared" si="69"/>
        <v>0</v>
      </c>
      <c r="EJ39" s="259">
        <f t="shared" si="70"/>
        <v>2</v>
      </c>
      <c r="EK39" s="414">
        <f t="shared" si="71"/>
        <v>0</v>
      </c>
      <c r="EL39" s="407">
        <f t="shared" si="72"/>
        <v>0</v>
      </c>
      <c r="EM39" s="259">
        <f t="shared" si="73"/>
        <v>4</v>
      </c>
      <c r="EN39" s="414">
        <f t="shared" si="74"/>
        <v>0</v>
      </c>
      <c r="EO39" s="407">
        <f t="shared" si="75"/>
        <v>0</v>
      </c>
      <c r="EP39" s="259">
        <f t="shared" si="76"/>
        <v>6</v>
      </c>
      <c r="EQ39" s="414">
        <f t="shared" si="77"/>
        <v>0</v>
      </c>
      <c r="ER39" s="407">
        <f t="shared" si="78"/>
        <v>0</v>
      </c>
      <c r="ES39" s="259">
        <f t="shared" si="79"/>
        <v>8</v>
      </c>
      <c r="ET39" s="414">
        <f t="shared" si="80"/>
        <v>0</v>
      </c>
      <c r="EU39" s="407">
        <f t="shared" si="81"/>
        <v>0</v>
      </c>
      <c r="EV39" s="259">
        <f t="shared" si="82"/>
        <v>10</v>
      </c>
      <c r="EW39" s="414">
        <f t="shared" si="83"/>
        <v>0</v>
      </c>
      <c r="EX39" s="407">
        <f t="shared" si="84"/>
        <v>0</v>
      </c>
      <c r="EY39" s="259">
        <f t="shared" si="85"/>
        <v>20</v>
      </c>
      <c r="EZ39" s="414">
        <f t="shared" si="86"/>
        <v>0</v>
      </c>
      <c r="FA39" s="407">
        <f t="shared" si="87"/>
        <v>0</v>
      </c>
      <c r="FB39" s="259">
        <f t="shared" si="88"/>
        <v>40</v>
      </c>
      <c r="FC39" s="414">
        <f t="shared" si="89"/>
        <v>0</v>
      </c>
      <c r="FD39" s="407">
        <f t="shared" si="90"/>
        <v>0</v>
      </c>
      <c r="FE39" s="259">
        <f t="shared" si="91"/>
        <v>60</v>
      </c>
      <c r="FF39" s="414">
        <f t="shared" si="92"/>
        <v>0</v>
      </c>
      <c r="FG39" s="407">
        <f t="shared" si="93"/>
        <v>0</v>
      </c>
      <c r="FH39" s="259">
        <f t="shared" si="94"/>
        <v>80</v>
      </c>
      <c r="FI39" s="414">
        <f t="shared" si="95"/>
        <v>0</v>
      </c>
      <c r="FJ39" s="407">
        <f t="shared" si="96"/>
        <v>0</v>
      </c>
      <c r="FK39" s="259">
        <f t="shared" si="97"/>
        <v>100</v>
      </c>
      <c r="FL39" s="414">
        <f t="shared" si="98"/>
        <v>0</v>
      </c>
      <c r="FP39" s="421">
        <f t="shared" si="153"/>
        <v>0</v>
      </c>
      <c r="FQ39" s="421">
        <f t="shared" si="153"/>
        <v>0</v>
      </c>
      <c r="FR39" s="421">
        <f t="shared" si="153"/>
        <v>0</v>
      </c>
      <c r="FS39" s="421">
        <f t="shared" si="153"/>
        <v>1E-3</v>
      </c>
      <c r="FT39" s="421">
        <f t="shared" si="153"/>
        <v>1.25E-3</v>
      </c>
      <c r="FU39" s="421">
        <f t="shared" si="153"/>
        <v>2.5000000000000001E-3</v>
      </c>
      <c r="FV39" s="421">
        <f t="shared" si="153"/>
        <v>5.0000000000000001E-3</v>
      </c>
      <c r="FW39" s="421">
        <f t="shared" si="153"/>
        <v>7.4999999999999997E-3</v>
      </c>
      <c r="FX39" s="421">
        <f t="shared" si="153"/>
        <v>0.01</v>
      </c>
      <c r="FY39" s="421">
        <f t="shared" si="153"/>
        <v>1.2500000000000001E-2</v>
      </c>
      <c r="FZ39" s="421">
        <f t="shared" si="154"/>
        <v>2.5000000000000001E-2</v>
      </c>
      <c r="GA39" s="421">
        <f t="shared" si="154"/>
        <v>0.05</v>
      </c>
      <c r="GB39" s="421">
        <f t="shared" si="154"/>
        <v>6.7499999999999991E-2</v>
      </c>
      <c r="GC39" s="421">
        <f t="shared" si="154"/>
        <v>0.08</v>
      </c>
      <c r="GD39" s="421">
        <f t="shared" si="154"/>
        <v>0.1</v>
      </c>
      <c r="GE39" s="421">
        <f t="shared" si="154"/>
        <v>0.125</v>
      </c>
      <c r="GF39" s="421">
        <f t="shared" si="154"/>
        <v>0.25</v>
      </c>
      <c r="GG39" s="421">
        <f t="shared" si="154"/>
        <v>0.375</v>
      </c>
      <c r="GH39" s="421">
        <f t="shared" si="154"/>
        <v>0.5</v>
      </c>
      <c r="GI39" s="421">
        <f t="shared" si="154"/>
        <v>0.5</v>
      </c>
    </row>
    <row r="40" spans="1:191" x14ac:dyDescent="0.35">
      <c r="A40" s="63">
        <v>36</v>
      </c>
      <c r="C40" s="63">
        <v>6</v>
      </c>
      <c r="D40" s="63">
        <v>-1</v>
      </c>
      <c r="E40" s="63">
        <v>240</v>
      </c>
      <c r="F40" s="63">
        <f t="shared" si="140"/>
        <v>240</v>
      </c>
      <c r="G40" s="63">
        <f t="shared" si="101"/>
        <v>240</v>
      </c>
      <c r="H40" s="63"/>
      <c r="I40" s="63">
        <f t="shared" si="166"/>
        <v>0</v>
      </c>
      <c r="J40" s="63">
        <f t="shared" si="167"/>
        <v>0</v>
      </c>
      <c r="K40" s="63">
        <v>0</v>
      </c>
      <c r="L40" s="254">
        <f>ROUND($BK$7/('全局参数|GlobalPar'!$B$18/10000/E40),6)*(7/5)</f>
        <v>0.16666719999999999</v>
      </c>
      <c r="M40" s="255">
        <v>3</v>
      </c>
      <c r="N40" s="256">
        <f>ROUND(IF(M40&lt;&gt;0,$BK$4/('全局参数|GlobalPar'!$B$18/10000/E40)/M40,0),6)</f>
        <v>0</v>
      </c>
      <c r="O40" s="259">
        <f t="shared" si="141"/>
        <v>4.8000000000000001E-2</v>
      </c>
      <c r="P40" s="260">
        <f t="shared" si="151"/>
        <v>0</v>
      </c>
      <c r="Q40" s="277">
        <v>15</v>
      </c>
      <c r="R40" s="278">
        <v>1</v>
      </c>
      <c r="S40" s="279" t="str">
        <f t="shared" si="21"/>
        <v>[[0,1],[0,1],[0,1],[0,1],[0,1],[0,1],[0,1],[0,1],[0,1],[0,1],[0,2],[0,4],[0,6],[0,8],[0,10],[0,20],[0,40],[0,60],[0,80],[0,100]]</v>
      </c>
      <c r="T40" s="63">
        <v>0</v>
      </c>
      <c r="U40" s="256">
        <v>0</v>
      </c>
      <c r="V40" s="280">
        <f t="shared" si="156"/>
        <v>0</v>
      </c>
      <c r="W40" s="280">
        <v>0.06</v>
      </c>
      <c r="X40" s="280">
        <f t="shared" si="102"/>
        <v>0.1</v>
      </c>
      <c r="Y40" s="304">
        <f t="shared" si="127"/>
        <v>0.05</v>
      </c>
      <c r="Z40" s="63" t="str">
        <f t="shared" si="103"/>
        <v>[[6,5],[6,2],[7,2]]</v>
      </c>
      <c r="AA40" s="305" t="str">
        <f t="shared" si="104"/>
        <v>[0.514286,0.257143,0.171429]</v>
      </c>
      <c r="AB40" s="305">
        <v>1.2</v>
      </c>
      <c r="AC40" s="305">
        <v>1</v>
      </c>
      <c r="AD40" s="306">
        <v>12</v>
      </c>
      <c r="AE40" s="63">
        <f>IF(C40=4,1,IF(C40=6,2,-1))</f>
        <v>2</v>
      </c>
      <c r="AF40" s="63">
        <v>0</v>
      </c>
      <c r="AG40" s="39"/>
      <c r="AH40" s="39"/>
      <c r="AI40" s="39">
        <v>0</v>
      </c>
      <c r="AJ40" s="63">
        <v>1</v>
      </c>
      <c r="AK40" s="63">
        <v>1</v>
      </c>
      <c r="AL40" s="63">
        <v>1</v>
      </c>
      <c r="AM40" s="63">
        <v>1</v>
      </c>
      <c r="AN40" s="63" t="s">
        <v>1443</v>
      </c>
      <c r="AQ40" s="310">
        <v>1</v>
      </c>
      <c r="AR40" s="39">
        <v>240</v>
      </c>
      <c r="AS40" s="39">
        <v>0.18</v>
      </c>
      <c r="AT40" s="39">
        <v>0.8</v>
      </c>
      <c r="AU40" s="39">
        <v>1</v>
      </c>
      <c r="AV40" s="39" t="s">
        <v>1446</v>
      </c>
      <c r="AW40" s="233"/>
      <c r="AX40" s="233" t="s">
        <v>1449</v>
      </c>
      <c r="AY40" s="320"/>
      <c r="AZ40" s="320"/>
      <c r="BA40" s="78">
        <f t="shared" si="142"/>
        <v>24</v>
      </c>
      <c r="BB40" s="318">
        <f t="shared" si="157"/>
        <v>6.25</v>
      </c>
      <c r="BC40" s="78"/>
      <c r="BD40" s="78">
        <f t="shared" si="143"/>
        <v>0.746</v>
      </c>
      <c r="BE40" s="78"/>
      <c r="BF40" s="63">
        <f t="shared" si="158"/>
        <v>240</v>
      </c>
      <c r="BG40" s="63">
        <f>E40*(1+$BN$1)+I40+J40</f>
        <v>254.4</v>
      </c>
      <c r="BI40" s="63">
        <f t="shared" si="159"/>
        <v>0</v>
      </c>
      <c r="BT40" s="344">
        <f t="shared" si="160"/>
        <v>264</v>
      </c>
      <c r="BU40" s="353">
        <f t="shared" si="128"/>
        <v>0.1</v>
      </c>
      <c r="BV40" s="354">
        <v>6</v>
      </c>
      <c r="BW40" s="133">
        <v>5</v>
      </c>
      <c r="BX40" s="354">
        <v>6</v>
      </c>
      <c r="BY40" s="133">
        <v>2</v>
      </c>
      <c r="BZ40" s="354">
        <v>7</v>
      </c>
      <c r="CA40" s="133">
        <v>2</v>
      </c>
      <c r="CB40" s="133">
        <f t="shared" si="106"/>
        <v>6.2222222222222223</v>
      </c>
      <c r="CC40" s="133">
        <f t="shared" si="165"/>
        <v>7.5</v>
      </c>
      <c r="CD40" s="358">
        <f t="shared" si="133"/>
        <v>0.51428600000000002</v>
      </c>
      <c r="CE40" s="133">
        <f t="shared" si="165"/>
        <v>15</v>
      </c>
      <c r="CF40" s="359">
        <f t="shared" si="134"/>
        <v>0.25714300000000001</v>
      </c>
      <c r="CG40" s="133">
        <f t="shared" si="165"/>
        <v>22.5</v>
      </c>
      <c r="CH40" s="360">
        <f t="shared" si="135"/>
        <v>0.171429</v>
      </c>
      <c r="CJ40" s="229">
        <v>2E-3</v>
      </c>
      <c r="CK40" s="387">
        <f t="shared" si="129"/>
        <v>0</v>
      </c>
      <c r="CL40" s="259">
        <f t="shared" si="161"/>
        <v>0</v>
      </c>
      <c r="CM40" s="383">
        <f t="shared" si="162"/>
        <v>0</v>
      </c>
      <c r="CN40" s="383">
        <f t="shared" si="37"/>
        <v>0</v>
      </c>
      <c r="CO40" s="384">
        <f t="shared" si="108"/>
        <v>0</v>
      </c>
      <c r="CP40" s="385">
        <f t="shared" si="163"/>
        <v>0</v>
      </c>
      <c r="CQ40" s="383">
        <f t="shared" si="39"/>
        <v>0</v>
      </c>
      <c r="CR40" s="386" t="e">
        <f t="shared" si="164"/>
        <v>#DIV/0!</v>
      </c>
      <c r="CS40" s="407">
        <f t="shared" si="109"/>
        <v>15</v>
      </c>
      <c r="CT40" s="408">
        <f t="shared" si="110"/>
        <v>1</v>
      </c>
      <c r="CU40" s="279"/>
      <c r="CV40" s="277">
        <v>15</v>
      </c>
      <c r="CW40" s="278">
        <v>1</v>
      </c>
      <c r="CY40" s="411"/>
      <c r="CZ40" s="230"/>
      <c r="DD40" s="414"/>
      <c r="DE40" s="407">
        <v>0</v>
      </c>
      <c r="DF40" s="259">
        <v>1</v>
      </c>
      <c r="DG40" s="414">
        <f t="shared" si="41"/>
        <v>0</v>
      </c>
      <c r="DH40" s="407">
        <f t="shared" si="42"/>
        <v>0</v>
      </c>
      <c r="DI40" s="259">
        <f t="shared" si="111"/>
        <v>1</v>
      </c>
      <c r="DJ40" s="414">
        <f t="shared" si="44"/>
        <v>0</v>
      </c>
      <c r="DK40" s="407">
        <f t="shared" si="45"/>
        <v>0</v>
      </c>
      <c r="DL40" s="259">
        <f t="shared" si="112"/>
        <v>1</v>
      </c>
      <c r="DM40" s="414">
        <f t="shared" si="47"/>
        <v>0</v>
      </c>
      <c r="DN40" s="407">
        <f t="shared" si="113"/>
        <v>0</v>
      </c>
      <c r="DO40" s="259">
        <f t="shared" si="114"/>
        <v>1</v>
      </c>
      <c r="DP40" s="414">
        <f t="shared" si="50"/>
        <v>0</v>
      </c>
      <c r="DQ40" s="407">
        <f t="shared" si="115"/>
        <v>0</v>
      </c>
      <c r="DR40" s="259">
        <f t="shared" si="116"/>
        <v>1</v>
      </c>
      <c r="DS40" s="414">
        <f t="shared" si="53"/>
        <v>0</v>
      </c>
      <c r="DT40" s="407">
        <f t="shared" si="117"/>
        <v>0</v>
      </c>
      <c r="DU40" s="259">
        <f t="shared" si="118"/>
        <v>1</v>
      </c>
      <c r="DV40" s="414">
        <f t="shared" si="56"/>
        <v>0</v>
      </c>
      <c r="DW40" s="407">
        <f t="shared" si="119"/>
        <v>0</v>
      </c>
      <c r="DX40" s="259">
        <f t="shared" si="120"/>
        <v>1</v>
      </c>
      <c r="DY40" s="414">
        <f t="shared" si="59"/>
        <v>0</v>
      </c>
      <c r="DZ40" s="407">
        <f t="shared" si="121"/>
        <v>0</v>
      </c>
      <c r="EA40" s="259">
        <f t="shared" si="122"/>
        <v>1</v>
      </c>
      <c r="EB40" s="414">
        <f t="shared" si="62"/>
        <v>0</v>
      </c>
      <c r="EC40" s="407">
        <f t="shared" si="123"/>
        <v>0</v>
      </c>
      <c r="ED40" s="259">
        <f t="shared" si="124"/>
        <v>1</v>
      </c>
      <c r="EE40" s="414">
        <f t="shared" si="65"/>
        <v>0</v>
      </c>
      <c r="EF40" s="407">
        <f t="shared" si="125"/>
        <v>0</v>
      </c>
      <c r="EG40" s="259">
        <f t="shared" si="126"/>
        <v>1</v>
      </c>
      <c r="EH40" s="414">
        <f t="shared" si="68"/>
        <v>0</v>
      </c>
      <c r="EI40" s="407">
        <f t="shared" si="69"/>
        <v>0</v>
      </c>
      <c r="EJ40" s="259">
        <f t="shared" si="70"/>
        <v>2</v>
      </c>
      <c r="EK40" s="414">
        <f t="shared" si="71"/>
        <v>0</v>
      </c>
      <c r="EL40" s="407">
        <f t="shared" si="72"/>
        <v>0</v>
      </c>
      <c r="EM40" s="259">
        <f t="shared" si="73"/>
        <v>4</v>
      </c>
      <c r="EN40" s="414">
        <f t="shared" si="74"/>
        <v>0</v>
      </c>
      <c r="EO40" s="407">
        <f t="shared" si="75"/>
        <v>0</v>
      </c>
      <c r="EP40" s="259">
        <f t="shared" si="76"/>
        <v>6</v>
      </c>
      <c r="EQ40" s="414">
        <f t="shared" si="77"/>
        <v>0</v>
      </c>
      <c r="ER40" s="407">
        <f t="shared" si="78"/>
        <v>0</v>
      </c>
      <c r="ES40" s="259">
        <f t="shared" si="79"/>
        <v>8</v>
      </c>
      <c r="ET40" s="414">
        <f t="shared" si="80"/>
        <v>0</v>
      </c>
      <c r="EU40" s="407">
        <f t="shared" si="81"/>
        <v>0</v>
      </c>
      <c r="EV40" s="259">
        <f t="shared" si="82"/>
        <v>10</v>
      </c>
      <c r="EW40" s="414">
        <f t="shared" si="83"/>
        <v>0</v>
      </c>
      <c r="EX40" s="407">
        <f t="shared" si="84"/>
        <v>0</v>
      </c>
      <c r="EY40" s="259">
        <f t="shared" si="85"/>
        <v>20</v>
      </c>
      <c r="EZ40" s="414">
        <f t="shared" si="86"/>
        <v>0</v>
      </c>
      <c r="FA40" s="407">
        <f t="shared" si="87"/>
        <v>0</v>
      </c>
      <c r="FB40" s="259">
        <f t="shared" si="88"/>
        <v>40</v>
      </c>
      <c r="FC40" s="414">
        <f t="shared" si="89"/>
        <v>0</v>
      </c>
      <c r="FD40" s="407">
        <f t="shared" si="90"/>
        <v>0</v>
      </c>
      <c r="FE40" s="259">
        <f t="shared" si="91"/>
        <v>60</v>
      </c>
      <c r="FF40" s="414">
        <f t="shared" si="92"/>
        <v>0</v>
      </c>
      <c r="FG40" s="407">
        <f t="shared" si="93"/>
        <v>0</v>
      </c>
      <c r="FH40" s="259">
        <f t="shared" si="94"/>
        <v>80</v>
      </c>
      <c r="FI40" s="414">
        <f t="shared" si="95"/>
        <v>0</v>
      </c>
      <c r="FJ40" s="407">
        <f t="shared" si="96"/>
        <v>0</v>
      </c>
      <c r="FK40" s="259">
        <f t="shared" si="97"/>
        <v>100</v>
      </c>
      <c r="FL40" s="414">
        <f t="shared" si="98"/>
        <v>0</v>
      </c>
      <c r="FP40" s="421">
        <f t="shared" si="153"/>
        <v>0</v>
      </c>
      <c r="FQ40" s="421">
        <f t="shared" si="153"/>
        <v>0</v>
      </c>
      <c r="FR40" s="421">
        <f t="shared" si="153"/>
        <v>0</v>
      </c>
      <c r="FS40" s="421">
        <f t="shared" si="153"/>
        <v>1E-3</v>
      </c>
      <c r="FT40" s="421">
        <f t="shared" si="153"/>
        <v>1.25E-3</v>
      </c>
      <c r="FU40" s="421">
        <f t="shared" si="153"/>
        <v>2.5000000000000001E-3</v>
      </c>
      <c r="FV40" s="421">
        <f t="shared" si="153"/>
        <v>5.0000000000000001E-3</v>
      </c>
      <c r="FW40" s="421">
        <f t="shared" si="153"/>
        <v>7.4999999999999997E-3</v>
      </c>
      <c r="FX40" s="421">
        <f t="shared" si="153"/>
        <v>0.01</v>
      </c>
      <c r="FY40" s="421">
        <f t="shared" si="153"/>
        <v>1.2500000000000001E-2</v>
      </c>
      <c r="FZ40" s="421">
        <f t="shared" si="154"/>
        <v>2.5000000000000001E-2</v>
      </c>
      <c r="GA40" s="421">
        <f t="shared" si="154"/>
        <v>0.05</v>
      </c>
      <c r="GB40" s="421">
        <f t="shared" si="154"/>
        <v>6.7499999999999991E-2</v>
      </c>
      <c r="GC40" s="421">
        <f t="shared" si="154"/>
        <v>0.08</v>
      </c>
      <c r="GD40" s="421">
        <f t="shared" si="154"/>
        <v>0.1</v>
      </c>
      <c r="GE40" s="421">
        <f t="shared" si="154"/>
        <v>0.125</v>
      </c>
      <c r="GF40" s="421">
        <f t="shared" si="154"/>
        <v>0.25</v>
      </c>
      <c r="GG40" s="421">
        <f t="shared" si="154"/>
        <v>0.375</v>
      </c>
      <c r="GH40" s="421">
        <f t="shared" si="154"/>
        <v>0.5</v>
      </c>
      <c r="GI40" s="421">
        <f t="shared" si="154"/>
        <v>0.5</v>
      </c>
    </row>
    <row r="41" spans="1:191" x14ac:dyDescent="0.35">
      <c r="A41" s="63">
        <v>37</v>
      </c>
      <c r="B41" s="242" t="s">
        <v>1450</v>
      </c>
      <c r="C41" s="63">
        <v>6</v>
      </c>
      <c r="D41" s="63">
        <v>-1</v>
      </c>
      <c r="E41" s="63">
        <v>200</v>
      </c>
      <c r="F41" s="63"/>
      <c r="G41" s="63">
        <f t="shared" si="101"/>
        <v>200</v>
      </c>
      <c r="H41" s="63"/>
      <c r="I41" s="63">
        <f t="shared" si="166"/>
        <v>0</v>
      </c>
      <c r="J41" s="63">
        <f t="shared" si="167"/>
        <v>0</v>
      </c>
      <c r="K41" s="63">
        <v>0</v>
      </c>
      <c r="L41" s="254">
        <f>ROUND($BK$7/('全局参数|GlobalPar'!$B$18/10000/E41),6)*(7/5)</f>
        <v>0.1388884</v>
      </c>
      <c r="M41" s="255">
        <v>5</v>
      </c>
      <c r="N41" s="256">
        <f>ROUND(IF(M41&lt;&gt;0,$BK$4/('全局参数|GlobalPar'!$B$18/10000/E41)/M41,0),6)</f>
        <v>0</v>
      </c>
      <c r="O41" s="259">
        <f t="shared" si="141"/>
        <v>0.04</v>
      </c>
      <c r="P41" s="260">
        <f t="shared" si="151"/>
        <v>0</v>
      </c>
      <c r="Q41" s="277">
        <v>15</v>
      </c>
      <c r="R41" s="278">
        <v>1</v>
      </c>
      <c r="S41" s="279" t="str">
        <f t="shared" si="21"/>
        <v>[[0,1],[0,1],[0,1],[0,1],[0,1],[0,1],[0,1],[0,1],[0,1],[0,1],[0,2],[0,4],[0,6],[0,8],[0,10],[0,20],[0,40],[0,60],[0,80],[0,100]]</v>
      </c>
      <c r="T41" s="63">
        <v>0</v>
      </c>
      <c r="U41" s="256">
        <v>0.2</v>
      </c>
      <c r="V41" s="280">
        <f t="shared" si="156"/>
        <v>0</v>
      </c>
      <c r="W41" s="280">
        <v>0.06</v>
      </c>
      <c r="X41" s="280">
        <f t="shared" si="102"/>
        <v>0.1</v>
      </c>
      <c r="Y41" s="304">
        <f t="shared" si="127"/>
        <v>0.05</v>
      </c>
      <c r="Z41" s="63" t="str">
        <f t="shared" si="103"/>
        <v>[[6,5],[6,2],[7,2]]</v>
      </c>
      <c r="AA41" s="305" t="str">
        <f t="shared" si="104"/>
        <v>[0.428571,0.214286,0.142857]</v>
      </c>
      <c r="AB41" s="305">
        <v>1</v>
      </c>
      <c r="AC41" s="305">
        <v>1</v>
      </c>
      <c r="AD41" s="306">
        <v>12</v>
      </c>
      <c r="AE41" s="63">
        <v>5</v>
      </c>
      <c r="AF41" s="63">
        <v>0</v>
      </c>
      <c r="AG41" s="39">
        <v>3</v>
      </c>
      <c r="AH41" s="39">
        <v>6</v>
      </c>
      <c r="AI41" s="39">
        <v>0</v>
      </c>
      <c r="AJ41" s="63">
        <v>1.2</v>
      </c>
      <c r="AK41" s="63">
        <v>1</v>
      </c>
      <c r="AL41" s="63">
        <v>1</v>
      </c>
      <c r="AM41" s="63">
        <v>1</v>
      </c>
      <c r="AN41" s="63" t="s">
        <v>1451</v>
      </c>
      <c r="AO41" s="39">
        <v>2</v>
      </c>
      <c r="AP41" s="39">
        <v>1</v>
      </c>
      <c r="AQ41" s="310">
        <v>1</v>
      </c>
      <c r="AR41" s="39">
        <v>300</v>
      </c>
      <c r="AS41" s="39">
        <v>0.18</v>
      </c>
      <c r="AT41" s="39">
        <v>0.8</v>
      </c>
      <c r="AU41" s="39">
        <v>1</v>
      </c>
      <c r="AV41" s="39" t="s">
        <v>1452</v>
      </c>
      <c r="AW41" s="317" t="s">
        <v>1453</v>
      </c>
      <c r="AX41" s="317" t="s">
        <v>1454</v>
      </c>
      <c r="AY41" s="316" t="s">
        <v>403</v>
      </c>
      <c r="AZ41" s="316" t="s">
        <v>403</v>
      </c>
      <c r="BA41" s="78">
        <f t="shared" si="142"/>
        <v>20</v>
      </c>
      <c r="BB41" s="318">
        <f t="shared" si="157"/>
        <v>7.5</v>
      </c>
      <c r="BC41" s="78" t="s">
        <v>1317</v>
      </c>
      <c r="BD41" s="78">
        <f t="shared" si="143"/>
        <v>0.89600000000000002</v>
      </c>
      <c r="BE41" s="78"/>
      <c r="BF41" s="63">
        <f t="shared" si="158"/>
        <v>200</v>
      </c>
      <c r="BG41" s="63">
        <f>E41*(1+$BN$1)+I41+J41</f>
        <v>212</v>
      </c>
      <c r="BI41" s="63">
        <f t="shared" si="159"/>
        <v>0</v>
      </c>
      <c r="BT41" s="344">
        <f t="shared" si="160"/>
        <v>220.00000000000003</v>
      </c>
      <c r="BU41" s="353">
        <f t="shared" si="128"/>
        <v>0.1</v>
      </c>
      <c r="BV41" s="354">
        <v>6</v>
      </c>
      <c r="BW41" s="133">
        <v>5</v>
      </c>
      <c r="BX41" s="354">
        <v>6</v>
      </c>
      <c r="BY41" s="133">
        <v>2</v>
      </c>
      <c r="BZ41" s="354">
        <v>7</v>
      </c>
      <c r="CA41" s="133">
        <v>2</v>
      </c>
      <c r="CB41" s="133">
        <f t="shared" si="106"/>
        <v>6.2222222222222223</v>
      </c>
      <c r="CC41" s="133">
        <f t="shared" si="165"/>
        <v>7.5</v>
      </c>
      <c r="CD41" s="358">
        <f t="shared" si="133"/>
        <v>0.42857099999999998</v>
      </c>
      <c r="CE41" s="133">
        <f t="shared" si="165"/>
        <v>15</v>
      </c>
      <c r="CF41" s="359">
        <f t="shared" si="134"/>
        <v>0.214286</v>
      </c>
      <c r="CG41" s="133">
        <f t="shared" si="165"/>
        <v>22.5</v>
      </c>
      <c r="CH41" s="360">
        <f t="shared" si="135"/>
        <v>0.14285700000000001</v>
      </c>
      <c r="CJ41" s="229">
        <v>2E-3</v>
      </c>
      <c r="CK41" s="387">
        <f t="shared" si="129"/>
        <v>0</v>
      </c>
      <c r="CL41" s="259">
        <f t="shared" si="161"/>
        <v>0</v>
      </c>
      <c r="CM41" s="383">
        <f t="shared" si="162"/>
        <v>0</v>
      </c>
      <c r="CN41" s="383">
        <f t="shared" si="37"/>
        <v>0</v>
      </c>
      <c r="CO41" s="384">
        <f t="shared" si="108"/>
        <v>0</v>
      </c>
      <c r="CP41" s="385">
        <f t="shared" si="163"/>
        <v>0</v>
      </c>
      <c r="CQ41" s="383">
        <f t="shared" si="39"/>
        <v>0</v>
      </c>
      <c r="CR41" s="386" t="e">
        <f t="shared" si="164"/>
        <v>#DIV/0!</v>
      </c>
      <c r="CS41" s="407">
        <f t="shared" si="109"/>
        <v>15</v>
      </c>
      <c r="CT41" s="408">
        <f t="shared" si="110"/>
        <v>1</v>
      </c>
      <c r="CU41" s="279"/>
      <c r="CV41" s="277">
        <v>15</v>
      </c>
      <c r="CW41" s="278">
        <v>1</v>
      </c>
      <c r="CY41" s="411"/>
      <c r="CZ41" s="230"/>
      <c r="DD41" s="414"/>
      <c r="DE41" s="407">
        <v>0</v>
      </c>
      <c r="DF41" s="259">
        <v>1</v>
      </c>
      <c r="DG41" s="414">
        <f t="shared" si="41"/>
        <v>0</v>
      </c>
      <c r="DH41" s="407">
        <f t="shared" si="42"/>
        <v>0</v>
      </c>
      <c r="DI41" s="259">
        <f t="shared" si="111"/>
        <v>1</v>
      </c>
      <c r="DJ41" s="414">
        <f t="shared" si="44"/>
        <v>0</v>
      </c>
      <c r="DK41" s="407">
        <f t="shared" si="45"/>
        <v>0</v>
      </c>
      <c r="DL41" s="259">
        <f t="shared" si="112"/>
        <v>1</v>
      </c>
      <c r="DM41" s="414">
        <f t="shared" si="47"/>
        <v>0</v>
      </c>
      <c r="DN41" s="407">
        <f t="shared" si="113"/>
        <v>0</v>
      </c>
      <c r="DO41" s="259">
        <f t="shared" si="114"/>
        <v>1</v>
      </c>
      <c r="DP41" s="414">
        <f t="shared" si="50"/>
        <v>0</v>
      </c>
      <c r="DQ41" s="407">
        <f t="shared" si="115"/>
        <v>0</v>
      </c>
      <c r="DR41" s="259">
        <f t="shared" si="116"/>
        <v>1</v>
      </c>
      <c r="DS41" s="414">
        <f t="shared" si="53"/>
        <v>0</v>
      </c>
      <c r="DT41" s="407">
        <f t="shared" si="117"/>
        <v>0</v>
      </c>
      <c r="DU41" s="259">
        <f t="shared" si="118"/>
        <v>1</v>
      </c>
      <c r="DV41" s="414">
        <f t="shared" si="56"/>
        <v>0</v>
      </c>
      <c r="DW41" s="407">
        <f t="shared" si="119"/>
        <v>0</v>
      </c>
      <c r="DX41" s="259">
        <f t="shared" si="120"/>
        <v>1</v>
      </c>
      <c r="DY41" s="414">
        <f t="shared" si="59"/>
        <v>0</v>
      </c>
      <c r="DZ41" s="407">
        <f t="shared" si="121"/>
        <v>0</v>
      </c>
      <c r="EA41" s="259">
        <f t="shared" si="122"/>
        <v>1</v>
      </c>
      <c r="EB41" s="414">
        <f t="shared" si="62"/>
        <v>0</v>
      </c>
      <c r="EC41" s="407">
        <f t="shared" si="123"/>
        <v>0</v>
      </c>
      <c r="ED41" s="259">
        <f t="shared" si="124"/>
        <v>1</v>
      </c>
      <c r="EE41" s="414">
        <f t="shared" si="65"/>
        <v>0</v>
      </c>
      <c r="EF41" s="407">
        <f t="shared" si="125"/>
        <v>0</v>
      </c>
      <c r="EG41" s="259">
        <f t="shared" si="126"/>
        <v>1</v>
      </c>
      <c r="EH41" s="414">
        <f t="shared" si="68"/>
        <v>0</v>
      </c>
      <c r="EI41" s="407">
        <f t="shared" si="69"/>
        <v>0</v>
      </c>
      <c r="EJ41" s="259">
        <f t="shared" si="70"/>
        <v>2</v>
      </c>
      <c r="EK41" s="414">
        <f t="shared" si="71"/>
        <v>0</v>
      </c>
      <c r="EL41" s="407">
        <f t="shared" si="72"/>
        <v>0</v>
      </c>
      <c r="EM41" s="259">
        <f t="shared" si="73"/>
        <v>4</v>
      </c>
      <c r="EN41" s="414">
        <f t="shared" si="74"/>
        <v>0</v>
      </c>
      <c r="EO41" s="407">
        <f t="shared" si="75"/>
        <v>0</v>
      </c>
      <c r="EP41" s="259">
        <f t="shared" si="76"/>
        <v>6</v>
      </c>
      <c r="EQ41" s="414">
        <f t="shared" si="77"/>
        <v>0</v>
      </c>
      <c r="ER41" s="407">
        <f t="shared" si="78"/>
        <v>0</v>
      </c>
      <c r="ES41" s="259">
        <f t="shared" si="79"/>
        <v>8</v>
      </c>
      <c r="ET41" s="414">
        <f t="shared" si="80"/>
        <v>0</v>
      </c>
      <c r="EU41" s="407">
        <f t="shared" si="81"/>
        <v>0</v>
      </c>
      <c r="EV41" s="259">
        <f t="shared" si="82"/>
        <v>10</v>
      </c>
      <c r="EW41" s="414">
        <f t="shared" si="83"/>
        <v>0</v>
      </c>
      <c r="EX41" s="407">
        <f t="shared" si="84"/>
        <v>0</v>
      </c>
      <c r="EY41" s="259">
        <f t="shared" si="85"/>
        <v>20</v>
      </c>
      <c r="EZ41" s="414">
        <f t="shared" si="86"/>
        <v>0</v>
      </c>
      <c r="FA41" s="407">
        <f t="shared" si="87"/>
        <v>0</v>
      </c>
      <c r="FB41" s="259">
        <f t="shared" si="88"/>
        <v>40</v>
      </c>
      <c r="FC41" s="414">
        <f t="shared" si="89"/>
        <v>0</v>
      </c>
      <c r="FD41" s="407">
        <f t="shared" si="90"/>
        <v>0</v>
      </c>
      <c r="FE41" s="259">
        <f t="shared" si="91"/>
        <v>60</v>
      </c>
      <c r="FF41" s="414">
        <f t="shared" si="92"/>
        <v>0</v>
      </c>
      <c r="FG41" s="407">
        <f t="shared" si="93"/>
        <v>0</v>
      </c>
      <c r="FH41" s="259">
        <f t="shared" si="94"/>
        <v>80</v>
      </c>
      <c r="FI41" s="414">
        <f t="shared" si="95"/>
        <v>0</v>
      </c>
      <c r="FJ41" s="407">
        <f t="shared" si="96"/>
        <v>0</v>
      </c>
      <c r="FK41" s="259">
        <f t="shared" si="97"/>
        <v>100</v>
      </c>
      <c r="FL41" s="414">
        <f t="shared" si="98"/>
        <v>0</v>
      </c>
      <c r="FP41" s="421">
        <f t="shared" si="153"/>
        <v>0</v>
      </c>
      <c r="FQ41" s="421">
        <f t="shared" si="153"/>
        <v>0</v>
      </c>
      <c r="FR41" s="421">
        <f t="shared" si="153"/>
        <v>0</v>
      </c>
      <c r="FS41" s="421">
        <f t="shared" si="153"/>
        <v>8.3333333333333339E-4</v>
      </c>
      <c r="FT41" s="421">
        <f t="shared" si="153"/>
        <v>1.0416666666666667E-3</v>
      </c>
      <c r="FU41" s="421">
        <f t="shared" si="153"/>
        <v>2.0833333333333333E-3</v>
      </c>
      <c r="FV41" s="421">
        <f t="shared" si="153"/>
        <v>4.1666666666666666E-3</v>
      </c>
      <c r="FW41" s="421">
        <f t="shared" si="153"/>
        <v>6.2500000000000003E-3</v>
      </c>
      <c r="FX41" s="421">
        <f t="shared" si="153"/>
        <v>8.3333333333333332E-3</v>
      </c>
      <c r="FY41" s="421">
        <f t="shared" si="153"/>
        <v>1.0416666666666666E-2</v>
      </c>
      <c r="FZ41" s="421">
        <f t="shared" si="154"/>
        <v>2.0833333333333332E-2</v>
      </c>
      <c r="GA41" s="421">
        <f t="shared" si="154"/>
        <v>4.1666666666666664E-2</v>
      </c>
      <c r="GB41" s="421">
        <f t="shared" si="154"/>
        <v>5.6250000000000001E-2</v>
      </c>
      <c r="GC41" s="421">
        <f t="shared" si="154"/>
        <v>6.6666666666666666E-2</v>
      </c>
      <c r="GD41" s="421">
        <f t="shared" si="154"/>
        <v>8.3333333333333329E-2</v>
      </c>
      <c r="GE41" s="421">
        <f t="shared" si="154"/>
        <v>0.10416666666666667</v>
      </c>
      <c r="GF41" s="421">
        <f t="shared" si="154"/>
        <v>0.20833333333333334</v>
      </c>
      <c r="GG41" s="421">
        <f t="shared" si="154"/>
        <v>0.3125</v>
      </c>
      <c r="GH41" s="421">
        <f t="shared" si="154"/>
        <v>0.41666666666666669</v>
      </c>
      <c r="GI41" s="421">
        <f t="shared" si="154"/>
        <v>0.41666666666666669</v>
      </c>
    </row>
    <row r="42" spans="1:191" x14ac:dyDescent="0.35">
      <c r="A42" s="63">
        <v>38</v>
      </c>
      <c r="B42" s="242" t="s">
        <v>1455</v>
      </c>
      <c r="C42" s="63">
        <v>6</v>
      </c>
      <c r="D42" s="63">
        <v>-1</v>
      </c>
      <c r="E42" s="63">
        <v>300</v>
      </c>
      <c r="F42" s="63"/>
      <c r="G42" s="63">
        <f t="shared" si="101"/>
        <v>300</v>
      </c>
      <c r="H42" s="63"/>
      <c r="I42" s="63">
        <f t="shared" si="166"/>
        <v>0</v>
      </c>
      <c r="J42" s="63">
        <f t="shared" si="167"/>
        <v>0</v>
      </c>
      <c r="K42" s="63">
        <v>0</v>
      </c>
      <c r="L42" s="254">
        <f>ROUND($BK$7/('全局参数|GlobalPar'!$B$18/10000/E42),6)*(7/5)</f>
        <v>0.20833399999999999</v>
      </c>
      <c r="M42" s="255">
        <v>5</v>
      </c>
      <c r="N42" s="256">
        <f>ROUND(IF(M42&lt;&gt;0,$BK$4/('全局参数|GlobalPar'!$B$18/10000/E42)/M42,0),6)</f>
        <v>0</v>
      </c>
      <c r="O42" s="259">
        <f t="shared" si="141"/>
        <v>0.06</v>
      </c>
      <c r="P42" s="260">
        <f t="shared" si="151"/>
        <v>0</v>
      </c>
      <c r="Q42" s="277">
        <v>15</v>
      </c>
      <c r="R42" s="278">
        <v>1</v>
      </c>
      <c r="S42" s="279" t="str">
        <f t="shared" si="21"/>
        <v>[[0,1],[0,1],[0,1],[0,1],[0,1],[0,1],[0,1],[0,1],[0,1],[0,1],[0,2],[0,4],[0,6],[0,8],[0,10],[0,20],[0,40],[0,60],[0,80],[0,100]]</v>
      </c>
      <c r="T42" s="63">
        <v>0</v>
      </c>
      <c r="U42" s="256">
        <v>0.25</v>
      </c>
      <c r="V42" s="280">
        <f t="shared" si="156"/>
        <v>0</v>
      </c>
      <c r="W42" s="280">
        <v>0.06</v>
      </c>
      <c r="X42" s="280">
        <f t="shared" si="102"/>
        <v>0.1</v>
      </c>
      <c r="Y42" s="304">
        <f t="shared" si="127"/>
        <v>0.05</v>
      </c>
      <c r="Z42" s="63" t="str">
        <f t="shared" si="103"/>
        <v>[[10,5],[12,2],[15,2]]</v>
      </c>
      <c r="AA42" s="305" t="str">
        <f t="shared" si="104"/>
        <v>[0.346154,0.173077,0.115385]</v>
      </c>
      <c r="AB42" s="305">
        <v>1</v>
      </c>
      <c r="AC42" s="305">
        <v>1</v>
      </c>
      <c r="AD42" s="306">
        <v>12</v>
      </c>
      <c r="AE42" s="63">
        <v>6</v>
      </c>
      <c r="AF42" s="63">
        <v>0</v>
      </c>
      <c r="AG42" s="39">
        <v>3</v>
      </c>
      <c r="AH42" s="39">
        <v>6</v>
      </c>
      <c r="AI42" s="39">
        <v>0</v>
      </c>
      <c r="AJ42" s="63">
        <v>1</v>
      </c>
      <c r="AK42" s="63">
        <v>1</v>
      </c>
      <c r="AL42" s="63">
        <v>1</v>
      </c>
      <c r="AM42" s="63">
        <v>1</v>
      </c>
      <c r="AN42" s="63" t="s">
        <v>1443</v>
      </c>
      <c r="AO42" s="39">
        <v>1</v>
      </c>
      <c r="AP42" s="39">
        <v>1</v>
      </c>
      <c r="AQ42" s="310">
        <v>1</v>
      </c>
      <c r="AR42" s="39">
        <v>400</v>
      </c>
      <c r="AS42" s="39">
        <v>0.18</v>
      </c>
      <c r="AT42" s="39">
        <v>0.8</v>
      </c>
      <c r="AU42" s="39">
        <v>1</v>
      </c>
      <c r="AV42" s="39" t="s">
        <v>1452</v>
      </c>
      <c r="AW42" s="317" t="s">
        <v>1456</v>
      </c>
      <c r="AX42" s="317" t="s">
        <v>1457</v>
      </c>
      <c r="AY42" s="320" t="s">
        <v>248</v>
      </c>
      <c r="AZ42" s="316" t="s">
        <v>403</v>
      </c>
      <c r="BA42" s="78">
        <f t="shared" si="142"/>
        <v>30</v>
      </c>
      <c r="BB42" s="318">
        <f t="shared" si="157"/>
        <v>5</v>
      </c>
      <c r="BC42" s="78" t="s">
        <v>1317</v>
      </c>
      <c r="BD42" s="78">
        <f t="shared" si="143"/>
        <v>0.746</v>
      </c>
      <c r="BE42" s="78"/>
      <c r="BF42" s="63">
        <f t="shared" si="158"/>
        <v>300</v>
      </c>
      <c r="BG42" s="63">
        <f>E42*(1+$BN$1)+I42+J42</f>
        <v>318</v>
      </c>
      <c r="BI42" s="63">
        <f t="shared" si="159"/>
        <v>0</v>
      </c>
      <c r="BT42" s="344">
        <f t="shared" si="160"/>
        <v>330</v>
      </c>
      <c r="BU42" s="353">
        <f t="shared" si="128"/>
        <v>0.1</v>
      </c>
      <c r="BV42" s="354">
        <v>10</v>
      </c>
      <c r="BW42" s="133">
        <v>5</v>
      </c>
      <c r="BX42" s="354">
        <v>12</v>
      </c>
      <c r="BY42" s="133">
        <v>2</v>
      </c>
      <c r="BZ42" s="354">
        <v>15</v>
      </c>
      <c r="CA42" s="133">
        <v>2</v>
      </c>
      <c r="CB42" s="133">
        <f t="shared" si="106"/>
        <v>11.555555555555555</v>
      </c>
      <c r="CC42" s="133">
        <f t="shared" si="165"/>
        <v>7.5</v>
      </c>
      <c r="CD42" s="358">
        <f t="shared" si="133"/>
        <v>0.34615400000000002</v>
      </c>
      <c r="CE42" s="133">
        <f t="shared" si="165"/>
        <v>15</v>
      </c>
      <c r="CF42" s="359">
        <f t="shared" si="134"/>
        <v>0.17307700000000001</v>
      </c>
      <c r="CG42" s="133">
        <f t="shared" si="165"/>
        <v>22.5</v>
      </c>
      <c r="CH42" s="360">
        <f t="shared" si="135"/>
        <v>0.115385</v>
      </c>
      <c r="CJ42" s="229">
        <v>2E-3</v>
      </c>
      <c r="CK42" s="387">
        <f t="shared" si="129"/>
        <v>0</v>
      </c>
      <c r="CL42" s="259">
        <f t="shared" si="161"/>
        <v>0</v>
      </c>
      <c r="CM42" s="383">
        <f t="shared" si="162"/>
        <v>0</v>
      </c>
      <c r="CN42" s="383">
        <f t="shared" si="37"/>
        <v>0</v>
      </c>
      <c r="CO42" s="384">
        <f t="shared" si="108"/>
        <v>0</v>
      </c>
      <c r="CP42" s="385">
        <f t="shared" si="163"/>
        <v>0</v>
      </c>
      <c r="CQ42" s="383">
        <f t="shared" si="39"/>
        <v>0</v>
      </c>
      <c r="CR42" s="386" t="e">
        <f t="shared" si="164"/>
        <v>#DIV/0!</v>
      </c>
      <c r="CS42" s="407">
        <f t="shared" si="109"/>
        <v>15</v>
      </c>
      <c r="CT42" s="408">
        <f t="shared" si="110"/>
        <v>1</v>
      </c>
      <c r="CU42" s="279"/>
      <c r="CV42" s="277">
        <v>15</v>
      </c>
      <c r="CW42" s="278">
        <v>1</v>
      </c>
      <c r="CY42" s="411"/>
      <c r="CZ42" s="230"/>
      <c r="DD42" s="414"/>
      <c r="DE42" s="407">
        <v>0</v>
      </c>
      <c r="DF42" s="259">
        <v>1</v>
      </c>
      <c r="DG42" s="414">
        <f t="shared" si="41"/>
        <v>0</v>
      </c>
      <c r="DH42" s="407">
        <f t="shared" si="42"/>
        <v>0</v>
      </c>
      <c r="DI42" s="259">
        <f t="shared" si="111"/>
        <v>1</v>
      </c>
      <c r="DJ42" s="414">
        <f t="shared" si="44"/>
        <v>0</v>
      </c>
      <c r="DK42" s="407">
        <f t="shared" si="45"/>
        <v>0</v>
      </c>
      <c r="DL42" s="259">
        <f t="shared" si="112"/>
        <v>1</v>
      </c>
      <c r="DM42" s="414">
        <f t="shared" si="47"/>
        <v>0</v>
      </c>
      <c r="DN42" s="407">
        <f t="shared" si="113"/>
        <v>0</v>
      </c>
      <c r="DO42" s="259">
        <f t="shared" si="114"/>
        <v>1</v>
      </c>
      <c r="DP42" s="414">
        <f t="shared" si="50"/>
        <v>0</v>
      </c>
      <c r="DQ42" s="407">
        <f t="shared" si="115"/>
        <v>0</v>
      </c>
      <c r="DR42" s="259">
        <f t="shared" si="116"/>
        <v>1</v>
      </c>
      <c r="DS42" s="414">
        <f t="shared" si="53"/>
        <v>0</v>
      </c>
      <c r="DT42" s="407">
        <f t="shared" si="117"/>
        <v>0</v>
      </c>
      <c r="DU42" s="259">
        <f t="shared" si="118"/>
        <v>1</v>
      </c>
      <c r="DV42" s="414">
        <f t="shared" si="56"/>
        <v>0</v>
      </c>
      <c r="DW42" s="407">
        <f t="shared" si="119"/>
        <v>0</v>
      </c>
      <c r="DX42" s="259">
        <f t="shared" si="120"/>
        <v>1</v>
      </c>
      <c r="DY42" s="414">
        <f t="shared" si="59"/>
        <v>0</v>
      </c>
      <c r="DZ42" s="407">
        <f t="shared" si="121"/>
        <v>0</v>
      </c>
      <c r="EA42" s="259">
        <f t="shared" si="122"/>
        <v>1</v>
      </c>
      <c r="EB42" s="414">
        <f t="shared" si="62"/>
        <v>0</v>
      </c>
      <c r="EC42" s="407">
        <f t="shared" si="123"/>
        <v>0</v>
      </c>
      <c r="ED42" s="259">
        <f t="shared" si="124"/>
        <v>1</v>
      </c>
      <c r="EE42" s="414">
        <f t="shared" si="65"/>
        <v>0</v>
      </c>
      <c r="EF42" s="407">
        <f t="shared" si="125"/>
        <v>0</v>
      </c>
      <c r="EG42" s="259">
        <f t="shared" si="126"/>
        <v>1</v>
      </c>
      <c r="EH42" s="414">
        <f t="shared" si="68"/>
        <v>0</v>
      </c>
      <c r="EI42" s="407">
        <f t="shared" si="69"/>
        <v>0</v>
      </c>
      <c r="EJ42" s="259">
        <f t="shared" si="70"/>
        <v>2</v>
      </c>
      <c r="EK42" s="414">
        <f t="shared" si="71"/>
        <v>0</v>
      </c>
      <c r="EL42" s="407">
        <f t="shared" si="72"/>
        <v>0</v>
      </c>
      <c r="EM42" s="259">
        <f t="shared" si="73"/>
        <v>4</v>
      </c>
      <c r="EN42" s="414">
        <f t="shared" si="74"/>
        <v>0</v>
      </c>
      <c r="EO42" s="407">
        <f t="shared" si="75"/>
        <v>0</v>
      </c>
      <c r="EP42" s="259">
        <f t="shared" si="76"/>
        <v>6</v>
      </c>
      <c r="EQ42" s="414">
        <f t="shared" si="77"/>
        <v>0</v>
      </c>
      <c r="ER42" s="407">
        <f t="shared" si="78"/>
        <v>0</v>
      </c>
      <c r="ES42" s="259">
        <f t="shared" si="79"/>
        <v>8</v>
      </c>
      <c r="ET42" s="414">
        <f t="shared" si="80"/>
        <v>0</v>
      </c>
      <c r="EU42" s="407">
        <f t="shared" si="81"/>
        <v>0</v>
      </c>
      <c r="EV42" s="259">
        <f t="shared" si="82"/>
        <v>10</v>
      </c>
      <c r="EW42" s="414">
        <f t="shared" si="83"/>
        <v>0</v>
      </c>
      <c r="EX42" s="407">
        <f t="shared" si="84"/>
        <v>0</v>
      </c>
      <c r="EY42" s="259">
        <f t="shared" si="85"/>
        <v>20</v>
      </c>
      <c r="EZ42" s="414">
        <f t="shared" si="86"/>
        <v>0</v>
      </c>
      <c r="FA42" s="407">
        <f t="shared" si="87"/>
        <v>0</v>
      </c>
      <c r="FB42" s="259">
        <f t="shared" si="88"/>
        <v>40</v>
      </c>
      <c r="FC42" s="414">
        <f t="shared" si="89"/>
        <v>0</v>
      </c>
      <c r="FD42" s="407">
        <f t="shared" si="90"/>
        <v>0</v>
      </c>
      <c r="FE42" s="259">
        <f t="shared" si="91"/>
        <v>60</v>
      </c>
      <c r="FF42" s="414">
        <f t="shared" si="92"/>
        <v>0</v>
      </c>
      <c r="FG42" s="407">
        <f t="shared" si="93"/>
        <v>0</v>
      </c>
      <c r="FH42" s="259">
        <f t="shared" si="94"/>
        <v>80</v>
      </c>
      <c r="FI42" s="414">
        <f t="shared" si="95"/>
        <v>0</v>
      </c>
      <c r="FJ42" s="407">
        <f t="shared" si="96"/>
        <v>0</v>
      </c>
      <c r="FK42" s="259">
        <f t="shared" si="97"/>
        <v>100</v>
      </c>
      <c r="FL42" s="414">
        <f t="shared" si="98"/>
        <v>0</v>
      </c>
      <c r="FP42" s="421">
        <f t="shared" si="153"/>
        <v>0</v>
      </c>
      <c r="FQ42" s="421">
        <f t="shared" si="153"/>
        <v>0</v>
      </c>
      <c r="FR42" s="421">
        <f t="shared" si="153"/>
        <v>0</v>
      </c>
      <c r="FS42" s="421">
        <f t="shared" si="153"/>
        <v>1.25E-3</v>
      </c>
      <c r="FT42" s="421">
        <f t="shared" si="153"/>
        <v>1.5625000000000001E-3</v>
      </c>
      <c r="FU42" s="421">
        <f t="shared" si="153"/>
        <v>3.1250000000000002E-3</v>
      </c>
      <c r="FV42" s="421">
        <f t="shared" si="153"/>
        <v>6.2500000000000003E-3</v>
      </c>
      <c r="FW42" s="421">
        <f t="shared" si="153"/>
        <v>9.3749999999999997E-3</v>
      </c>
      <c r="FX42" s="421">
        <f t="shared" si="153"/>
        <v>1.2500000000000001E-2</v>
      </c>
      <c r="FY42" s="421">
        <f t="shared" si="153"/>
        <v>1.5625E-2</v>
      </c>
      <c r="FZ42" s="421">
        <f t="shared" si="154"/>
        <v>3.125E-2</v>
      </c>
      <c r="GA42" s="421">
        <f t="shared" si="154"/>
        <v>6.25E-2</v>
      </c>
      <c r="GB42" s="421">
        <f t="shared" si="154"/>
        <v>8.4375000000000006E-2</v>
      </c>
      <c r="GC42" s="421">
        <f t="shared" si="154"/>
        <v>0.1</v>
      </c>
      <c r="GD42" s="421">
        <f t="shared" si="154"/>
        <v>0.125</v>
      </c>
      <c r="GE42" s="421">
        <f t="shared" si="154"/>
        <v>0.15625</v>
      </c>
      <c r="GF42" s="421">
        <f t="shared" si="154"/>
        <v>0.3125</v>
      </c>
      <c r="GG42" s="421">
        <f t="shared" si="154"/>
        <v>0.46875</v>
      </c>
      <c r="GH42" s="421">
        <f t="shared" si="154"/>
        <v>0.625</v>
      </c>
      <c r="GI42" s="421">
        <f t="shared" si="154"/>
        <v>0.625</v>
      </c>
    </row>
    <row r="43" spans="1:191" ht="16.2" x14ac:dyDescent="0.4">
      <c r="A43" s="63">
        <v>39</v>
      </c>
      <c r="B43" s="242" t="s">
        <v>1458</v>
      </c>
      <c r="C43" s="63">
        <v>6</v>
      </c>
      <c r="D43" s="63">
        <v>4</v>
      </c>
      <c r="E43" s="63">
        <v>500</v>
      </c>
      <c r="F43" s="63"/>
      <c r="G43" s="63">
        <f t="shared" si="101"/>
        <v>500</v>
      </c>
      <c r="H43" s="63"/>
      <c r="I43" s="63">
        <f t="shared" si="166"/>
        <v>0</v>
      </c>
      <c r="J43" s="63">
        <f t="shared" si="167"/>
        <v>0</v>
      </c>
      <c r="K43" s="63">
        <v>0</v>
      </c>
      <c r="L43" s="254">
        <f>ROUND($BK$7/('全局参数|GlobalPar'!$B$18/10000/E43),6)*(7/5)</f>
        <v>0.34722239999999999</v>
      </c>
      <c r="M43" s="255">
        <v>10</v>
      </c>
      <c r="N43" s="256">
        <f>ROUND(IF(M43&lt;&gt;0,$BK$4/('全局参数|GlobalPar'!$B$18/10000/E43)/M43,0),6)</f>
        <v>0</v>
      </c>
      <c r="O43" s="259">
        <f t="shared" si="141"/>
        <v>0.1</v>
      </c>
      <c r="P43" s="260">
        <f t="shared" si="151"/>
        <v>0</v>
      </c>
      <c r="Q43" s="277">
        <v>15</v>
      </c>
      <c r="R43" s="278">
        <v>1</v>
      </c>
      <c r="S43" s="279" t="str">
        <f t="shared" si="21"/>
        <v>[[0,1],[0,1],[0,1],[0,1],[0,1],[0,1],[0,1],[0,1],[0,1],[0,1],[0,2],[0,4],[0,6],[0,8],[0,10],[0,20],[0,40],[0,60],[0,80],[0,100]]</v>
      </c>
      <c r="T43" s="63">
        <v>0</v>
      </c>
      <c r="U43" s="281">
        <v>0.3</v>
      </c>
      <c r="V43" s="280">
        <f t="shared" si="156"/>
        <v>0</v>
      </c>
      <c r="W43" s="280">
        <v>0.06</v>
      </c>
      <c r="X43" s="280">
        <f t="shared" si="102"/>
        <v>0.1</v>
      </c>
      <c r="Y43" s="304">
        <f t="shared" si="127"/>
        <v>0.05</v>
      </c>
      <c r="Z43" s="63" t="str">
        <f t="shared" si="103"/>
        <v>[[10,5],[12,2],[15,2]]</v>
      </c>
      <c r="AA43" s="305" t="str">
        <f t="shared" si="104"/>
        <v>[0.576923,0.288462,0.192308]</v>
      </c>
      <c r="AB43" s="305">
        <v>1.5</v>
      </c>
      <c r="AC43" s="305">
        <v>1</v>
      </c>
      <c r="AD43" s="306">
        <v>12</v>
      </c>
      <c r="AE43" s="63">
        <v>7</v>
      </c>
      <c r="AF43" s="63">
        <v>0</v>
      </c>
      <c r="AG43" s="39">
        <v>3</v>
      </c>
      <c r="AH43" s="39">
        <v>6</v>
      </c>
      <c r="AI43" s="39">
        <v>1</v>
      </c>
      <c r="AJ43" s="63">
        <v>1.2</v>
      </c>
      <c r="AK43" s="63">
        <v>1</v>
      </c>
      <c r="AL43" s="63">
        <v>1</v>
      </c>
      <c r="AM43" s="63">
        <v>1</v>
      </c>
      <c r="AN43" s="63" t="s">
        <v>1459</v>
      </c>
      <c r="AO43" s="39">
        <v>1</v>
      </c>
      <c r="AP43" s="39">
        <v>1</v>
      </c>
      <c r="AQ43" s="310">
        <v>1</v>
      </c>
      <c r="AR43" s="39">
        <v>500</v>
      </c>
      <c r="AS43" s="39">
        <v>0.18</v>
      </c>
      <c r="AT43" s="39">
        <v>0.4</v>
      </c>
      <c r="AU43" s="39">
        <v>1</v>
      </c>
      <c r="AV43" s="39" t="s">
        <v>1452</v>
      </c>
      <c r="AW43" s="317" t="s">
        <v>1460</v>
      </c>
      <c r="AX43" s="317" t="s">
        <v>1448</v>
      </c>
      <c r="AY43" s="316" t="s">
        <v>521</v>
      </c>
      <c r="AZ43" s="316" t="s">
        <v>403</v>
      </c>
      <c r="BA43" s="78">
        <f t="shared" si="142"/>
        <v>50</v>
      </c>
      <c r="BB43" s="318">
        <f t="shared" si="157"/>
        <v>3</v>
      </c>
      <c r="BC43" s="78" t="s">
        <v>1317</v>
      </c>
      <c r="BD43" s="78">
        <f t="shared" si="143"/>
        <v>0.89600000000000002</v>
      </c>
      <c r="BE43" s="78"/>
      <c r="BF43" s="63">
        <f t="shared" si="158"/>
        <v>500</v>
      </c>
      <c r="BG43" s="63">
        <f>E43*(1+$BN$1)+I43+J43</f>
        <v>530</v>
      </c>
      <c r="BI43" s="63">
        <f t="shared" si="159"/>
        <v>0</v>
      </c>
      <c r="BT43" s="344">
        <f t="shared" si="160"/>
        <v>550</v>
      </c>
      <c r="BU43" s="353">
        <f t="shared" si="128"/>
        <v>0.1</v>
      </c>
      <c r="BV43" s="354">
        <v>10</v>
      </c>
      <c r="BW43" s="133">
        <v>5</v>
      </c>
      <c r="BX43" s="354">
        <v>12</v>
      </c>
      <c r="BY43" s="133">
        <v>2</v>
      </c>
      <c r="BZ43" s="354">
        <v>15</v>
      </c>
      <c r="CA43" s="133">
        <v>2</v>
      </c>
      <c r="CB43" s="133">
        <f t="shared" si="106"/>
        <v>11.555555555555555</v>
      </c>
      <c r="CC43" s="133">
        <f t="shared" si="165"/>
        <v>7.5</v>
      </c>
      <c r="CD43" s="358">
        <f t="shared" si="133"/>
        <v>0.57692299999999996</v>
      </c>
      <c r="CE43" s="133">
        <f t="shared" si="165"/>
        <v>15</v>
      </c>
      <c r="CF43" s="359">
        <f t="shared" si="134"/>
        <v>0.288462</v>
      </c>
      <c r="CG43" s="133">
        <f t="shared" si="165"/>
        <v>22.5</v>
      </c>
      <c r="CH43" s="360">
        <f t="shared" si="135"/>
        <v>0.19230800000000001</v>
      </c>
      <c r="CJ43" s="229">
        <v>2E-3</v>
      </c>
      <c r="CK43" s="387">
        <f t="shared" si="129"/>
        <v>0</v>
      </c>
      <c r="CL43" s="259">
        <f t="shared" si="161"/>
        <v>0</v>
      </c>
      <c r="CM43" s="383">
        <f t="shared" si="162"/>
        <v>0</v>
      </c>
      <c r="CN43" s="383">
        <f t="shared" si="37"/>
        <v>0</v>
      </c>
      <c r="CO43" s="384">
        <f t="shared" si="108"/>
        <v>0</v>
      </c>
      <c r="CP43" s="385">
        <f t="shared" si="163"/>
        <v>0</v>
      </c>
      <c r="CQ43" s="383">
        <f t="shared" si="39"/>
        <v>0</v>
      </c>
      <c r="CR43" s="386" t="e">
        <f t="shared" si="164"/>
        <v>#DIV/0!</v>
      </c>
      <c r="CS43" s="407">
        <f t="shared" si="109"/>
        <v>15</v>
      </c>
      <c r="CT43" s="408">
        <f t="shared" si="110"/>
        <v>1</v>
      </c>
      <c r="CU43" s="279"/>
      <c r="CV43" s="277">
        <v>15</v>
      </c>
      <c r="CW43" s="278">
        <v>1</v>
      </c>
      <c r="CY43" s="411"/>
      <c r="CZ43" s="230"/>
      <c r="DD43" s="414"/>
      <c r="DE43" s="407">
        <v>0</v>
      </c>
      <c r="DF43" s="259">
        <v>1</v>
      </c>
      <c r="DG43" s="414">
        <f t="shared" si="41"/>
        <v>0</v>
      </c>
      <c r="DH43" s="407">
        <f t="shared" si="42"/>
        <v>0</v>
      </c>
      <c r="DI43" s="259">
        <f t="shared" si="111"/>
        <v>1</v>
      </c>
      <c r="DJ43" s="414">
        <f t="shared" si="44"/>
        <v>0</v>
      </c>
      <c r="DK43" s="407">
        <f t="shared" si="45"/>
        <v>0</v>
      </c>
      <c r="DL43" s="259">
        <f t="shared" si="112"/>
        <v>1</v>
      </c>
      <c r="DM43" s="414">
        <f t="shared" si="47"/>
        <v>0</v>
      </c>
      <c r="DN43" s="407">
        <f t="shared" si="113"/>
        <v>0</v>
      </c>
      <c r="DO43" s="259">
        <f t="shared" si="114"/>
        <v>1</v>
      </c>
      <c r="DP43" s="414">
        <f t="shared" si="50"/>
        <v>0</v>
      </c>
      <c r="DQ43" s="407">
        <f t="shared" si="115"/>
        <v>0</v>
      </c>
      <c r="DR43" s="259">
        <f t="shared" si="116"/>
        <v>1</v>
      </c>
      <c r="DS43" s="414">
        <f t="shared" si="53"/>
        <v>0</v>
      </c>
      <c r="DT43" s="407">
        <f t="shared" si="117"/>
        <v>0</v>
      </c>
      <c r="DU43" s="259">
        <f t="shared" si="118"/>
        <v>1</v>
      </c>
      <c r="DV43" s="414">
        <f t="shared" si="56"/>
        <v>0</v>
      </c>
      <c r="DW43" s="407">
        <f t="shared" si="119"/>
        <v>0</v>
      </c>
      <c r="DX43" s="259">
        <f t="shared" si="120"/>
        <v>1</v>
      </c>
      <c r="DY43" s="414">
        <f t="shared" si="59"/>
        <v>0</v>
      </c>
      <c r="DZ43" s="407">
        <f t="shared" si="121"/>
        <v>0</v>
      </c>
      <c r="EA43" s="259">
        <f t="shared" si="122"/>
        <v>1</v>
      </c>
      <c r="EB43" s="414">
        <f t="shared" si="62"/>
        <v>0</v>
      </c>
      <c r="EC43" s="407">
        <f t="shared" si="123"/>
        <v>0</v>
      </c>
      <c r="ED43" s="259">
        <f t="shared" si="124"/>
        <v>1</v>
      </c>
      <c r="EE43" s="414">
        <f t="shared" si="65"/>
        <v>0</v>
      </c>
      <c r="EF43" s="407">
        <f t="shared" si="125"/>
        <v>0</v>
      </c>
      <c r="EG43" s="259">
        <f t="shared" si="126"/>
        <v>1</v>
      </c>
      <c r="EH43" s="414">
        <f t="shared" si="68"/>
        <v>0</v>
      </c>
      <c r="EI43" s="407">
        <f t="shared" si="69"/>
        <v>0</v>
      </c>
      <c r="EJ43" s="259">
        <f t="shared" si="70"/>
        <v>2</v>
      </c>
      <c r="EK43" s="414">
        <f t="shared" si="71"/>
        <v>0</v>
      </c>
      <c r="EL43" s="407">
        <f t="shared" si="72"/>
        <v>0</v>
      </c>
      <c r="EM43" s="259">
        <f t="shared" si="73"/>
        <v>4</v>
      </c>
      <c r="EN43" s="414">
        <f t="shared" si="74"/>
        <v>0</v>
      </c>
      <c r="EO43" s="407">
        <f t="shared" si="75"/>
        <v>0</v>
      </c>
      <c r="EP43" s="259">
        <f t="shared" si="76"/>
        <v>6</v>
      </c>
      <c r="EQ43" s="414">
        <f t="shared" si="77"/>
        <v>0</v>
      </c>
      <c r="ER43" s="407">
        <f t="shared" si="78"/>
        <v>0</v>
      </c>
      <c r="ES43" s="259">
        <f t="shared" si="79"/>
        <v>8</v>
      </c>
      <c r="ET43" s="414">
        <f t="shared" si="80"/>
        <v>0</v>
      </c>
      <c r="EU43" s="407">
        <f t="shared" si="81"/>
        <v>0</v>
      </c>
      <c r="EV43" s="259">
        <f t="shared" si="82"/>
        <v>10</v>
      </c>
      <c r="EW43" s="414">
        <f t="shared" si="83"/>
        <v>0</v>
      </c>
      <c r="EX43" s="407">
        <f t="shared" si="84"/>
        <v>0</v>
      </c>
      <c r="EY43" s="259">
        <f t="shared" si="85"/>
        <v>20</v>
      </c>
      <c r="EZ43" s="414">
        <f t="shared" si="86"/>
        <v>0</v>
      </c>
      <c r="FA43" s="407">
        <f t="shared" si="87"/>
        <v>0</v>
      </c>
      <c r="FB43" s="259">
        <f t="shared" si="88"/>
        <v>40</v>
      </c>
      <c r="FC43" s="414">
        <f t="shared" si="89"/>
        <v>0</v>
      </c>
      <c r="FD43" s="407">
        <f t="shared" si="90"/>
        <v>0</v>
      </c>
      <c r="FE43" s="259">
        <f t="shared" si="91"/>
        <v>60</v>
      </c>
      <c r="FF43" s="414">
        <f t="shared" si="92"/>
        <v>0</v>
      </c>
      <c r="FG43" s="407">
        <f t="shared" si="93"/>
        <v>0</v>
      </c>
      <c r="FH43" s="259">
        <f t="shared" si="94"/>
        <v>80</v>
      </c>
      <c r="FI43" s="414">
        <f t="shared" si="95"/>
        <v>0</v>
      </c>
      <c r="FJ43" s="407">
        <f t="shared" si="96"/>
        <v>0</v>
      </c>
      <c r="FK43" s="259">
        <f t="shared" si="97"/>
        <v>100</v>
      </c>
      <c r="FL43" s="414">
        <f t="shared" si="98"/>
        <v>0</v>
      </c>
      <c r="FP43" s="421">
        <f t="shared" si="153"/>
        <v>0</v>
      </c>
      <c r="FQ43" s="421">
        <f t="shared" si="153"/>
        <v>0</v>
      </c>
      <c r="FR43" s="421">
        <f t="shared" si="153"/>
        <v>0</v>
      </c>
      <c r="FS43" s="421">
        <f t="shared" si="153"/>
        <v>2.0833333333333333E-3</v>
      </c>
      <c r="FT43" s="421">
        <f t="shared" si="153"/>
        <v>2.6041666666666665E-3</v>
      </c>
      <c r="FU43" s="421">
        <f t="shared" si="153"/>
        <v>5.208333333333333E-3</v>
      </c>
      <c r="FV43" s="421">
        <f t="shared" si="153"/>
        <v>1.0416666666666666E-2</v>
      </c>
      <c r="FW43" s="421">
        <f t="shared" si="153"/>
        <v>1.5625E-2</v>
      </c>
      <c r="FX43" s="421">
        <f t="shared" si="153"/>
        <v>2.0833333333333332E-2</v>
      </c>
      <c r="FY43" s="421">
        <f t="shared" si="153"/>
        <v>2.6041666666666668E-2</v>
      </c>
      <c r="FZ43" s="421">
        <f t="shared" si="154"/>
        <v>5.2083333333333336E-2</v>
      </c>
      <c r="GA43" s="421">
        <f t="shared" si="154"/>
        <v>0.10416666666666667</v>
      </c>
      <c r="GB43" s="421">
        <f t="shared" si="154"/>
        <v>0.140625</v>
      </c>
      <c r="GC43" s="421">
        <f t="shared" si="154"/>
        <v>0.16666666666666666</v>
      </c>
      <c r="GD43" s="421">
        <f t="shared" si="154"/>
        <v>0.20833333333333334</v>
      </c>
      <c r="GE43" s="421">
        <f t="shared" si="154"/>
        <v>0.26041666666666669</v>
      </c>
      <c r="GF43" s="421">
        <f t="shared" si="154"/>
        <v>0.52083333333333337</v>
      </c>
      <c r="GG43" s="421">
        <f t="shared" si="154"/>
        <v>0.78125</v>
      </c>
      <c r="GH43" s="421">
        <f t="shared" si="154"/>
        <v>1.0416666666666667</v>
      </c>
      <c r="GI43" s="421">
        <f t="shared" si="154"/>
        <v>1.0416666666666667</v>
      </c>
    </row>
    <row r="44" spans="1:191" x14ac:dyDescent="0.35">
      <c r="A44" s="63">
        <v>40</v>
      </c>
      <c r="B44" s="242" t="s">
        <v>1461</v>
      </c>
      <c r="C44" s="63">
        <v>6</v>
      </c>
      <c r="D44" s="63">
        <v>7</v>
      </c>
      <c r="E44" s="63">
        <v>400</v>
      </c>
      <c r="F44" s="63"/>
      <c r="G44" s="63">
        <f t="shared" si="101"/>
        <v>400</v>
      </c>
      <c r="H44" s="63"/>
      <c r="I44" s="63">
        <f t="shared" si="166"/>
        <v>0</v>
      </c>
      <c r="J44" s="63">
        <f t="shared" si="167"/>
        <v>0</v>
      </c>
      <c r="K44" s="63">
        <v>0</v>
      </c>
      <c r="L44" s="254">
        <f>ROUND($BK$7/('全局参数|GlobalPar'!$B$18/10000/E44),6)*(7/5)</f>
        <v>0.27777819999999998</v>
      </c>
      <c r="M44" s="255">
        <v>10</v>
      </c>
      <c r="N44" s="256">
        <f>ROUND(IF(M44&lt;&gt;0,$BK$4/('全局参数|GlobalPar'!$B$18/10000/E44)/M44,0),6)</f>
        <v>0</v>
      </c>
      <c r="O44" s="259">
        <f t="shared" si="141"/>
        <v>0.08</v>
      </c>
      <c r="P44" s="260">
        <f t="shared" si="151"/>
        <v>0</v>
      </c>
      <c r="Q44" s="277">
        <v>15</v>
      </c>
      <c r="R44" s="278">
        <v>1</v>
      </c>
      <c r="S44" s="279" t="str">
        <f t="shared" si="21"/>
        <v>[[0,1],[0,1],[0,1],[0,1],[0,1],[0,1],[0,1],[0,1],[0,1],[0,1],[0,2],[0,4],[0,6],[0,8],[0,10],[0,20],[0,40],[0,60],[0,80],[0,100]]</v>
      </c>
      <c r="T44" s="63">
        <v>0</v>
      </c>
      <c r="U44" s="256">
        <v>0.32</v>
      </c>
      <c r="V44" s="280">
        <f t="shared" si="156"/>
        <v>0</v>
      </c>
      <c r="W44" s="280">
        <v>0.06</v>
      </c>
      <c r="X44" s="280">
        <f t="shared" si="102"/>
        <v>0.1</v>
      </c>
      <c r="Y44" s="304">
        <f t="shared" si="127"/>
        <v>0.05</v>
      </c>
      <c r="Z44" s="63" t="str">
        <f t="shared" si="103"/>
        <v>[[10,5],[12,2],[15,2]]</v>
      </c>
      <c r="AA44" s="305" t="str">
        <f t="shared" si="104"/>
        <v>[0.461538,0.230769,0.153846]</v>
      </c>
      <c r="AB44" s="305">
        <v>1.5</v>
      </c>
      <c r="AC44" s="305">
        <v>1</v>
      </c>
      <c r="AD44" s="306">
        <v>12</v>
      </c>
      <c r="AE44" s="63">
        <v>8</v>
      </c>
      <c r="AF44" s="63">
        <v>0</v>
      </c>
      <c r="AG44" s="39">
        <v>3</v>
      </c>
      <c r="AH44" s="39">
        <v>6</v>
      </c>
      <c r="AI44" s="39">
        <v>1</v>
      </c>
      <c r="AJ44" s="63">
        <v>1</v>
      </c>
      <c r="AK44" s="63">
        <v>1</v>
      </c>
      <c r="AL44" s="63">
        <v>1</v>
      </c>
      <c r="AM44" s="63">
        <v>1</v>
      </c>
      <c r="AN44" s="63" t="s">
        <v>1443</v>
      </c>
      <c r="AO44" s="39">
        <v>1</v>
      </c>
      <c r="AP44" s="39">
        <v>1</v>
      </c>
      <c r="AQ44" s="310">
        <v>1</v>
      </c>
      <c r="AR44" s="39">
        <v>600</v>
      </c>
      <c r="AS44" s="39">
        <v>0.18</v>
      </c>
      <c r="AT44" s="39">
        <v>0.4</v>
      </c>
      <c r="AU44" s="39">
        <v>1</v>
      </c>
      <c r="AV44" s="39" t="s">
        <v>1452</v>
      </c>
      <c r="AW44" s="317" t="s">
        <v>1462</v>
      </c>
      <c r="AX44" s="317" t="s">
        <v>1463</v>
      </c>
      <c r="AY44" s="320" t="s">
        <v>346</v>
      </c>
      <c r="AZ44" s="316" t="s">
        <v>403</v>
      </c>
      <c r="BA44" s="78">
        <f t="shared" si="142"/>
        <v>40</v>
      </c>
      <c r="BB44" s="318">
        <f t="shared" si="157"/>
        <v>3.75</v>
      </c>
      <c r="BC44" s="78" t="s">
        <v>1317</v>
      </c>
      <c r="BD44" s="78">
        <f t="shared" si="143"/>
        <v>0.746</v>
      </c>
      <c r="BE44" s="78"/>
      <c r="BF44" s="63">
        <f t="shared" si="158"/>
        <v>400</v>
      </c>
      <c r="BG44" s="63">
        <f>E44*(1+$BN$1)+I44+J44</f>
        <v>424</v>
      </c>
      <c r="BI44" s="63">
        <f t="shared" si="159"/>
        <v>0</v>
      </c>
      <c r="BT44" s="344">
        <f t="shared" si="160"/>
        <v>440.00000000000006</v>
      </c>
      <c r="BU44" s="353">
        <f t="shared" si="128"/>
        <v>0.1</v>
      </c>
      <c r="BV44" s="354">
        <v>10</v>
      </c>
      <c r="BW44" s="133">
        <v>5</v>
      </c>
      <c r="BX44" s="354">
        <v>12</v>
      </c>
      <c r="BY44" s="133">
        <v>2</v>
      </c>
      <c r="BZ44" s="354">
        <v>15</v>
      </c>
      <c r="CA44" s="133">
        <v>2</v>
      </c>
      <c r="CB44" s="133">
        <f t="shared" si="106"/>
        <v>11.555555555555555</v>
      </c>
      <c r="CC44" s="133">
        <f t="shared" si="165"/>
        <v>7.5</v>
      </c>
      <c r="CD44" s="358">
        <f t="shared" si="133"/>
        <v>0.461538</v>
      </c>
      <c r="CE44" s="133">
        <f t="shared" si="165"/>
        <v>15</v>
      </c>
      <c r="CF44" s="359">
        <f t="shared" si="134"/>
        <v>0.230769</v>
      </c>
      <c r="CG44" s="133">
        <f t="shared" si="165"/>
        <v>22.5</v>
      </c>
      <c r="CH44" s="360">
        <f t="shared" si="135"/>
        <v>0.15384600000000001</v>
      </c>
      <c r="CJ44" s="229">
        <v>2E-3</v>
      </c>
      <c r="CK44" s="387">
        <f t="shared" si="129"/>
        <v>0</v>
      </c>
      <c r="CL44" s="259">
        <f t="shared" si="161"/>
        <v>0</v>
      </c>
      <c r="CM44" s="383">
        <f t="shared" si="162"/>
        <v>0</v>
      </c>
      <c r="CN44" s="383">
        <f t="shared" si="37"/>
        <v>0</v>
      </c>
      <c r="CO44" s="384">
        <f t="shared" si="108"/>
        <v>0</v>
      </c>
      <c r="CP44" s="385">
        <f t="shared" si="163"/>
        <v>0</v>
      </c>
      <c r="CQ44" s="383">
        <f t="shared" si="39"/>
        <v>0</v>
      </c>
      <c r="CR44" s="386" t="e">
        <f t="shared" si="164"/>
        <v>#DIV/0!</v>
      </c>
      <c r="CS44" s="407">
        <f t="shared" si="109"/>
        <v>15</v>
      </c>
      <c r="CT44" s="408">
        <f t="shared" si="110"/>
        <v>1</v>
      </c>
      <c r="CU44" s="279"/>
      <c r="CV44" s="277">
        <v>15</v>
      </c>
      <c r="CW44" s="278">
        <v>1</v>
      </c>
      <c r="CY44" s="411"/>
      <c r="CZ44" s="230"/>
      <c r="DD44" s="414"/>
      <c r="DE44" s="407">
        <v>0</v>
      </c>
      <c r="DF44" s="259">
        <v>1</v>
      </c>
      <c r="DG44" s="414">
        <f t="shared" si="41"/>
        <v>0</v>
      </c>
      <c r="DH44" s="407">
        <f t="shared" si="42"/>
        <v>0</v>
      </c>
      <c r="DI44" s="259">
        <f t="shared" si="111"/>
        <v>1</v>
      </c>
      <c r="DJ44" s="414">
        <f t="shared" si="44"/>
        <v>0</v>
      </c>
      <c r="DK44" s="407">
        <f t="shared" si="45"/>
        <v>0</v>
      </c>
      <c r="DL44" s="259">
        <f t="shared" si="112"/>
        <v>1</v>
      </c>
      <c r="DM44" s="414">
        <f t="shared" si="47"/>
        <v>0</v>
      </c>
      <c r="DN44" s="407">
        <f t="shared" si="113"/>
        <v>0</v>
      </c>
      <c r="DO44" s="259">
        <f t="shared" si="114"/>
        <v>1</v>
      </c>
      <c r="DP44" s="414">
        <f t="shared" si="50"/>
        <v>0</v>
      </c>
      <c r="DQ44" s="407">
        <f t="shared" si="115"/>
        <v>0</v>
      </c>
      <c r="DR44" s="259">
        <f t="shared" si="116"/>
        <v>1</v>
      </c>
      <c r="DS44" s="414">
        <f t="shared" si="53"/>
        <v>0</v>
      </c>
      <c r="DT44" s="407">
        <f t="shared" si="117"/>
        <v>0</v>
      </c>
      <c r="DU44" s="259">
        <f t="shared" si="118"/>
        <v>1</v>
      </c>
      <c r="DV44" s="414">
        <f t="shared" si="56"/>
        <v>0</v>
      </c>
      <c r="DW44" s="407">
        <f t="shared" si="119"/>
        <v>0</v>
      </c>
      <c r="DX44" s="259">
        <f t="shared" si="120"/>
        <v>1</v>
      </c>
      <c r="DY44" s="414">
        <f t="shared" si="59"/>
        <v>0</v>
      </c>
      <c r="DZ44" s="407">
        <f t="shared" si="121"/>
        <v>0</v>
      </c>
      <c r="EA44" s="259">
        <f t="shared" si="122"/>
        <v>1</v>
      </c>
      <c r="EB44" s="414">
        <f t="shared" si="62"/>
        <v>0</v>
      </c>
      <c r="EC44" s="407">
        <f t="shared" si="123"/>
        <v>0</v>
      </c>
      <c r="ED44" s="259">
        <f t="shared" si="124"/>
        <v>1</v>
      </c>
      <c r="EE44" s="414">
        <f t="shared" si="65"/>
        <v>0</v>
      </c>
      <c r="EF44" s="407">
        <f t="shared" si="125"/>
        <v>0</v>
      </c>
      <c r="EG44" s="259">
        <f t="shared" si="126"/>
        <v>1</v>
      </c>
      <c r="EH44" s="414">
        <f t="shared" si="68"/>
        <v>0</v>
      </c>
      <c r="EI44" s="407">
        <f t="shared" si="69"/>
        <v>0</v>
      </c>
      <c r="EJ44" s="259">
        <f t="shared" si="70"/>
        <v>2</v>
      </c>
      <c r="EK44" s="414">
        <f t="shared" si="71"/>
        <v>0</v>
      </c>
      <c r="EL44" s="407">
        <f t="shared" si="72"/>
        <v>0</v>
      </c>
      <c r="EM44" s="259">
        <f t="shared" si="73"/>
        <v>4</v>
      </c>
      <c r="EN44" s="414">
        <f t="shared" si="74"/>
        <v>0</v>
      </c>
      <c r="EO44" s="407">
        <f t="shared" si="75"/>
        <v>0</v>
      </c>
      <c r="EP44" s="259">
        <f t="shared" si="76"/>
        <v>6</v>
      </c>
      <c r="EQ44" s="414">
        <f t="shared" si="77"/>
        <v>0</v>
      </c>
      <c r="ER44" s="407">
        <f t="shared" si="78"/>
        <v>0</v>
      </c>
      <c r="ES44" s="259">
        <f t="shared" si="79"/>
        <v>8</v>
      </c>
      <c r="ET44" s="414">
        <f t="shared" si="80"/>
        <v>0</v>
      </c>
      <c r="EU44" s="407">
        <f t="shared" si="81"/>
        <v>0</v>
      </c>
      <c r="EV44" s="259">
        <f t="shared" si="82"/>
        <v>10</v>
      </c>
      <c r="EW44" s="414">
        <f t="shared" si="83"/>
        <v>0</v>
      </c>
      <c r="EX44" s="407">
        <f t="shared" si="84"/>
        <v>0</v>
      </c>
      <c r="EY44" s="259">
        <f t="shared" si="85"/>
        <v>20</v>
      </c>
      <c r="EZ44" s="414">
        <f t="shared" si="86"/>
        <v>0</v>
      </c>
      <c r="FA44" s="407">
        <f t="shared" si="87"/>
        <v>0</v>
      </c>
      <c r="FB44" s="259">
        <f t="shared" si="88"/>
        <v>40</v>
      </c>
      <c r="FC44" s="414">
        <f t="shared" si="89"/>
        <v>0</v>
      </c>
      <c r="FD44" s="407">
        <f t="shared" si="90"/>
        <v>0</v>
      </c>
      <c r="FE44" s="259">
        <f t="shared" si="91"/>
        <v>60</v>
      </c>
      <c r="FF44" s="414">
        <f t="shared" si="92"/>
        <v>0</v>
      </c>
      <c r="FG44" s="407">
        <f t="shared" si="93"/>
        <v>0</v>
      </c>
      <c r="FH44" s="259">
        <f t="shared" si="94"/>
        <v>80</v>
      </c>
      <c r="FI44" s="414">
        <f t="shared" si="95"/>
        <v>0</v>
      </c>
      <c r="FJ44" s="407">
        <f t="shared" si="96"/>
        <v>0</v>
      </c>
      <c r="FK44" s="259">
        <f t="shared" si="97"/>
        <v>100</v>
      </c>
      <c r="FL44" s="414">
        <f t="shared" si="98"/>
        <v>0</v>
      </c>
      <c r="FP44" s="421">
        <f t="shared" si="153"/>
        <v>0</v>
      </c>
      <c r="FQ44" s="421">
        <f t="shared" si="153"/>
        <v>0</v>
      </c>
      <c r="FR44" s="421">
        <f t="shared" si="153"/>
        <v>0</v>
      </c>
      <c r="FS44" s="421">
        <f t="shared" si="153"/>
        <v>1.6666666666666668E-3</v>
      </c>
      <c r="FT44" s="421">
        <f t="shared" si="153"/>
        <v>2.0833333333333333E-3</v>
      </c>
      <c r="FU44" s="421">
        <f t="shared" si="153"/>
        <v>4.1666666666666666E-3</v>
      </c>
      <c r="FV44" s="421">
        <f t="shared" si="153"/>
        <v>8.3333333333333332E-3</v>
      </c>
      <c r="FW44" s="421">
        <f t="shared" si="153"/>
        <v>1.2500000000000001E-2</v>
      </c>
      <c r="FX44" s="421">
        <f t="shared" si="153"/>
        <v>1.6666666666666666E-2</v>
      </c>
      <c r="FY44" s="421">
        <f t="shared" si="153"/>
        <v>2.0833333333333332E-2</v>
      </c>
      <c r="FZ44" s="421">
        <f t="shared" si="154"/>
        <v>4.1666666666666664E-2</v>
      </c>
      <c r="GA44" s="421">
        <f t="shared" si="154"/>
        <v>8.3333333333333329E-2</v>
      </c>
      <c r="GB44" s="421">
        <f t="shared" si="154"/>
        <v>0.1125</v>
      </c>
      <c r="GC44" s="421">
        <f t="shared" si="154"/>
        <v>0.13333333333333333</v>
      </c>
      <c r="GD44" s="421">
        <f t="shared" si="154"/>
        <v>0.16666666666666666</v>
      </c>
      <c r="GE44" s="421">
        <f t="shared" si="154"/>
        <v>0.20833333333333334</v>
      </c>
      <c r="GF44" s="421">
        <f t="shared" si="154"/>
        <v>0.41666666666666669</v>
      </c>
      <c r="GG44" s="421">
        <f t="shared" si="154"/>
        <v>0.625</v>
      </c>
      <c r="GH44" s="421">
        <f t="shared" si="154"/>
        <v>0.83333333333333337</v>
      </c>
      <c r="GI44" s="421">
        <f t="shared" si="154"/>
        <v>0.83333333333333337</v>
      </c>
    </row>
    <row r="45" spans="1:191" ht="16.2" x14ac:dyDescent="0.4">
      <c r="A45" s="63">
        <v>41</v>
      </c>
      <c r="B45" s="242" t="s">
        <v>1464</v>
      </c>
      <c r="C45" s="63">
        <v>6</v>
      </c>
      <c r="D45" s="63">
        <v>6</v>
      </c>
      <c r="E45" s="63">
        <v>800</v>
      </c>
      <c r="F45" s="63"/>
      <c r="G45" s="63">
        <f t="shared" si="101"/>
        <v>800</v>
      </c>
      <c r="H45" s="63"/>
      <c r="I45" s="63">
        <f t="shared" si="166"/>
        <v>0</v>
      </c>
      <c r="J45" s="63">
        <f t="shared" si="167"/>
        <v>0</v>
      </c>
      <c r="K45" s="63">
        <v>0</v>
      </c>
      <c r="L45" s="254">
        <f>ROUND($BK$7/('全局参数|GlobalPar'!$B$18/10000/E45),6)*(7/5)</f>
        <v>0.55555499999999991</v>
      </c>
      <c r="M45" s="255">
        <v>10</v>
      </c>
      <c r="N45" s="256">
        <f>ROUND(IF(M45&lt;&gt;0,$BK$4/('全局参数|GlobalPar'!$B$18/10000/E45)/M45,0),6)</f>
        <v>0</v>
      </c>
      <c r="O45" s="259">
        <f t="shared" si="141"/>
        <v>0.16</v>
      </c>
      <c r="P45" s="260">
        <f t="shared" si="151"/>
        <v>0</v>
      </c>
      <c r="Q45" s="277">
        <v>15</v>
      </c>
      <c r="R45" s="278">
        <v>1</v>
      </c>
      <c r="S45" s="279" t="str">
        <f t="shared" si="21"/>
        <v>[[0,1],[0,1],[0,1],[0,1],[0,1],[0,1],[0,1],[0,1],[0,1],[0,1],[0,2],[0,4],[0,6],[0,8],[0,10],[0,20],[0,40],[0,60],[0,80],[0,100]]</v>
      </c>
      <c r="T45" s="63">
        <v>0</v>
      </c>
      <c r="U45" s="281">
        <v>0.3</v>
      </c>
      <c r="V45" s="280">
        <f t="shared" si="156"/>
        <v>0</v>
      </c>
      <c r="W45" s="280">
        <v>0.06</v>
      </c>
      <c r="X45" s="280">
        <f t="shared" si="102"/>
        <v>0.1</v>
      </c>
      <c r="Y45" s="304">
        <f t="shared" si="127"/>
        <v>0.05</v>
      </c>
      <c r="Z45" s="63" t="str">
        <f t="shared" si="103"/>
        <v>[[10,5],[12,2],[15,2]]</v>
      </c>
      <c r="AA45" s="305" t="str">
        <f t="shared" si="104"/>
        <v>[0.923077,0.461538,0.307692]</v>
      </c>
      <c r="AB45" s="305">
        <v>2</v>
      </c>
      <c r="AC45" s="305">
        <v>1</v>
      </c>
      <c r="AD45" s="306">
        <v>12</v>
      </c>
      <c r="AE45" s="63">
        <v>9</v>
      </c>
      <c r="AF45" s="63">
        <v>1</v>
      </c>
      <c r="AG45" s="39">
        <v>3</v>
      </c>
      <c r="AH45" s="39">
        <v>6</v>
      </c>
      <c r="AI45" s="39">
        <v>0</v>
      </c>
      <c r="AJ45" s="63">
        <v>1</v>
      </c>
      <c r="AK45" s="63">
        <v>1</v>
      </c>
      <c r="AL45" s="63">
        <v>1</v>
      </c>
      <c r="AM45" s="63">
        <v>1</v>
      </c>
      <c r="AN45" s="63" t="s">
        <v>1465</v>
      </c>
      <c r="AO45" s="39"/>
      <c r="AP45" s="39"/>
      <c r="AQ45" s="310">
        <v>1</v>
      </c>
      <c r="AR45" s="39">
        <v>800</v>
      </c>
      <c r="AS45" s="39">
        <v>0.18</v>
      </c>
      <c r="AT45" s="311">
        <v>0.5</v>
      </c>
      <c r="AU45" s="39">
        <v>1</v>
      </c>
      <c r="AV45" s="39" t="s">
        <v>1452</v>
      </c>
      <c r="AW45" s="317" t="s">
        <v>1466</v>
      </c>
      <c r="AX45" s="317" t="s">
        <v>1467</v>
      </c>
      <c r="AY45" s="316" t="s">
        <v>518</v>
      </c>
      <c r="AZ45" s="316" t="s">
        <v>403</v>
      </c>
      <c r="BA45" s="78">
        <f t="shared" si="142"/>
        <v>80</v>
      </c>
      <c r="BB45" s="318">
        <f t="shared" si="157"/>
        <v>1.875</v>
      </c>
      <c r="BC45" s="78" t="s">
        <v>1317</v>
      </c>
      <c r="BD45" s="78">
        <f t="shared" si="143"/>
        <v>1</v>
      </c>
      <c r="BE45" s="78"/>
      <c r="BF45" s="63">
        <f t="shared" si="158"/>
        <v>800</v>
      </c>
      <c r="BG45" s="255">
        <f t="shared" ref="BG45:BG50" si="168">IF(O45=0,BF45,BF45*(1+$BN$1))</f>
        <v>848</v>
      </c>
      <c r="BI45" s="63">
        <f t="shared" si="159"/>
        <v>0</v>
      </c>
      <c r="BT45" s="344">
        <f t="shared" si="160"/>
        <v>880.00000000000011</v>
      </c>
      <c r="BU45" s="353">
        <f t="shared" si="128"/>
        <v>0.1</v>
      </c>
      <c r="BV45" s="354">
        <v>10</v>
      </c>
      <c r="BW45" s="133">
        <v>5</v>
      </c>
      <c r="BX45" s="354">
        <v>12</v>
      </c>
      <c r="BY45" s="133">
        <v>2</v>
      </c>
      <c r="BZ45" s="354">
        <v>15</v>
      </c>
      <c r="CA45" s="133">
        <v>2</v>
      </c>
      <c r="CB45" s="133">
        <f t="shared" si="106"/>
        <v>11.555555555555555</v>
      </c>
      <c r="CC45" s="133">
        <f t="shared" si="165"/>
        <v>7.5</v>
      </c>
      <c r="CD45" s="358">
        <f t="shared" si="133"/>
        <v>0.92307700000000004</v>
      </c>
      <c r="CE45" s="133">
        <f t="shared" si="165"/>
        <v>15</v>
      </c>
      <c r="CF45" s="359">
        <f t="shared" si="134"/>
        <v>0.461538</v>
      </c>
      <c r="CG45" s="133">
        <f t="shared" si="165"/>
        <v>22.5</v>
      </c>
      <c r="CH45" s="360">
        <f t="shared" si="135"/>
        <v>0.30769200000000002</v>
      </c>
      <c r="CJ45" s="229">
        <v>0</v>
      </c>
      <c r="CK45" s="387">
        <v>0</v>
      </c>
      <c r="CL45" s="259">
        <f t="shared" si="161"/>
        <v>0</v>
      </c>
      <c r="CM45" s="383">
        <f t="shared" si="162"/>
        <v>0</v>
      </c>
      <c r="CN45" s="383">
        <f t="shared" si="37"/>
        <v>0</v>
      </c>
      <c r="CO45" s="384">
        <f t="shared" si="108"/>
        <v>0</v>
      </c>
      <c r="CP45" s="385">
        <f t="shared" si="163"/>
        <v>0</v>
      </c>
      <c r="CQ45" s="383">
        <f t="shared" si="39"/>
        <v>0</v>
      </c>
      <c r="CR45" s="386" t="e">
        <f t="shared" si="164"/>
        <v>#DIV/0!</v>
      </c>
      <c r="CS45" s="407">
        <f t="shared" si="109"/>
        <v>15</v>
      </c>
      <c r="CT45" s="408">
        <f t="shared" si="110"/>
        <v>1</v>
      </c>
      <c r="CU45" s="279"/>
      <c r="CV45" s="277">
        <v>15</v>
      </c>
      <c r="CW45" s="278">
        <v>1</v>
      </c>
      <c r="CY45" s="411"/>
      <c r="CZ45" s="230"/>
      <c r="DD45" s="414"/>
      <c r="DE45" s="407">
        <v>0</v>
      </c>
      <c r="DF45" s="259">
        <v>1</v>
      </c>
      <c r="DG45" s="414">
        <f t="shared" si="41"/>
        <v>0</v>
      </c>
      <c r="DH45" s="407">
        <f t="shared" si="42"/>
        <v>0</v>
      </c>
      <c r="DI45" s="259">
        <f t="shared" si="111"/>
        <v>1</v>
      </c>
      <c r="DJ45" s="414">
        <f t="shared" si="44"/>
        <v>0</v>
      </c>
      <c r="DK45" s="407">
        <f t="shared" si="45"/>
        <v>0</v>
      </c>
      <c r="DL45" s="259">
        <f t="shared" si="112"/>
        <v>1</v>
      </c>
      <c r="DM45" s="414">
        <f t="shared" si="47"/>
        <v>0</v>
      </c>
      <c r="DN45" s="407">
        <f t="shared" si="113"/>
        <v>0</v>
      </c>
      <c r="DO45" s="259">
        <f t="shared" si="114"/>
        <v>1</v>
      </c>
      <c r="DP45" s="414">
        <f t="shared" si="50"/>
        <v>0</v>
      </c>
      <c r="DQ45" s="407">
        <f t="shared" si="115"/>
        <v>0</v>
      </c>
      <c r="DR45" s="259">
        <f t="shared" si="116"/>
        <v>1</v>
      </c>
      <c r="DS45" s="414">
        <f t="shared" si="53"/>
        <v>0</v>
      </c>
      <c r="DT45" s="407">
        <f t="shared" si="117"/>
        <v>0</v>
      </c>
      <c r="DU45" s="259">
        <f t="shared" si="118"/>
        <v>1</v>
      </c>
      <c r="DV45" s="414">
        <f t="shared" si="56"/>
        <v>0</v>
      </c>
      <c r="DW45" s="407">
        <f t="shared" si="119"/>
        <v>0</v>
      </c>
      <c r="DX45" s="259">
        <f t="shared" si="120"/>
        <v>1</v>
      </c>
      <c r="DY45" s="414">
        <f t="shared" si="59"/>
        <v>0</v>
      </c>
      <c r="DZ45" s="407">
        <f t="shared" si="121"/>
        <v>0</v>
      </c>
      <c r="EA45" s="259">
        <f t="shared" si="122"/>
        <v>1</v>
      </c>
      <c r="EB45" s="414">
        <f t="shared" si="62"/>
        <v>0</v>
      </c>
      <c r="EC45" s="407">
        <f t="shared" si="123"/>
        <v>0</v>
      </c>
      <c r="ED45" s="259">
        <f t="shared" si="124"/>
        <v>1</v>
      </c>
      <c r="EE45" s="414">
        <f t="shared" si="65"/>
        <v>0</v>
      </c>
      <c r="EF45" s="407">
        <f t="shared" si="125"/>
        <v>0</v>
      </c>
      <c r="EG45" s="259">
        <f t="shared" si="126"/>
        <v>1</v>
      </c>
      <c r="EH45" s="414">
        <f t="shared" si="68"/>
        <v>0</v>
      </c>
      <c r="EI45" s="407">
        <f t="shared" si="69"/>
        <v>0</v>
      </c>
      <c r="EJ45" s="259">
        <f t="shared" si="70"/>
        <v>2</v>
      </c>
      <c r="EK45" s="414">
        <f t="shared" si="71"/>
        <v>0</v>
      </c>
      <c r="EL45" s="407">
        <f t="shared" si="72"/>
        <v>0</v>
      </c>
      <c r="EM45" s="259">
        <f t="shared" si="73"/>
        <v>4</v>
      </c>
      <c r="EN45" s="414">
        <f t="shared" si="74"/>
        <v>0</v>
      </c>
      <c r="EO45" s="407">
        <f t="shared" si="75"/>
        <v>0</v>
      </c>
      <c r="EP45" s="259">
        <f t="shared" si="76"/>
        <v>6</v>
      </c>
      <c r="EQ45" s="414">
        <f t="shared" si="77"/>
        <v>0</v>
      </c>
      <c r="ER45" s="407">
        <f t="shared" si="78"/>
        <v>0</v>
      </c>
      <c r="ES45" s="259">
        <f t="shared" si="79"/>
        <v>8</v>
      </c>
      <c r="ET45" s="414">
        <f t="shared" si="80"/>
        <v>0</v>
      </c>
      <c r="EU45" s="407">
        <f t="shared" si="81"/>
        <v>0</v>
      </c>
      <c r="EV45" s="259">
        <f t="shared" si="82"/>
        <v>10</v>
      </c>
      <c r="EW45" s="414">
        <f t="shared" si="83"/>
        <v>0</v>
      </c>
      <c r="EX45" s="407">
        <f t="shared" si="84"/>
        <v>0</v>
      </c>
      <c r="EY45" s="259">
        <f t="shared" si="85"/>
        <v>20</v>
      </c>
      <c r="EZ45" s="414">
        <f t="shared" si="86"/>
        <v>0</v>
      </c>
      <c r="FA45" s="407">
        <f t="shared" si="87"/>
        <v>0</v>
      </c>
      <c r="FB45" s="259">
        <f t="shared" si="88"/>
        <v>40</v>
      </c>
      <c r="FC45" s="414">
        <f t="shared" si="89"/>
        <v>0</v>
      </c>
      <c r="FD45" s="407">
        <f t="shared" si="90"/>
        <v>0</v>
      </c>
      <c r="FE45" s="259">
        <f t="shared" si="91"/>
        <v>60</v>
      </c>
      <c r="FF45" s="414">
        <f t="shared" si="92"/>
        <v>0</v>
      </c>
      <c r="FG45" s="407">
        <f t="shared" si="93"/>
        <v>0</v>
      </c>
      <c r="FH45" s="259">
        <f t="shared" si="94"/>
        <v>80</v>
      </c>
      <c r="FI45" s="414">
        <f t="shared" si="95"/>
        <v>0</v>
      </c>
      <c r="FJ45" s="407">
        <f t="shared" si="96"/>
        <v>0</v>
      </c>
      <c r="FK45" s="259">
        <f t="shared" si="97"/>
        <v>100</v>
      </c>
      <c r="FL45" s="414">
        <f t="shared" si="98"/>
        <v>0</v>
      </c>
      <c r="FP45" s="421">
        <f t="shared" ref="FP45:FY54" si="169">$Y45*FP$4/10000*$E45*FP$3/$FX$1</f>
        <v>0</v>
      </c>
      <c r="FQ45" s="421">
        <f t="shared" si="169"/>
        <v>0</v>
      </c>
      <c r="FR45" s="421">
        <f t="shared" si="169"/>
        <v>0</v>
      </c>
      <c r="FS45" s="421">
        <f t="shared" si="169"/>
        <v>3.3333333333333335E-3</v>
      </c>
      <c r="FT45" s="421">
        <f t="shared" si="169"/>
        <v>4.1666666666666666E-3</v>
      </c>
      <c r="FU45" s="421">
        <f t="shared" si="169"/>
        <v>8.3333333333333332E-3</v>
      </c>
      <c r="FV45" s="421">
        <f t="shared" si="169"/>
        <v>1.6666666666666666E-2</v>
      </c>
      <c r="FW45" s="421">
        <f t="shared" si="169"/>
        <v>2.5000000000000001E-2</v>
      </c>
      <c r="FX45" s="421">
        <f t="shared" si="169"/>
        <v>3.3333333333333333E-2</v>
      </c>
      <c r="FY45" s="421">
        <f t="shared" si="169"/>
        <v>4.1666666666666664E-2</v>
      </c>
      <c r="FZ45" s="421">
        <f t="shared" ref="FZ45:GI54" si="170">$Y45*FZ$4/10000*$E45*FZ$3/$FX$1</f>
        <v>8.3333333333333329E-2</v>
      </c>
      <c r="GA45" s="421">
        <f t="shared" si="170"/>
        <v>0.16666666666666666</v>
      </c>
      <c r="GB45" s="421">
        <f t="shared" si="170"/>
        <v>0.22500000000000001</v>
      </c>
      <c r="GC45" s="421">
        <f t="shared" si="170"/>
        <v>0.26666666666666666</v>
      </c>
      <c r="GD45" s="421">
        <f t="shared" si="170"/>
        <v>0.33333333333333331</v>
      </c>
      <c r="GE45" s="421">
        <f t="shared" si="170"/>
        <v>0.41666666666666669</v>
      </c>
      <c r="GF45" s="421">
        <f t="shared" si="170"/>
        <v>0.83333333333333337</v>
      </c>
      <c r="GG45" s="421">
        <f t="shared" si="170"/>
        <v>1.25</v>
      </c>
      <c r="GH45" s="421">
        <f t="shared" si="170"/>
        <v>1.6666666666666667</v>
      </c>
      <c r="GI45" s="421">
        <f t="shared" si="170"/>
        <v>1.6666666666666667</v>
      </c>
    </row>
    <row r="46" spans="1:191" ht="16.2" x14ac:dyDescent="0.4">
      <c r="A46" s="63">
        <v>42</v>
      </c>
      <c r="B46" s="242" t="s">
        <v>1468</v>
      </c>
      <c r="C46" s="63">
        <v>6</v>
      </c>
      <c r="D46" s="63">
        <v>5</v>
      </c>
      <c r="E46" s="63">
        <v>600</v>
      </c>
      <c r="F46" s="63"/>
      <c r="G46" s="63">
        <f t="shared" si="101"/>
        <v>600</v>
      </c>
      <c r="H46" s="63"/>
      <c r="I46" s="63">
        <f t="shared" si="166"/>
        <v>0</v>
      </c>
      <c r="J46" s="63">
        <f t="shared" si="167"/>
        <v>0</v>
      </c>
      <c r="K46" s="63">
        <v>0</v>
      </c>
      <c r="L46" s="254">
        <f>ROUND($BK$7/('全局参数|GlobalPar'!$B$18/10000/E46),6)*(7/5)</f>
        <v>0.4166666</v>
      </c>
      <c r="M46" s="255">
        <v>15</v>
      </c>
      <c r="N46" s="256">
        <f>ROUND(IF(M46&lt;&gt;0,$BK$4/('全局参数|GlobalPar'!$B$18/10000/E46)/M46,0),6)</f>
        <v>0</v>
      </c>
      <c r="O46" s="259">
        <f t="shared" si="141"/>
        <v>0</v>
      </c>
      <c r="P46" s="260">
        <f t="shared" si="151"/>
        <v>0</v>
      </c>
      <c r="Q46" s="277">
        <v>15</v>
      </c>
      <c r="R46" s="278">
        <v>1</v>
      </c>
      <c r="S46" s="279" t="str">
        <f t="shared" si="21"/>
        <v>[[0,1],[0,1],[0,1],[0,1],[0,1],[0,1],[0,1],[0,1],[0,1],[0,1],[0,2],[0,4],[0,6],[0,8],[0,10],[0,20],[0,40],[0,60],[0,80],[0,100]]</v>
      </c>
      <c r="T46" s="63">
        <v>0</v>
      </c>
      <c r="U46" s="281">
        <v>0.4</v>
      </c>
      <c r="V46" s="280">
        <f t="shared" si="156"/>
        <v>0</v>
      </c>
      <c r="W46" s="280">
        <v>0</v>
      </c>
      <c r="X46" s="280">
        <f t="shared" si="102"/>
        <v>0</v>
      </c>
      <c r="Y46" s="304">
        <v>0</v>
      </c>
      <c r="Z46" s="63" t="str">
        <f t="shared" si="103"/>
        <v>[[12,5],[14,2],[16,2]]</v>
      </c>
      <c r="AA46" s="305" t="str">
        <f t="shared" si="104"/>
        <v>[0,0,0]</v>
      </c>
      <c r="AB46" s="305">
        <v>2</v>
      </c>
      <c r="AC46" s="305">
        <v>1</v>
      </c>
      <c r="AD46" s="306">
        <v>12</v>
      </c>
      <c r="AE46" s="63">
        <v>10</v>
      </c>
      <c r="AF46" s="63">
        <v>0</v>
      </c>
      <c r="AG46" s="39">
        <v>3</v>
      </c>
      <c r="AH46" s="39">
        <v>6</v>
      </c>
      <c r="AI46" s="39">
        <v>0</v>
      </c>
      <c r="AJ46" s="63">
        <v>1.4</v>
      </c>
      <c r="AK46" s="63">
        <v>1</v>
      </c>
      <c r="AL46" s="63">
        <v>1</v>
      </c>
      <c r="AM46" s="63">
        <v>1</v>
      </c>
      <c r="AN46" s="63" t="s">
        <v>1459</v>
      </c>
      <c r="AO46" s="39">
        <v>2</v>
      </c>
      <c r="AP46" s="39">
        <v>1</v>
      </c>
      <c r="AQ46" s="310">
        <v>1</v>
      </c>
      <c r="AR46" s="39">
        <v>1000</v>
      </c>
      <c r="AS46" s="39">
        <v>0.18</v>
      </c>
      <c r="AT46" s="39">
        <v>0.8</v>
      </c>
      <c r="AU46" s="39">
        <v>1</v>
      </c>
      <c r="AV46" s="39" t="s">
        <v>1452</v>
      </c>
      <c r="AW46" s="317" t="s">
        <v>1469</v>
      </c>
      <c r="AX46" s="317" t="s">
        <v>1470</v>
      </c>
      <c r="AY46" s="320" t="s">
        <v>377</v>
      </c>
      <c r="AZ46" s="316" t="s">
        <v>403</v>
      </c>
      <c r="BA46" s="78">
        <f t="shared" si="142"/>
        <v>60</v>
      </c>
      <c r="BB46" s="318">
        <f t="shared" si="157"/>
        <v>2.5</v>
      </c>
      <c r="BC46" s="78" t="s">
        <v>1317</v>
      </c>
      <c r="BD46" s="78">
        <f t="shared" si="143"/>
        <v>1.0449999999999999</v>
      </c>
      <c r="BE46" s="78"/>
      <c r="BF46" s="63">
        <f t="shared" si="158"/>
        <v>600</v>
      </c>
      <c r="BG46" s="63">
        <f t="shared" si="168"/>
        <v>600</v>
      </c>
      <c r="BI46" s="63">
        <f t="shared" si="159"/>
        <v>0</v>
      </c>
      <c r="BT46" s="344">
        <f t="shared" si="160"/>
        <v>660</v>
      </c>
      <c r="BU46" s="355">
        <v>0</v>
      </c>
      <c r="BV46" s="354">
        <v>12</v>
      </c>
      <c r="BW46" s="133">
        <v>5</v>
      </c>
      <c r="BX46" s="354">
        <v>14</v>
      </c>
      <c r="BY46" s="133">
        <v>2</v>
      </c>
      <c r="BZ46" s="354">
        <v>16</v>
      </c>
      <c r="CA46" s="133">
        <v>2</v>
      </c>
      <c r="CB46" s="133">
        <f t="shared" si="106"/>
        <v>13.333333333333334</v>
      </c>
      <c r="CC46" s="133">
        <f t="shared" si="165"/>
        <v>7.5</v>
      </c>
      <c r="CD46" s="358">
        <f t="shared" si="133"/>
        <v>0</v>
      </c>
      <c r="CE46" s="133">
        <f t="shared" si="165"/>
        <v>15</v>
      </c>
      <c r="CF46" s="359">
        <f t="shared" si="134"/>
        <v>0</v>
      </c>
      <c r="CG46" s="133">
        <f t="shared" si="165"/>
        <v>22.5</v>
      </c>
      <c r="CH46" s="360">
        <f t="shared" si="135"/>
        <v>0</v>
      </c>
      <c r="CJ46" s="229">
        <v>2E-3</v>
      </c>
      <c r="CK46" s="387">
        <f>CK5</f>
        <v>0</v>
      </c>
      <c r="CL46" s="259">
        <f t="shared" si="161"/>
        <v>0</v>
      </c>
      <c r="CM46" s="383">
        <f t="shared" si="162"/>
        <v>0</v>
      </c>
      <c r="CN46" s="383">
        <f t="shared" si="37"/>
        <v>0</v>
      </c>
      <c r="CO46" s="384">
        <f t="shared" si="108"/>
        <v>0</v>
      </c>
      <c r="CP46" s="385">
        <f t="shared" si="163"/>
        <v>0</v>
      </c>
      <c r="CQ46" s="383">
        <f t="shared" si="39"/>
        <v>0</v>
      </c>
      <c r="CR46" s="386" t="e">
        <f t="shared" si="164"/>
        <v>#DIV/0!</v>
      </c>
      <c r="CS46" s="407">
        <f t="shared" si="109"/>
        <v>15</v>
      </c>
      <c r="CT46" s="408">
        <f t="shared" si="110"/>
        <v>1</v>
      </c>
      <c r="CU46" s="279"/>
      <c r="CV46" s="277">
        <v>15</v>
      </c>
      <c r="CW46" s="278">
        <v>1</v>
      </c>
      <c r="CY46" s="411"/>
      <c r="CZ46" s="230"/>
      <c r="DD46" s="414"/>
      <c r="DE46" s="407">
        <v>0</v>
      </c>
      <c r="DF46" s="259">
        <v>1</v>
      </c>
      <c r="DG46" s="414">
        <f t="shared" si="41"/>
        <v>0</v>
      </c>
      <c r="DH46" s="407">
        <f t="shared" si="42"/>
        <v>0</v>
      </c>
      <c r="DI46" s="259">
        <f t="shared" si="111"/>
        <v>1</v>
      </c>
      <c r="DJ46" s="414">
        <f t="shared" si="44"/>
        <v>0</v>
      </c>
      <c r="DK46" s="407">
        <f t="shared" si="45"/>
        <v>0</v>
      </c>
      <c r="DL46" s="259">
        <f t="shared" si="112"/>
        <v>1</v>
      </c>
      <c r="DM46" s="414">
        <f t="shared" si="47"/>
        <v>0</v>
      </c>
      <c r="DN46" s="407">
        <f t="shared" si="113"/>
        <v>0</v>
      </c>
      <c r="DO46" s="259">
        <f t="shared" si="114"/>
        <v>1</v>
      </c>
      <c r="DP46" s="414">
        <f t="shared" si="50"/>
        <v>0</v>
      </c>
      <c r="DQ46" s="407">
        <f t="shared" si="115"/>
        <v>0</v>
      </c>
      <c r="DR46" s="259">
        <f t="shared" si="116"/>
        <v>1</v>
      </c>
      <c r="DS46" s="414">
        <f t="shared" si="53"/>
        <v>0</v>
      </c>
      <c r="DT46" s="407">
        <f t="shared" si="117"/>
        <v>0</v>
      </c>
      <c r="DU46" s="259">
        <f t="shared" si="118"/>
        <v>1</v>
      </c>
      <c r="DV46" s="414">
        <f t="shared" si="56"/>
        <v>0</v>
      </c>
      <c r="DW46" s="407">
        <f t="shared" si="119"/>
        <v>0</v>
      </c>
      <c r="DX46" s="259">
        <f t="shared" si="120"/>
        <v>1</v>
      </c>
      <c r="DY46" s="414">
        <f t="shared" si="59"/>
        <v>0</v>
      </c>
      <c r="DZ46" s="407">
        <f t="shared" si="121"/>
        <v>0</v>
      </c>
      <c r="EA46" s="259">
        <f t="shared" si="122"/>
        <v>1</v>
      </c>
      <c r="EB46" s="414">
        <f t="shared" si="62"/>
        <v>0</v>
      </c>
      <c r="EC46" s="407">
        <f t="shared" si="123"/>
        <v>0</v>
      </c>
      <c r="ED46" s="259">
        <f t="shared" si="124"/>
        <v>1</v>
      </c>
      <c r="EE46" s="414">
        <f t="shared" si="65"/>
        <v>0</v>
      </c>
      <c r="EF46" s="407">
        <f t="shared" si="125"/>
        <v>0</v>
      </c>
      <c r="EG46" s="259">
        <f t="shared" si="126"/>
        <v>1</v>
      </c>
      <c r="EH46" s="414">
        <f t="shared" si="68"/>
        <v>0</v>
      </c>
      <c r="EI46" s="407">
        <f t="shared" ref="EI46:FJ61" si="171">$EF46*EI$4/$EF$4</f>
        <v>0</v>
      </c>
      <c r="EJ46" s="259">
        <f t="shared" si="70"/>
        <v>2</v>
      </c>
      <c r="EK46" s="414">
        <f t="shared" si="71"/>
        <v>0</v>
      </c>
      <c r="EL46" s="407">
        <f t="shared" si="171"/>
        <v>0</v>
      </c>
      <c r="EM46" s="259">
        <f t="shared" si="73"/>
        <v>4</v>
      </c>
      <c r="EN46" s="414">
        <f t="shared" si="74"/>
        <v>0</v>
      </c>
      <c r="EO46" s="407">
        <f t="shared" si="171"/>
        <v>0</v>
      </c>
      <c r="EP46" s="259">
        <f t="shared" si="76"/>
        <v>6</v>
      </c>
      <c r="EQ46" s="414">
        <f t="shared" si="77"/>
        <v>0</v>
      </c>
      <c r="ER46" s="407">
        <f t="shared" si="171"/>
        <v>0</v>
      </c>
      <c r="ES46" s="259">
        <f t="shared" si="79"/>
        <v>8</v>
      </c>
      <c r="ET46" s="414">
        <f t="shared" si="80"/>
        <v>0</v>
      </c>
      <c r="EU46" s="407">
        <f t="shared" si="171"/>
        <v>0</v>
      </c>
      <c r="EV46" s="259">
        <f t="shared" si="82"/>
        <v>10</v>
      </c>
      <c r="EW46" s="414">
        <f t="shared" si="83"/>
        <v>0</v>
      </c>
      <c r="EX46" s="407">
        <f t="shared" si="171"/>
        <v>0</v>
      </c>
      <c r="EY46" s="259">
        <f t="shared" si="85"/>
        <v>20</v>
      </c>
      <c r="EZ46" s="414">
        <f t="shared" si="86"/>
        <v>0</v>
      </c>
      <c r="FA46" s="407">
        <f t="shared" si="171"/>
        <v>0</v>
      </c>
      <c r="FB46" s="259">
        <f t="shared" si="88"/>
        <v>40</v>
      </c>
      <c r="FC46" s="414">
        <f t="shared" si="89"/>
        <v>0</v>
      </c>
      <c r="FD46" s="407">
        <f t="shared" si="171"/>
        <v>0</v>
      </c>
      <c r="FE46" s="259">
        <f t="shared" si="91"/>
        <v>60</v>
      </c>
      <c r="FF46" s="414">
        <f t="shared" si="92"/>
        <v>0</v>
      </c>
      <c r="FG46" s="407">
        <f t="shared" si="171"/>
        <v>0</v>
      </c>
      <c r="FH46" s="259">
        <f t="shared" si="94"/>
        <v>80</v>
      </c>
      <c r="FI46" s="414">
        <f t="shared" si="95"/>
        <v>0</v>
      </c>
      <c r="FJ46" s="407">
        <f t="shared" si="171"/>
        <v>0</v>
      </c>
      <c r="FK46" s="259">
        <f t="shared" si="97"/>
        <v>100</v>
      </c>
      <c r="FL46" s="414">
        <f t="shared" si="98"/>
        <v>0</v>
      </c>
      <c r="FP46" s="421">
        <f t="shared" si="169"/>
        <v>0</v>
      </c>
      <c r="FQ46" s="421">
        <f t="shared" si="169"/>
        <v>0</v>
      </c>
      <c r="FR46" s="421">
        <f t="shared" si="169"/>
        <v>0</v>
      </c>
      <c r="FS46" s="421">
        <f t="shared" si="169"/>
        <v>0</v>
      </c>
      <c r="FT46" s="421">
        <f t="shared" si="169"/>
        <v>0</v>
      </c>
      <c r="FU46" s="421">
        <f t="shared" si="169"/>
        <v>0</v>
      </c>
      <c r="FV46" s="421">
        <f t="shared" si="169"/>
        <v>0</v>
      </c>
      <c r="FW46" s="421">
        <f t="shared" si="169"/>
        <v>0</v>
      </c>
      <c r="FX46" s="421">
        <f t="shared" si="169"/>
        <v>0</v>
      </c>
      <c r="FY46" s="421">
        <f t="shared" si="169"/>
        <v>0</v>
      </c>
      <c r="FZ46" s="421">
        <f t="shared" si="170"/>
        <v>0</v>
      </c>
      <c r="GA46" s="421">
        <f t="shared" si="170"/>
        <v>0</v>
      </c>
      <c r="GB46" s="421">
        <f t="shared" si="170"/>
        <v>0</v>
      </c>
      <c r="GC46" s="421">
        <f t="shared" si="170"/>
        <v>0</v>
      </c>
      <c r="GD46" s="421">
        <f t="shared" si="170"/>
        <v>0</v>
      </c>
      <c r="GE46" s="421">
        <f t="shared" si="170"/>
        <v>0</v>
      </c>
      <c r="GF46" s="421">
        <f t="shared" si="170"/>
        <v>0</v>
      </c>
      <c r="GG46" s="421">
        <f t="shared" si="170"/>
        <v>0</v>
      </c>
      <c r="GH46" s="421">
        <f t="shared" si="170"/>
        <v>0</v>
      </c>
      <c r="GI46" s="421">
        <f t="shared" si="170"/>
        <v>0</v>
      </c>
    </row>
    <row r="47" spans="1:191" ht="16.2" x14ac:dyDescent="0.4">
      <c r="A47" s="63">
        <v>43</v>
      </c>
      <c r="B47" s="229" t="s">
        <v>1051</v>
      </c>
      <c r="C47" s="63">
        <v>6</v>
      </c>
      <c r="D47" s="63">
        <v>8</v>
      </c>
      <c r="E47" s="71">
        <v>1000</v>
      </c>
      <c r="F47" s="63"/>
      <c r="G47" s="63">
        <f t="shared" si="101"/>
        <v>1000</v>
      </c>
      <c r="H47" s="63"/>
      <c r="I47" s="63">
        <f t="shared" si="166"/>
        <v>0</v>
      </c>
      <c r="J47" s="63">
        <f t="shared" si="167"/>
        <v>0</v>
      </c>
      <c r="K47" s="63">
        <v>0</v>
      </c>
      <c r="L47" s="254">
        <f>ROUND($BK$7/('全局参数|GlobalPar'!$B$18/10000/E47),6)*(7/5)</f>
        <v>0.69444479999999997</v>
      </c>
      <c r="M47" s="255">
        <v>15</v>
      </c>
      <c r="N47" s="256">
        <f>ROUND(IF(M47&lt;&gt;0,$BK$4/('全局参数|GlobalPar'!$B$18/10000/E47)/M47,0),6)</f>
        <v>0</v>
      </c>
      <c r="O47" s="259">
        <f t="shared" si="141"/>
        <v>0</v>
      </c>
      <c r="P47" s="260">
        <f t="shared" si="151"/>
        <v>0</v>
      </c>
      <c r="Q47" s="277">
        <v>15</v>
      </c>
      <c r="R47" s="278">
        <v>1</v>
      </c>
      <c r="S47" s="279" t="str">
        <f t="shared" si="21"/>
        <v>[[0,1],[0,1],[0,1],[0,1],[0,1],[0,1],[0,1],[0,1],[0,1],[0,1],[0,2],[0,4],[0,6],[0,8],[0,10],[0,20],[0,40],[0,60],[0,80],[0,100]]</v>
      </c>
      <c r="T47" s="63">
        <v>0</v>
      </c>
      <c r="U47" s="281">
        <v>0</v>
      </c>
      <c r="V47" s="280">
        <f t="shared" si="156"/>
        <v>0</v>
      </c>
      <c r="W47" s="280">
        <v>0</v>
      </c>
      <c r="X47" s="280">
        <v>0</v>
      </c>
      <c r="Y47" s="304">
        <v>0</v>
      </c>
      <c r="Z47" s="63" t="str">
        <f t="shared" si="103"/>
        <v>[[12,5],[14,2],[16,2]]</v>
      </c>
      <c r="AA47" s="305" t="str">
        <f t="shared" si="104"/>
        <v>[0,0,0]</v>
      </c>
      <c r="AB47" s="305">
        <v>2</v>
      </c>
      <c r="AC47" s="305">
        <v>1</v>
      </c>
      <c r="AD47" s="306">
        <v>12</v>
      </c>
      <c r="AE47" s="63">
        <v>10</v>
      </c>
      <c r="AF47" s="63">
        <v>1</v>
      </c>
      <c r="AG47" s="39">
        <v>3</v>
      </c>
      <c r="AH47" s="39">
        <v>6</v>
      </c>
      <c r="AI47" s="39">
        <v>0</v>
      </c>
      <c r="AJ47" s="63">
        <v>1.5</v>
      </c>
      <c r="AK47" s="63">
        <v>1</v>
      </c>
      <c r="AL47" s="63">
        <v>1</v>
      </c>
      <c r="AM47" s="63">
        <v>1</v>
      </c>
      <c r="AN47" s="246" t="s">
        <v>1443</v>
      </c>
      <c r="AO47" s="39" t="s">
        <v>1471</v>
      </c>
      <c r="AP47" s="39" t="s">
        <v>1472</v>
      </c>
      <c r="AQ47" s="310">
        <v>1</v>
      </c>
      <c r="AR47" s="39">
        <v>1000</v>
      </c>
      <c r="AS47" s="39">
        <v>0.18</v>
      </c>
      <c r="AT47" s="311">
        <v>0.3</v>
      </c>
      <c r="AU47" s="39">
        <v>1</v>
      </c>
      <c r="AV47" s="39" t="s">
        <v>1452</v>
      </c>
      <c r="AW47" s="317" t="s">
        <v>1473</v>
      </c>
      <c r="AX47" s="317" t="s">
        <v>1474</v>
      </c>
      <c r="AY47" s="316" t="s">
        <v>258</v>
      </c>
      <c r="AZ47" s="316" t="s">
        <v>248</v>
      </c>
      <c r="BA47" s="78">
        <f t="shared" si="142"/>
        <v>100</v>
      </c>
      <c r="BB47" s="318">
        <f t="shared" si="157"/>
        <v>1.5</v>
      </c>
      <c r="BC47" s="78" t="s">
        <v>1317</v>
      </c>
      <c r="BD47" s="78">
        <f t="shared" si="143"/>
        <v>1.5</v>
      </c>
      <c r="BE47" s="78"/>
      <c r="BF47" s="63">
        <f t="shared" si="158"/>
        <v>1000</v>
      </c>
      <c r="BG47" s="63">
        <f t="shared" si="168"/>
        <v>1000</v>
      </c>
      <c r="BI47" s="63">
        <f t="shared" si="159"/>
        <v>0</v>
      </c>
      <c r="BT47" s="344">
        <f t="shared" si="160"/>
        <v>1100</v>
      </c>
      <c r="BU47" s="355">
        <v>0</v>
      </c>
      <c r="BV47" s="354">
        <v>12</v>
      </c>
      <c r="BW47" s="133">
        <v>5</v>
      </c>
      <c r="BX47" s="354">
        <v>14</v>
      </c>
      <c r="BY47" s="133">
        <v>2</v>
      </c>
      <c r="BZ47" s="354">
        <v>16</v>
      </c>
      <c r="CA47" s="133">
        <v>2</v>
      </c>
      <c r="CB47" s="133">
        <f t="shared" si="106"/>
        <v>13.333333333333334</v>
      </c>
      <c r="CC47" s="133">
        <f t="shared" si="165"/>
        <v>7.5</v>
      </c>
      <c r="CD47" s="358">
        <f t="shared" si="133"/>
        <v>0</v>
      </c>
      <c r="CE47" s="133">
        <f t="shared" si="165"/>
        <v>15</v>
      </c>
      <c r="CF47" s="359">
        <f t="shared" si="134"/>
        <v>0</v>
      </c>
      <c r="CG47" s="133">
        <f t="shared" si="165"/>
        <v>22.5</v>
      </c>
      <c r="CH47" s="360">
        <f t="shared" si="135"/>
        <v>0</v>
      </c>
      <c r="CJ47" s="229">
        <v>0</v>
      </c>
      <c r="CK47" s="387">
        <v>0</v>
      </c>
      <c r="CL47" s="259">
        <f t="shared" si="161"/>
        <v>0</v>
      </c>
      <c r="CM47" s="383">
        <f t="shared" si="162"/>
        <v>0</v>
      </c>
      <c r="CN47" s="383">
        <f t="shared" si="37"/>
        <v>0</v>
      </c>
      <c r="CO47" s="384">
        <f t="shared" si="108"/>
        <v>0</v>
      </c>
      <c r="CP47" s="385">
        <f t="shared" si="163"/>
        <v>0</v>
      </c>
      <c r="CQ47" s="383">
        <f t="shared" si="39"/>
        <v>0</v>
      </c>
      <c r="CR47" s="386" t="e">
        <f t="shared" si="164"/>
        <v>#DIV/0!</v>
      </c>
      <c r="CS47" s="407">
        <f t="shared" si="109"/>
        <v>15</v>
      </c>
      <c r="CT47" s="408">
        <f t="shared" si="110"/>
        <v>1</v>
      </c>
      <c r="CU47" s="279"/>
      <c r="CV47" s="277">
        <v>15</v>
      </c>
      <c r="CW47" s="278">
        <v>1</v>
      </c>
      <c r="CY47" s="411"/>
      <c r="CZ47" s="230"/>
      <c r="DD47" s="414"/>
      <c r="DE47" s="407">
        <v>0</v>
      </c>
      <c r="DF47" s="259">
        <v>1</v>
      </c>
      <c r="DG47" s="414">
        <f t="shared" si="41"/>
        <v>0</v>
      </c>
      <c r="DH47" s="407">
        <f t="shared" si="42"/>
        <v>0</v>
      </c>
      <c r="DI47" s="259">
        <f t="shared" si="111"/>
        <v>1</v>
      </c>
      <c r="DJ47" s="414">
        <f t="shared" si="44"/>
        <v>0</v>
      </c>
      <c r="DK47" s="407">
        <f t="shared" si="45"/>
        <v>0</v>
      </c>
      <c r="DL47" s="259">
        <f t="shared" si="112"/>
        <v>1</v>
      </c>
      <c r="DM47" s="414">
        <f t="shared" si="47"/>
        <v>0</v>
      </c>
      <c r="DN47" s="407">
        <f t="shared" si="113"/>
        <v>0</v>
      </c>
      <c r="DO47" s="259">
        <f t="shared" si="114"/>
        <v>1</v>
      </c>
      <c r="DP47" s="414">
        <f t="shared" si="50"/>
        <v>0</v>
      </c>
      <c r="DQ47" s="407">
        <f t="shared" si="115"/>
        <v>0</v>
      </c>
      <c r="DR47" s="259">
        <f t="shared" si="116"/>
        <v>1</v>
      </c>
      <c r="DS47" s="414">
        <f t="shared" si="53"/>
        <v>0</v>
      </c>
      <c r="DT47" s="407">
        <f t="shared" si="117"/>
        <v>0</v>
      </c>
      <c r="DU47" s="259">
        <f t="shared" si="118"/>
        <v>1</v>
      </c>
      <c r="DV47" s="414">
        <f t="shared" si="56"/>
        <v>0</v>
      </c>
      <c r="DW47" s="407">
        <f t="shared" si="119"/>
        <v>0</v>
      </c>
      <c r="DX47" s="259">
        <f t="shared" si="120"/>
        <v>1</v>
      </c>
      <c r="DY47" s="414">
        <f t="shared" si="59"/>
        <v>0</v>
      </c>
      <c r="DZ47" s="407">
        <f t="shared" si="121"/>
        <v>0</v>
      </c>
      <c r="EA47" s="259">
        <f t="shared" si="122"/>
        <v>1</v>
      </c>
      <c r="EB47" s="414">
        <f t="shared" si="62"/>
        <v>0</v>
      </c>
      <c r="EC47" s="407">
        <f t="shared" si="123"/>
        <v>0</v>
      </c>
      <c r="ED47" s="259">
        <f t="shared" si="124"/>
        <v>1</v>
      </c>
      <c r="EE47" s="414">
        <f t="shared" si="65"/>
        <v>0</v>
      </c>
      <c r="EF47" s="407">
        <f t="shared" si="125"/>
        <v>0</v>
      </c>
      <c r="EG47" s="259">
        <f t="shared" si="126"/>
        <v>1</v>
      </c>
      <c r="EH47" s="414">
        <f t="shared" si="68"/>
        <v>0</v>
      </c>
      <c r="EI47" s="407">
        <f t="shared" si="171"/>
        <v>0</v>
      </c>
      <c r="EJ47" s="259">
        <f t="shared" si="70"/>
        <v>2</v>
      </c>
      <c r="EK47" s="414">
        <f t="shared" si="71"/>
        <v>0</v>
      </c>
      <c r="EL47" s="407">
        <f t="shared" si="171"/>
        <v>0</v>
      </c>
      <c r="EM47" s="259">
        <f t="shared" si="73"/>
        <v>4</v>
      </c>
      <c r="EN47" s="414">
        <f t="shared" si="74"/>
        <v>0</v>
      </c>
      <c r="EO47" s="407">
        <f t="shared" si="171"/>
        <v>0</v>
      </c>
      <c r="EP47" s="259">
        <f t="shared" si="76"/>
        <v>6</v>
      </c>
      <c r="EQ47" s="414">
        <f t="shared" si="77"/>
        <v>0</v>
      </c>
      <c r="ER47" s="407">
        <f t="shared" si="171"/>
        <v>0</v>
      </c>
      <c r="ES47" s="259">
        <f t="shared" si="79"/>
        <v>8</v>
      </c>
      <c r="ET47" s="414">
        <f t="shared" si="80"/>
        <v>0</v>
      </c>
      <c r="EU47" s="407">
        <f t="shared" si="171"/>
        <v>0</v>
      </c>
      <c r="EV47" s="259">
        <f t="shared" si="82"/>
        <v>10</v>
      </c>
      <c r="EW47" s="414">
        <f t="shared" si="83"/>
        <v>0</v>
      </c>
      <c r="EX47" s="407">
        <f t="shared" si="171"/>
        <v>0</v>
      </c>
      <c r="EY47" s="259">
        <f t="shared" si="85"/>
        <v>20</v>
      </c>
      <c r="EZ47" s="414">
        <f t="shared" si="86"/>
        <v>0</v>
      </c>
      <c r="FA47" s="407">
        <f t="shared" si="171"/>
        <v>0</v>
      </c>
      <c r="FB47" s="259">
        <f t="shared" si="88"/>
        <v>40</v>
      </c>
      <c r="FC47" s="414">
        <f t="shared" si="89"/>
        <v>0</v>
      </c>
      <c r="FD47" s="407">
        <f t="shared" si="171"/>
        <v>0</v>
      </c>
      <c r="FE47" s="259">
        <f t="shared" si="91"/>
        <v>60</v>
      </c>
      <c r="FF47" s="414">
        <f t="shared" si="92"/>
        <v>0</v>
      </c>
      <c r="FG47" s="407">
        <f t="shared" si="171"/>
        <v>0</v>
      </c>
      <c r="FH47" s="259">
        <f t="shared" si="94"/>
        <v>80</v>
      </c>
      <c r="FI47" s="414">
        <f t="shared" si="95"/>
        <v>0</v>
      </c>
      <c r="FJ47" s="407">
        <f t="shared" si="171"/>
        <v>0</v>
      </c>
      <c r="FK47" s="259">
        <f t="shared" si="97"/>
        <v>100</v>
      </c>
      <c r="FL47" s="414">
        <f t="shared" si="98"/>
        <v>0</v>
      </c>
      <c r="FP47" s="421">
        <f t="shared" si="169"/>
        <v>0</v>
      </c>
      <c r="FQ47" s="421">
        <f t="shared" si="169"/>
        <v>0</v>
      </c>
      <c r="FR47" s="421">
        <f t="shared" si="169"/>
        <v>0</v>
      </c>
      <c r="FS47" s="421">
        <f t="shared" si="169"/>
        <v>0</v>
      </c>
      <c r="FT47" s="421">
        <f t="shared" si="169"/>
        <v>0</v>
      </c>
      <c r="FU47" s="421">
        <f t="shared" si="169"/>
        <v>0</v>
      </c>
      <c r="FV47" s="421">
        <f t="shared" si="169"/>
        <v>0</v>
      </c>
      <c r="FW47" s="421">
        <f t="shared" si="169"/>
        <v>0</v>
      </c>
      <c r="FX47" s="421">
        <f t="shared" si="169"/>
        <v>0</v>
      </c>
      <c r="FY47" s="421">
        <f t="shared" si="169"/>
        <v>0</v>
      </c>
      <c r="FZ47" s="421">
        <f t="shared" si="170"/>
        <v>0</v>
      </c>
      <c r="GA47" s="421">
        <f t="shared" si="170"/>
        <v>0</v>
      </c>
      <c r="GB47" s="421">
        <f t="shared" si="170"/>
        <v>0</v>
      </c>
      <c r="GC47" s="421">
        <f t="shared" si="170"/>
        <v>0</v>
      </c>
      <c r="GD47" s="421">
        <f t="shared" si="170"/>
        <v>0</v>
      </c>
      <c r="GE47" s="421">
        <f t="shared" si="170"/>
        <v>0</v>
      </c>
      <c r="GF47" s="421">
        <f t="shared" si="170"/>
        <v>0</v>
      </c>
      <c r="GG47" s="421">
        <f t="shared" si="170"/>
        <v>0</v>
      </c>
      <c r="GH47" s="421">
        <f t="shared" si="170"/>
        <v>0</v>
      </c>
      <c r="GI47" s="421">
        <f t="shared" si="170"/>
        <v>0</v>
      </c>
    </row>
    <row r="48" spans="1:191" x14ac:dyDescent="0.35">
      <c r="A48" s="63">
        <v>44</v>
      </c>
      <c r="B48" s="242" t="s">
        <v>1475</v>
      </c>
      <c r="C48" s="245">
        <v>5</v>
      </c>
      <c r="D48" s="63">
        <v>2</v>
      </c>
      <c r="E48" s="63">
        <v>200</v>
      </c>
      <c r="F48" s="63"/>
      <c r="G48" s="63">
        <f t="shared" si="101"/>
        <v>200</v>
      </c>
      <c r="H48" s="246"/>
      <c r="I48" s="63">
        <f t="shared" si="166"/>
        <v>0</v>
      </c>
      <c r="J48" s="63">
        <f t="shared" si="167"/>
        <v>0</v>
      </c>
      <c r="K48" s="63">
        <v>0</v>
      </c>
      <c r="L48" s="63">
        <f>ROUND($BK$7/('全局参数|GlobalPar'!$B$18/10000/BF48),6)*0</f>
        <v>0</v>
      </c>
      <c r="M48" s="255">
        <v>0</v>
      </c>
      <c r="N48" s="256">
        <f>ROUND(IF(M48&lt;&gt;0,$BK$4/('全局参数|GlobalPar'!$B$18/10000/E48)/M48,0),6)</f>
        <v>0</v>
      </c>
      <c r="O48" s="259">
        <f t="shared" si="141"/>
        <v>0</v>
      </c>
      <c r="P48" s="260">
        <f t="shared" si="151"/>
        <v>0</v>
      </c>
      <c r="Q48" s="277">
        <v>12</v>
      </c>
      <c r="R48" s="278">
        <v>1</v>
      </c>
      <c r="S48" s="279" t="str">
        <f t="shared" si="21"/>
        <v>[[0,1],[0,1],[0,1],[0,1],[0,1],[0,1],[0,1],[0,1],[0,1],[0,1],[0,2],[0,4],[0,6],[0,8],[0,10],[0,20],[0,40],[0,60],[0,80],[0,100]]</v>
      </c>
      <c r="T48" s="63">
        <v>0</v>
      </c>
      <c r="U48" s="256">
        <v>0</v>
      </c>
      <c r="V48" s="284">
        <f t="shared" si="156"/>
        <v>0</v>
      </c>
      <c r="W48" s="285">
        <v>0</v>
      </c>
      <c r="X48" s="286">
        <v>0</v>
      </c>
      <c r="Y48" s="304">
        <v>0</v>
      </c>
      <c r="Z48" s="63" t="str">
        <f t="shared" si="103"/>
        <v>[[8,5],[9,2],[10,2]]</v>
      </c>
      <c r="AA48" s="305" t="str">
        <f t="shared" si="104"/>
        <v>[0.307692,0.153846,0.102564]</v>
      </c>
      <c r="AB48" s="305">
        <v>1</v>
      </c>
      <c r="AC48" s="305">
        <v>1</v>
      </c>
      <c r="AD48" s="306">
        <v>11</v>
      </c>
      <c r="AE48" s="71">
        <v>3</v>
      </c>
      <c r="AF48" s="63">
        <v>0</v>
      </c>
      <c r="AG48" s="39">
        <v>2</v>
      </c>
      <c r="AH48" s="39">
        <v>4</v>
      </c>
      <c r="AI48" s="39">
        <v>0</v>
      </c>
      <c r="AJ48" s="63">
        <v>1.5</v>
      </c>
      <c r="AK48" s="63">
        <v>1.3</v>
      </c>
      <c r="AL48" s="63">
        <v>1</v>
      </c>
      <c r="AM48" s="63">
        <v>1</v>
      </c>
      <c r="AN48" s="63" t="s">
        <v>919</v>
      </c>
      <c r="AO48" s="39"/>
      <c r="AP48" s="39"/>
      <c r="AQ48" s="310">
        <v>1</v>
      </c>
      <c r="AR48" s="39">
        <v>250</v>
      </c>
      <c r="AS48" s="39">
        <v>0.18</v>
      </c>
      <c r="AT48" s="39">
        <v>0.8</v>
      </c>
      <c r="AU48" s="39">
        <v>1</v>
      </c>
      <c r="AV48" s="39" t="s">
        <v>1476</v>
      </c>
      <c r="AW48" s="321" t="s">
        <v>1477</v>
      </c>
      <c r="AX48" s="321" t="s">
        <v>1478</v>
      </c>
      <c r="AY48" s="78">
        <v>1</v>
      </c>
      <c r="AZ48" s="78">
        <v>2</v>
      </c>
      <c r="BA48" s="78">
        <f t="shared" si="142"/>
        <v>20</v>
      </c>
      <c r="BB48" s="318">
        <f t="shared" si="157"/>
        <v>7.5</v>
      </c>
      <c r="BC48" s="78" t="s">
        <v>1317</v>
      </c>
      <c r="BD48" s="78">
        <f t="shared" si="143"/>
        <v>1.119</v>
      </c>
      <c r="BE48" s="78"/>
      <c r="BF48" s="63">
        <f t="shared" si="158"/>
        <v>200</v>
      </c>
      <c r="BG48" s="63">
        <f t="shared" si="168"/>
        <v>200</v>
      </c>
      <c r="BI48" s="63">
        <f t="shared" si="159"/>
        <v>0</v>
      </c>
      <c r="BT48" s="344">
        <f t="shared" si="160"/>
        <v>220.00000000000003</v>
      </c>
      <c r="BU48" s="353">
        <v>0.1</v>
      </c>
      <c r="BV48" s="354">
        <v>8</v>
      </c>
      <c r="BW48" s="133">
        <v>5</v>
      </c>
      <c r="BX48" s="354">
        <v>9</v>
      </c>
      <c r="BY48" s="133">
        <v>2</v>
      </c>
      <c r="BZ48" s="354">
        <v>10</v>
      </c>
      <c r="CA48" s="133">
        <v>2</v>
      </c>
      <c r="CB48" s="133">
        <f t="shared" si="106"/>
        <v>8.6666666666666661</v>
      </c>
      <c r="CC48" s="133">
        <f t="shared" si="165"/>
        <v>7.5</v>
      </c>
      <c r="CD48" s="358">
        <f t="shared" si="133"/>
        <v>0.30769200000000002</v>
      </c>
      <c r="CE48" s="133">
        <f t="shared" si="165"/>
        <v>15</v>
      </c>
      <c r="CF48" s="359">
        <f t="shared" si="134"/>
        <v>0.15384600000000001</v>
      </c>
      <c r="CG48" s="133">
        <f t="shared" si="165"/>
        <v>22.5</v>
      </c>
      <c r="CH48" s="360">
        <f t="shared" si="135"/>
        <v>0.102564</v>
      </c>
      <c r="CJ48" s="229">
        <v>0</v>
      </c>
      <c r="CK48" s="387">
        <v>0</v>
      </c>
      <c r="CL48" s="259">
        <f t="shared" si="161"/>
        <v>0</v>
      </c>
      <c r="CM48" s="383">
        <f t="shared" si="162"/>
        <v>0</v>
      </c>
      <c r="CN48" s="383">
        <f t="shared" si="37"/>
        <v>0</v>
      </c>
      <c r="CO48" s="384">
        <f t="shared" si="108"/>
        <v>0</v>
      </c>
      <c r="CP48" s="385">
        <f t="shared" si="163"/>
        <v>0</v>
      </c>
      <c r="CQ48" s="383">
        <f t="shared" si="39"/>
        <v>0</v>
      </c>
      <c r="CR48" s="386" t="e">
        <f t="shared" si="164"/>
        <v>#DIV/0!</v>
      </c>
      <c r="CS48" s="407">
        <f t="shared" si="109"/>
        <v>12</v>
      </c>
      <c r="CT48" s="408">
        <f t="shared" si="110"/>
        <v>1</v>
      </c>
      <c r="CU48" s="279"/>
      <c r="CV48" s="277">
        <v>12</v>
      </c>
      <c r="CW48" s="278">
        <v>1</v>
      </c>
      <c r="CY48" s="411"/>
      <c r="CZ48" s="230"/>
      <c r="DD48" s="414"/>
      <c r="DE48" s="407">
        <v>0</v>
      </c>
      <c r="DF48" s="259">
        <v>1</v>
      </c>
      <c r="DG48" s="414">
        <f t="shared" si="41"/>
        <v>0</v>
      </c>
      <c r="DH48" s="407">
        <f t="shared" si="42"/>
        <v>0</v>
      </c>
      <c r="DI48" s="259">
        <f t="shared" si="111"/>
        <v>1</v>
      </c>
      <c r="DJ48" s="414">
        <f t="shared" si="44"/>
        <v>0</v>
      </c>
      <c r="DK48" s="407">
        <f t="shared" si="45"/>
        <v>0</v>
      </c>
      <c r="DL48" s="259">
        <f t="shared" si="112"/>
        <v>1</v>
      </c>
      <c r="DM48" s="414">
        <f t="shared" si="47"/>
        <v>0</v>
      </c>
      <c r="DN48" s="407">
        <f t="shared" si="113"/>
        <v>0</v>
      </c>
      <c r="DO48" s="259">
        <f t="shared" si="114"/>
        <v>1</v>
      </c>
      <c r="DP48" s="414">
        <f t="shared" si="50"/>
        <v>0</v>
      </c>
      <c r="DQ48" s="407">
        <f t="shared" si="115"/>
        <v>0</v>
      </c>
      <c r="DR48" s="259">
        <f t="shared" si="116"/>
        <v>1</v>
      </c>
      <c r="DS48" s="414">
        <f t="shared" si="53"/>
        <v>0</v>
      </c>
      <c r="DT48" s="407">
        <f t="shared" si="117"/>
        <v>0</v>
      </c>
      <c r="DU48" s="259">
        <f t="shared" si="118"/>
        <v>1</v>
      </c>
      <c r="DV48" s="414">
        <f t="shared" si="56"/>
        <v>0</v>
      </c>
      <c r="DW48" s="407">
        <f t="shared" si="119"/>
        <v>0</v>
      </c>
      <c r="DX48" s="259">
        <f t="shared" si="120"/>
        <v>1</v>
      </c>
      <c r="DY48" s="414">
        <f t="shared" si="59"/>
        <v>0</v>
      </c>
      <c r="DZ48" s="407">
        <f t="shared" si="121"/>
        <v>0</v>
      </c>
      <c r="EA48" s="259">
        <f t="shared" si="122"/>
        <v>1</v>
      </c>
      <c r="EB48" s="414">
        <f t="shared" si="62"/>
        <v>0</v>
      </c>
      <c r="EC48" s="407">
        <f t="shared" si="123"/>
        <v>0</v>
      </c>
      <c r="ED48" s="259">
        <f t="shared" si="124"/>
        <v>1</v>
      </c>
      <c r="EE48" s="414">
        <f t="shared" si="65"/>
        <v>0</v>
      </c>
      <c r="EF48" s="407">
        <f t="shared" si="125"/>
        <v>0</v>
      </c>
      <c r="EG48" s="259">
        <f t="shared" si="126"/>
        <v>1</v>
      </c>
      <c r="EH48" s="414">
        <f t="shared" si="68"/>
        <v>0</v>
      </c>
      <c r="EI48" s="407">
        <f t="shared" si="171"/>
        <v>0</v>
      </c>
      <c r="EJ48" s="259">
        <f t="shared" si="70"/>
        <v>2</v>
      </c>
      <c r="EK48" s="414">
        <f t="shared" si="71"/>
        <v>0</v>
      </c>
      <c r="EL48" s="407">
        <f t="shared" si="171"/>
        <v>0</v>
      </c>
      <c r="EM48" s="259">
        <f t="shared" si="73"/>
        <v>4</v>
      </c>
      <c r="EN48" s="414">
        <f t="shared" si="74"/>
        <v>0</v>
      </c>
      <c r="EO48" s="407">
        <f t="shared" si="171"/>
        <v>0</v>
      </c>
      <c r="EP48" s="259">
        <f t="shared" si="76"/>
        <v>6</v>
      </c>
      <c r="EQ48" s="414">
        <f t="shared" si="77"/>
        <v>0</v>
      </c>
      <c r="ER48" s="407">
        <f t="shared" si="171"/>
        <v>0</v>
      </c>
      <c r="ES48" s="259">
        <f t="shared" si="79"/>
        <v>8</v>
      </c>
      <c r="ET48" s="414">
        <f t="shared" si="80"/>
        <v>0</v>
      </c>
      <c r="EU48" s="407">
        <f t="shared" si="171"/>
        <v>0</v>
      </c>
      <c r="EV48" s="259">
        <f t="shared" si="82"/>
        <v>10</v>
      </c>
      <c r="EW48" s="414">
        <f t="shared" si="83"/>
        <v>0</v>
      </c>
      <c r="EX48" s="407">
        <f t="shared" si="171"/>
        <v>0</v>
      </c>
      <c r="EY48" s="259">
        <f t="shared" si="85"/>
        <v>20</v>
      </c>
      <c r="EZ48" s="414">
        <f t="shared" si="86"/>
        <v>0</v>
      </c>
      <c r="FA48" s="407">
        <f t="shared" si="171"/>
        <v>0</v>
      </c>
      <c r="FB48" s="259">
        <f t="shared" si="88"/>
        <v>40</v>
      </c>
      <c r="FC48" s="414">
        <f t="shared" si="89"/>
        <v>0</v>
      </c>
      <c r="FD48" s="407">
        <f t="shared" si="171"/>
        <v>0</v>
      </c>
      <c r="FE48" s="259">
        <f t="shared" si="91"/>
        <v>60</v>
      </c>
      <c r="FF48" s="414">
        <f t="shared" si="92"/>
        <v>0</v>
      </c>
      <c r="FG48" s="407">
        <f t="shared" si="171"/>
        <v>0</v>
      </c>
      <c r="FH48" s="259">
        <f t="shared" si="94"/>
        <v>80</v>
      </c>
      <c r="FI48" s="414">
        <f t="shared" si="95"/>
        <v>0</v>
      </c>
      <c r="FJ48" s="407">
        <f t="shared" si="171"/>
        <v>0</v>
      </c>
      <c r="FK48" s="259">
        <f t="shared" si="97"/>
        <v>100</v>
      </c>
      <c r="FL48" s="414">
        <f t="shared" si="98"/>
        <v>0</v>
      </c>
      <c r="FP48" s="421">
        <f t="shared" si="169"/>
        <v>0</v>
      </c>
      <c r="FQ48" s="421">
        <f t="shared" si="169"/>
        <v>0</v>
      </c>
      <c r="FR48" s="421">
        <f t="shared" si="169"/>
        <v>0</v>
      </c>
      <c r="FS48" s="421">
        <f t="shared" si="169"/>
        <v>0</v>
      </c>
      <c r="FT48" s="421">
        <f t="shared" si="169"/>
        <v>0</v>
      </c>
      <c r="FU48" s="421">
        <f t="shared" si="169"/>
        <v>0</v>
      </c>
      <c r="FV48" s="421">
        <f t="shared" si="169"/>
        <v>0</v>
      </c>
      <c r="FW48" s="421">
        <f t="shared" si="169"/>
        <v>0</v>
      </c>
      <c r="FX48" s="421">
        <f t="shared" si="169"/>
        <v>0</v>
      </c>
      <c r="FY48" s="421">
        <f t="shared" si="169"/>
        <v>0</v>
      </c>
      <c r="FZ48" s="421">
        <f t="shared" si="170"/>
        <v>0</v>
      </c>
      <c r="GA48" s="421">
        <f t="shared" si="170"/>
        <v>0</v>
      </c>
      <c r="GB48" s="421">
        <f t="shared" si="170"/>
        <v>0</v>
      </c>
      <c r="GC48" s="421">
        <f t="shared" si="170"/>
        <v>0</v>
      </c>
      <c r="GD48" s="421">
        <f t="shared" si="170"/>
        <v>0</v>
      </c>
      <c r="GE48" s="421">
        <f t="shared" si="170"/>
        <v>0</v>
      </c>
      <c r="GF48" s="421">
        <f t="shared" si="170"/>
        <v>0</v>
      </c>
      <c r="GG48" s="421">
        <f t="shared" si="170"/>
        <v>0</v>
      </c>
      <c r="GH48" s="421">
        <f t="shared" si="170"/>
        <v>0</v>
      </c>
      <c r="GI48" s="421">
        <f t="shared" si="170"/>
        <v>0</v>
      </c>
    </row>
    <row r="49" spans="1:191" x14ac:dyDescent="0.35">
      <c r="A49" s="63">
        <v>45</v>
      </c>
      <c r="B49" s="247" t="s">
        <v>1479</v>
      </c>
      <c r="C49" s="245">
        <v>5</v>
      </c>
      <c r="D49" s="63">
        <v>-1</v>
      </c>
      <c r="E49" s="63">
        <v>200</v>
      </c>
      <c r="F49" s="63"/>
      <c r="G49" s="63">
        <f t="shared" si="101"/>
        <v>200</v>
      </c>
      <c r="H49" s="63"/>
      <c r="I49" s="63">
        <f t="shared" si="166"/>
        <v>0</v>
      </c>
      <c r="J49" s="63">
        <f t="shared" si="167"/>
        <v>0</v>
      </c>
      <c r="K49" s="63">
        <v>0</v>
      </c>
      <c r="L49" s="63">
        <f>ROUND($BK$7/('全局参数|GlobalPar'!$B$18/10000/BF49),6)*0</f>
        <v>0</v>
      </c>
      <c r="M49" s="255">
        <v>0</v>
      </c>
      <c r="N49" s="256">
        <f>ROUND(IF(M49&lt;&gt;0,$BK$4/('全局参数|GlobalPar'!$B$18/10000/E49)/M49,0),6)</f>
        <v>0</v>
      </c>
      <c r="O49" s="259">
        <f t="shared" si="141"/>
        <v>0</v>
      </c>
      <c r="P49" s="260">
        <f t="shared" si="151"/>
        <v>0</v>
      </c>
      <c r="Q49" s="277">
        <v>12</v>
      </c>
      <c r="R49" s="278">
        <v>1</v>
      </c>
      <c r="S49" s="279" t="str">
        <f t="shared" si="21"/>
        <v>[[0,1],[0,1],[0,1],[0,1],[0,1],[0,1],[0,1],[0,1],[0,1],[0,1],[0,2],[0,4],[0,6],[0,8],[0,10],[0,20],[0,40],[0,60],[0,80],[0,100]]</v>
      </c>
      <c r="T49" s="63">
        <v>0</v>
      </c>
      <c r="U49" s="256">
        <v>0</v>
      </c>
      <c r="V49" s="287">
        <f t="shared" si="156"/>
        <v>0</v>
      </c>
      <c r="W49" s="288">
        <v>0</v>
      </c>
      <c r="X49" s="289">
        <v>0</v>
      </c>
      <c r="Y49" s="304">
        <v>0</v>
      </c>
      <c r="Z49" s="63" t="str">
        <f t="shared" si="103"/>
        <v>[[6,5],[8,2],[10,2]]</v>
      </c>
      <c r="AA49" s="305" t="str">
        <f t="shared" si="104"/>
        <v>[0.363636,0.181818,0.121212]</v>
      </c>
      <c r="AB49" s="305">
        <v>1</v>
      </c>
      <c r="AC49" s="305">
        <v>1</v>
      </c>
      <c r="AD49" s="306">
        <v>11</v>
      </c>
      <c r="AE49" s="63">
        <f>IF(C49=4,1,IF(OR(C49=5,C49=6),2,-1))</f>
        <v>2</v>
      </c>
      <c r="AF49" s="63">
        <v>0</v>
      </c>
      <c r="AG49" s="39">
        <v>2</v>
      </c>
      <c r="AH49" s="39"/>
      <c r="AI49" s="39">
        <v>0</v>
      </c>
      <c r="AJ49" s="63">
        <v>1</v>
      </c>
      <c r="AK49" s="63">
        <v>1</v>
      </c>
      <c r="AL49" s="63">
        <v>1</v>
      </c>
      <c r="AM49" s="63">
        <v>1</v>
      </c>
      <c r="AN49" s="63" t="s">
        <v>919</v>
      </c>
      <c r="AO49" s="39"/>
      <c r="AP49" s="39"/>
      <c r="AQ49" s="310">
        <v>1</v>
      </c>
      <c r="AR49" s="39">
        <v>200</v>
      </c>
      <c r="AS49" s="39">
        <v>0.18</v>
      </c>
      <c r="AT49" s="39">
        <v>0.8</v>
      </c>
      <c r="AU49" s="39">
        <v>1</v>
      </c>
      <c r="AV49" s="39" t="s">
        <v>1476</v>
      </c>
      <c r="AW49" s="316" t="s">
        <v>1480</v>
      </c>
      <c r="AX49" s="316" t="s">
        <v>1481</v>
      </c>
      <c r="AY49" s="316"/>
      <c r="AZ49" s="316"/>
      <c r="BA49" s="78">
        <f t="shared" si="142"/>
        <v>20</v>
      </c>
      <c r="BB49" s="318">
        <f t="shared" si="157"/>
        <v>7.5</v>
      </c>
      <c r="BC49" s="78" t="s">
        <v>1317</v>
      </c>
      <c r="BD49" s="78">
        <f t="shared" si="143"/>
        <v>0.746</v>
      </c>
      <c r="BE49" s="78"/>
      <c r="BF49" s="63">
        <f t="shared" si="158"/>
        <v>200</v>
      </c>
      <c r="BG49" s="63">
        <f t="shared" si="168"/>
        <v>200</v>
      </c>
      <c r="BI49" s="63">
        <f t="shared" si="159"/>
        <v>0</v>
      </c>
      <c r="BT49" s="344">
        <f t="shared" si="160"/>
        <v>220.00000000000003</v>
      </c>
      <c r="BU49" s="353">
        <f t="shared" si="128"/>
        <v>0.1</v>
      </c>
      <c r="BV49" s="354">
        <v>6</v>
      </c>
      <c r="BW49" s="133">
        <v>5</v>
      </c>
      <c r="BX49" s="354">
        <v>8</v>
      </c>
      <c r="BY49" s="133">
        <v>2</v>
      </c>
      <c r="BZ49" s="354">
        <v>10</v>
      </c>
      <c r="CA49" s="133">
        <v>2</v>
      </c>
      <c r="CB49" s="133">
        <f t="shared" si="106"/>
        <v>7.333333333333333</v>
      </c>
      <c r="CC49" s="133">
        <f t="shared" si="165"/>
        <v>7.5</v>
      </c>
      <c r="CD49" s="358">
        <f t="shared" si="133"/>
        <v>0.36363600000000001</v>
      </c>
      <c r="CE49" s="133">
        <f t="shared" si="165"/>
        <v>15</v>
      </c>
      <c r="CF49" s="359">
        <f t="shared" si="134"/>
        <v>0.18181800000000001</v>
      </c>
      <c r="CG49" s="133">
        <f t="shared" si="165"/>
        <v>22.5</v>
      </c>
      <c r="CH49" s="360">
        <f t="shared" si="135"/>
        <v>0.121212</v>
      </c>
      <c r="CJ49" s="229">
        <v>0</v>
      </c>
      <c r="CK49" s="387">
        <f t="shared" si="129"/>
        <v>0</v>
      </c>
      <c r="CL49" s="259">
        <f t="shared" si="161"/>
        <v>0</v>
      </c>
      <c r="CM49" s="383">
        <f t="shared" si="162"/>
        <v>0</v>
      </c>
      <c r="CN49" s="383">
        <f t="shared" si="37"/>
        <v>0</v>
      </c>
      <c r="CO49" s="384">
        <f t="shared" si="108"/>
        <v>0</v>
      </c>
      <c r="CP49" s="385">
        <f t="shared" si="163"/>
        <v>0</v>
      </c>
      <c r="CQ49" s="383">
        <f t="shared" si="39"/>
        <v>0</v>
      </c>
      <c r="CR49" s="386" t="e">
        <f t="shared" si="164"/>
        <v>#DIV/0!</v>
      </c>
      <c r="CS49" s="407">
        <f t="shared" si="109"/>
        <v>12</v>
      </c>
      <c r="CT49" s="408">
        <f t="shared" si="110"/>
        <v>1</v>
      </c>
      <c r="CU49" s="279"/>
      <c r="CV49" s="277">
        <v>12</v>
      </c>
      <c r="CW49" s="278">
        <v>1</v>
      </c>
      <c r="CY49" s="411"/>
      <c r="CZ49" s="230"/>
      <c r="DD49" s="414"/>
      <c r="DE49" s="407">
        <v>0</v>
      </c>
      <c r="DF49" s="259">
        <v>1</v>
      </c>
      <c r="DG49" s="414">
        <f t="shared" si="41"/>
        <v>0</v>
      </c>
      <c r="DH49" s="407">
        <f t="shared" si="42"/>
        <v>0</v>
      </c>
      <c r="DI49" s="259">
        <f t="shared" si="111"/>
        <v>1</v>
      </c>
      <c r="DJ49" s="414">
        <f t="shared" si="44"/>
        <v>0</v>
      </c>
      <c r="DK49" s="407">
        <f t="shared" si="45"/>
        <v>0</v>
      </c>
      <c r="DL49" s="259">
        <f t="shared" si="112"/>
        <v>1</v>
      </c>
      <c r="DM49" s="414">
        <f t="shared" si="47"/>
        <v>0</v>
      </c>
      <c r="DN49" s="407">
        <f t="shared" si="113"/>
        <v>0</v>
      </c>
      <c r="DO49" s="259">
        <f t="shared" si="114"/>
        <v>1</v>
      </c>
      <c r="DP49" s="414">
        <f t="shared" si="50"/>
        <v>0</v>
      </c>
      <c r="DQ49" s="407">
        <f t="shared" si="115"/>
        <v>0</v>
      </c>
      <c r="DR49" s="259">
        <f t="shared" si="116"/>
        <v>1</v>
      </c>
      <c r="DS49" s="414">
        <f t="shared" si="53"/>
        <v>0</v>
      </c>
      <c r="DT49" s="407">
        <f t="shared" si="117"/>
        <v>0</v>
      </c>
      <c r="DU49" s="259">
        <f t="shared" si="118"/>
        <v>1</v>
      </c>
      <c r="DV49" s="414">
        <f t="shared" si="56"/>
        <v>0</v>
      </c>
      <c r="DW49" s="407">
        <f t="shared" si="119"/>
        <v>0</v>
      </c>
      <c r="DX49" s="259">
        <f t="shared" si="120"/>
        <v>1</v>
      </c>
      <c r="DY49" s="414">
        <f t="shared" si="59"/>
        <v>0</v>
      </c>
      <c r="DZ49" s="407">
        <f t="shared" si="121"/>
        <v>0</v>
      </c>
      <c r="EA49" s="259">
        <f t="shared" si="122"/>
        <v>1</v>
      </c>
      <c r="EB49" s="414">
        <f t="shared" si="62"/>
        <v>0</v>
      </c>
      <c r="EC49" s="407">
        <f t="shared" si="123"/>
        <v>0</v>
      </c>
      <c r="ED49" s="259">
        <f t="shared" si="124"/>
        <v>1</v>
      </c>
      <c r="EE49" s="414">
        <f t="shared" si="65"/>
        <v>0</v>
      </c>
      <c r="EF49" s="407">
        <f t="shared" si="125"/>
        <v>0</v>
      </c>
      <c r="EG49" s="259">
        <f t="shared" si="126"/>
        <v>1</v>
      </c>
      <c r="EH49" s="414">
        <f t="shared" si="68"/>
        <v>0</v>
      </c>
      <c r="EI49" s="407">
        <f t="shared" si="171"/>
        <v>0</v>
      </c>
      <c r="EJ49" s="259">
        <f t="shared" si="70"/>
        <v>2</v>
      </c>
      <c r="EK49" s="414">
        <f t="shared" si="71"/>
        <v>0</v>
      </c>
      <c r="EL49" s="407">
        <f t="shared" si="171"/>
        <v>0</v>
      </c>
      <c r="EM49" s="259">
        <f t="shared" si="73"/>
        <v>4</v>
      </c>
      <c r="EN49" s="414">
        <f t="shared" si="74"/>
        <v>0</v>
      </c>
      <c r="EO49" s="407">
        <f t="shared" si="171"/>
        <v>0</v>
      </c>
      <c r="EP49" s="259">
        <f t="shared" si="76"/>
        <v>6</v>
      </c>
      <c r="EQ49" s="414">
        <f t="shared" si="77"/>
        <v>0</v>
      </c>
      <c r="ER49" s="407">
        <f t="shared" si="171"/>
        <v>0</v>
      </c>
      <c r="ES49" s="259">
        <f t="shared" si="79"/>
        <v>8</v>
      </c>
      <c r="ET49" s="414">
        <f t="shared" si="80"/>
        <v>0</v>
      </c>
      <c r="EU49" s="407">
        <f t="shared" si="171"/>
        <v>0</v>
      </c>
      <c r="EV49" s="259">
        <f t="shared" si="82"/>
        <v>10</v>
      </c>
      <c r="EW49" s="414">
        <f t="shared" si="83"/>
        <v>0</v>
      </c>
      <c r="EX49" s="407">
        <f t="shared" si="171"/>
        <v>0</v>
      </c>
      <c r="EY49" s="259">
        <f t="shared" si="85"/>
        <v>20</v>
      </c>
      <c r="EZ49" s="414">
        <f t="shared" si="86"/>
        <v>0</v>
      </c>
      <c r="FA49" s="407">
        <f t="shared" si="171"/>
        <v>0</v>
      </c>
      <c r="FB49" s="259">
        <f t="shared" si="88"/>
        <v>40</v>
      </c>
      <c r="FC49" s="414">
        <f t="shared" si="89"/>
        <v>0</v>
      </c>
      <c r="FD49" s="407">
        <f t="shared" si="171"/>
        <v>0</v>
      </c>
      <c r="FE49" s="259">
        <f t="shared" si="91"/>
        <v>60</v>
      </c>
      <c r="FF49" s="414">
        <f t="shared" si="92"/>
        <v>0</v>
      </c>
      <c r="FG49" s="407">
        <f t="shared" si="171"/>
        <v>0</v>
      </c>
      <c r="FH49" s="259">
        <f t="shared" si="94"/>
        <v>80</v>
      </c>
      <c r="FI49" s="414">
        <f t="shared" si="95"/>
        <v>0</v>
      </c>
      <c r="FJ49" s="407">
        <f t="shared" si="171"/>
        <v>0</v>
      </c>
      <c r="FK49" s="259">
        <f t="shared" si="97"/>
        <v>100</v>
      </c>
      <c r="FL49" s="414">
        <f t="shared" si="98"/>
        <v>0</v>
      </c>
      <c r="FP49" s="421">
        <f t="shared" si="169"/>
        <v>0</v>
      </c>
      <c r="FQ49" s="421">
        <f t="shared" si="169"/>
        <v>0</v>
      </c>
      <c r="FR49" s="421">
        <f t="shared" si="169"/>
        <v>0</v>
      </c>
      <c r="FS49" s="421">
        <f t="shared" si="169"/>
        <v>0</v>
      </c>
      <c r="FT49" s="421">
        <f t="shared" si="169"/>
        <v>0</v>
      </c>
      <c r="FU49" s="421">
        <f t="shared" si="169"/>
        <v>0</v>
      </c>
      <c r="FV49" s="421">
        <f t="shared" si="169"/>
        <v>0</v>
      </c>
      <c r="FW49" s="421">
        <f t="shared" si="169"/>
        <v>0</v>
      </c>
      <c r="FX49" s="421">
        <f t="shared" si="169"/>
        <v>0</v>
      </c>
      <c r="FY49" s="421">
        <f t="shared" si="169"/>
        <v>0</v>
      </c>
      <c r="FZ49" s="421">
        <f t="shared" si="170"/>
        <v>0</v>
      </c>
      <c r="GA49" s="421">
        <f t="shared" si="170"/>
        <v>0</v>
      </c>
      <c r="GB49" s="421">
        <f t="shared" si="170"/>
        <v>0</v>
      </c>
      <c r="GC49" s="421">
        <f t="shared" si="170"/>
        <v>0</v>
      </c>
      <c r="GD49" s="421">
        <f t="shared" si="170"/>
        <v>0</v>
      </c>
      <c r="GE49" s="421">
        <f t="shared" si="170"/>
        <v>0</v>
      </c>
      <c r="GF49" s="421">
        <f t="shared" si="170"/>
        <v>0</v>
      </c>
      <c r="GG49" s="421">
        <f t="shared" si="170"/>
        <v>0</v>
      </c>
      <c r="GH49" s="421">
        <f t="shared" si="170"/>
        <v>0</v>
      </c>
      <c r="GI49" s="421">
        <f t="shared" si="170"/>
        <v>0</v>
      </c>
    </row>
    <row r="50" spans="1:191" s="230" customFormat="1" x14ac:dyDescent="0.35">
      <c r="A50" s="63">
        <v>46</v>
      </c>
      <c r="B50" s="242" t="s">
        <v>1482</v>
      </c>
      <c r="C50" s="245">
        <v>5</v>
      </c>
      <c r="D50" s="63">
        <v>3</v>
      </c>
      <c r="E50" s="63">
        <v>200</v>
      </c>
      <c r="F50" s="63"/>
      <c r="G50" s="63">
        <f t="shared" si="101"/>
        <v>200</v>
      </c>
      <c r="H50" s="63"/>
      <c r="I50" s="63">
        <f t="shared" si="166"/>
        <v>0</v>
      </c>
      <c r="J50" s="63">
        <f t="shared" si="167"/>
        <v>0</v>
      </c>
      <c r="K50" s="63">
        <v>0</v>
      </c>
      <c r="L50" s="63">
        <f>ROUND($BK$7/('全局参数|GlobalPar'!$B$18/10000/BF50),6)*0</f>
        <v>0</v>
      </c>
      <c r="M50" s="255">
        <v>0</v>
      </c>
      <c r="N50" s="256">
        <f>ROUND(IF(M50&lt;&gt;0,$BK$4/('全局参数|GlobalPar'!$B$18/10000/E50)/M50,0),6)</f>
        <v>0</v>
      </c>
      <c r="O50" s="259">
        <f t="shared" si="141"/>
        <v>0</v>
      </c>
      <c r="P50" s="260">
        <f t="shared" si="151"/>
        <v>0</v>
      </c>
      <c r="Q50" s="277">
        <v>12</v>
      </c>
      <c r="R50" s="278">
        <v>1</v>
      </c>
      <c r="S50" s="279" t="str">
        <f t="shared" si="21"/>
        <v>[[0,1],[0,1],[0,1],[0,1],[0,1],[0,1],[0,1],[0,1],[0,1],[0,1],[0,2],[0,4],[0,6],[0,8],[0,10],[0,20],[0,40],[0,60],[0,80],[0,100]]</v>
      </c>
      <c r="T50" s="63">
        <v>0</v>
      </c>
      <c r="U50" s="256">
        <v>0</v>
      </c>
      <c r="V50" s="287">
        <f t="shared" si="156"/>
        <v>0</v>
      </c>
      <c r="W50" s="288">
        <v>0</v>
      </c>
      <c r="X50" s="289">
        <v>0</v>
      </c>
      <c r="Y50" s="304">
        <v>0</v>
      </c>
      <c r="Z50" s="63" t="str">
        <f t="shared" si="103"/>
        <v>[[6,5],[8,2],[10,2]]</v>
      </c>
      <c r="AA50" s="305" t="str">
        <f t="shared" si="104"/>
        <v>[0.363636,0.181818,0.121212]</v>
      </c>
      <c r="AB50" s="305">
        <v>1</v>
      </c>
      <c r="AC50" s="305">
        <v>1</v>
      </c>
      <c r="AD50" s="306">
        <v>11</v>
      </c>
      <c r="AE50" s="71">
        <v>4</v>
      </c>
      <c r="AF50" s="63">
        <v>0</v>
      </c>
      <c r="AG50" s="39">
        <v>2</v>
      </c>
      <c r="AH50" s="63">
        <v>4</v>
      </c>
      <c r="AI50" s="39">
        <v>0</v>
      </c>
      <c r="AJ50" s="63">
        <v>1</v>
      </c>
      <c r="AK50" s="63">
        <v>1</v>
      </c>
      <c r="AL50" s="63">
        <v>1</v>
      </c>
      <c r="AM50" s="63">
        <v>1</v>
      </c>
      <c r="AN50" s="63" t="s">
        <v>1436</v>
      </c>
      <c r="AO50" s="39"/>
      <c r="AP50" s="39"/>
      <c r="AQ50" s="310">
        <v>1</v>
      </c>
      <c r="AR50" s="39">
        <v>200</v>
      </c>
      <c r="AS50" s="39">
        <v>0.18</v>
      </c>
      <c r="AT50" s="39">
        <v>0.8</v>
      </c>
      <c r="AU50" s="39">
        <v>1</v>
      </c>
      <c r="AV50" s="39" t="s">
        <v>1476</v>
      </c>
      <c r="AW50" s="317" t="s">
        <v>1483</v>
      </c>
      <c r="AX50" s="317" t="s">
        <v>1484</v>
      </c>
      <c r="AY50" s="316"/>
      <c r="AZ50" s="316" t="s">
        <v>403</v>
      </c>
      <c r="BA50" s="78">
        <f t="shared" si="142"/>
        <v>20</v>
      </c>
      <c r="BB50" s="318">
        <f t="shared" si="157"/>
        <v>7.5</v>
      </c>
      <c r="BC50" s="78" t="s">
        <v>1317</v>
      </c>
      <c r="BD50" s="78">
        <f t="shared" si="143"/>
        <v>0.746</v>
      </c>
      <c r="BE50" s="78"/>
      <c r="BF50" s="63">
        <f t="shared" si="158"/>
        <v>200</v>
      </c>
      <c r="BG50" s="63">
        <f t="shared" si="168"/>
        <v>200</v>
      </c>
      <c r="BI50" s="63">
        <f t="shared" si="159"/>
        <v>0</v>
      </c>
      <c r="BT50" s="344">
        <f t="shared" si="160"/>
        <v>220.00000000000003</v>
      </c>
      <c r="BU50" s="353">
        <f t="shared" si="128"/>
        <v>0.1</v>
      </c>
      <c r="BV50" s="354">
        <v>6</v>
      </c>
      <c r="BW50" s="133">
        <v>5</v>
      </c>
      <c r="BX50" s="354">
        <v>8</v>
      </c>
      <c r="BY50" s="133">
        <v>2</v>
      </c>
      <c r="BZ50" s="354">
        <v>10</v>
      </c>
      <c r="CA50" s="133">
        <v>2</v>
      </c>
      <c r="CB50" s="133">
        <f t="shared" si="106"/>
        <v>7.333333333333333</v>
      </c>
      <c r="CC50" s="133">
        <f t="shared" si="165"/>
        <v>7.5</v>
      </c>
      <c r="CD50" s="358">
        <f t="shared" si="133"/>
        <v>0.36363600000000001</v>
      </c>
      <c r="CE50" s="133">
        <f t="shared" si="165"/>
        <v>15</v>
      </c>
      <c r="CF50" s="359">
        <f t="shared" si="134"/>
        <v>0.18181800000000001</v>
      </c>
      <c r="CG50" s="133">
        <f t="shared" si="165"/>
        <v>22.5</v>
      </c>
      <c r="CH50" s="360">
        <f t="shared" si="135"/>
        <v>0.121212</v>
      </c>
      <c r="CJ50" s="230">
        <v>0</v>
      </c>
      <c r="CK50" s="387">
        <f t="shared" si="129"/>
        <v>0</v>
      </c>
      <c r="CL50" s="259">
        <f t="shared" si="161"/>
        <v>0</v>
      </c>
      <c r="CM50" s="383">
        <f t="shared" si="162"/>
        <v>0</v>
      </c>
      <c r="CN50" s="383">
        <f t="shared" si="37"/>
        <v>0</v>
      </c>
      <c r="CO50" s="384">
        <f t="shared" si="108"/>
        <v>0</v>
      </c>
      <c r="CP50" s="385">
        <f t="shared" si="163"/>
        <v>0</v>
      </c>
      <c r="CQ50" s="383">
        <f t="shared" si="39"/>
        <v>0</v>
      </c>
      <c r="CR50" s="386" t="e">
        <f t="shared" si="164"/>
        <v>#DIV/0!</v>
      </c>
      <c r="CS50" s="407">
        <f t="shared" si="109"/>
        <v>12</v>
      </c>
      <c r="CT50" s="408">
        <f t="shared" si="110"/>
        <v>1</v>
      </c>
      <c r="CU50" s="279"/>
      <c r="CV50" s="277">
        <v>12</v>
      </c>
      <c r="CW50" s="278">
        <v>1</v>
      </c>
      <c r="CY50" s="410"/>
      <c r="DD50" s="414"/>
      <c r="DE50" s="407">
        <v>0</v>
      </c>
      <c r="DF50" s="259">
        <v>1</v>
      </c>
      <c r="DG50" s="414">
        <f t="shared" si="41"/>
        <v>0</v>
      </c>
      <c r="DH50" s="407">
        <f t="shared" si="42"/>
        <v>0</v>
      </c>
      <c r="DI50" s="259">
        <f t="shared" si="111"/>
        <v>1</v>
      </c>
      <c r="DJ50" s="414">
        <f t="shared" si="44"/>
        <v>0</v>
      </c>
      <c r="DK50" s="407">
        <f t="shared" si="45"/>
        <v>0</v>
      </c>
      <c r="DL50" s="259">
        <f t="shared" si="112"/>
        <v>1</v>
      </c>
      <c r="DM50" s="414">
        <f t="shared" si="47"/>
        <v>0</v>
      </c>
      <c r="DN50" s="407">
        <f t="shared" si="113"/>
        <v>0</v>
      </c>
      <c r="DO50" s="259">
        <f t="shared" si="114"/>
        <v>1</v>
      </c>
      <c r="DP50" s="414">
        <f t="shared" si="50"/>
        <v>0</v>
      </c>
      <c r="DQ50" s="407">
        <f t="shared" si="115"/>
        <v>0</v>
      </c>
      <c r="DR50" s="259">
        <f t="shared" si="116"/>
        <v>1</v>
      </c>
      <c r="DS50" s="414">
        <f t="shared" si="53"/>
        <v>0</v>
      </c>
      <c r="DT50" s="407">
        <f t="shared" si="117"/>
        <v>0</v>
      </c>
      <c r="DU50" s="259">
        <f t="shared" si="118"/>
        <v>1</v>
      </c>
      <c r="DV50" s="414">
        <f t="shared" si="56"/>
        <v>0</v>
      </c>
      <c r="DW50" s="407">
        <f t="shared" si="119"/>
        <v>0</v>
      </c>
      <c r="DX50" s="259">
        <f t="shared" si="120"/>
        <v>1</v>
      </c>
      <c r="DY50" s="414">
        <f t="shared" si="59"/>
        <v>0</v>
      </c>
      <c r="DZ50" s="407">
        <f t="shared" si="121"/>
        <v>0</v>
      </c>
      <c r="EA50" s="259">
        <f t="shared" si="122"/>
        <v>1</v>
      </c>
      <c r="EB50" s="414">
        <f t="shared" si="62"/>
        <v>0</v>
      </c>
      <c r="EC50" s="407">
        <f t="shared" si="123"/>
        <v>0</v>
      </c>
      <c r="ED50" s="259">
        <f t="shared" si="124"/>
        <v>1</v>
      </c>
      <c r="EE50" s="414">
        <f t="shared" si="65"/>
        <v>0</v>
      </c>
      <c r="EF50" s="407">
        <f t="shared" si="125"/>
        <v>0</v>
      </c>
      <c r="EG50" s="259">
        <f t="shared" si="126"/>
        <v>1</v>
      </c>
      <c r="EH50" s="414">
        <f t="shared" si="68"/>
        <v>0</v>
      </c>
      <c r="EI50" s="407">
        <f t="shared" si="171"/>
        <v>0</v>
      </c>
      <c r="EJ50" s="259">
        <f t="shared" si="70"/>
        <v>2</v>
      </c>
      <c r="EK50" s="414">
        <f t="shared" si="71"/>
        <v>0</v>
      </c>
      <c r="EL50" s="407">
        <f t="shared" si="171"/>
        <v>0</v>
      </c>
      <c r="EM50" s="259">
        <f t="shared" si="73"/>
        <v>4</v>
      </c>
      <c r="EN50" s="414">
        <f t="shared" si="74"/>
        <v>0</v>
      </c>
      <c r="EO50" s="407">
        <f t="shared" si="171"/>
        <v>0</v>
      </c>
      <c r="EP50" s="259">
        <f t="shared" si="76"/>
        <v>6</v>
      </c>
      <c r="EQ50" s="414">
        <f t="shared" si="77"/>
        <v>0</v>
      </c>
      <c r="ER50" s="407">
        <f t="shared" si="171"/>
        <v>0</v>
      </c>
      <c r="ES50" s="259">
        <f t="shared" si="79"/>
        <v>8</v>
      </c>
      <c r="ET50" s="414">
        <f t="shared" si="80"/>
        <v>0</v>
      </c>
      <c r="EU50" s="407">
        <f t="shared" si="171"/>
        <v>0</v>
      </c>
      <c r="EV50" s="259">
        <f t="shared" si="82"/>
        <v>10</v>
      </c>
      <c r="EW50" s="414">
        <f t="shared" si="83"/>
        <v>0</v>
      </c>
      <c r="EX50" s="407">
        <f t="shared" si="171"/>
        <v>0</v>
      </c>
      <c r="EY50" s="259">
        <f t="shared" si="85"/>
        <v>20</v>
      </c>
      <c r="EZ50" s="414">
        <f t="shared" si="86"/>
        <v>0</v>
      </c>
      <c r="FA50" s="407">
        <f t="shared" si="171"/>
        <v>0</v>
      </c>
      <c r="FB50" s="259">
        <f t="shared" si="88"/>
        <v>40</v>
      </c>
      <c r="FC50" s="414">
        <f t="shared" si="89"/>
        <v>0</v>
      </c>
      <c r="FD50" s="407">
        <f t="shared" si="171"/>
        <v>0</v>
      </c>
      <c r="FE50" s="259">
        <f t="shared" si="91"/>
        <v>60</v>
      </c>
      <c r="FF50" s="414">
        <f t="shared" si="92"/>
        <v>0</v>
      </c>
      <c r="FG50" s="407">
        <f t="shared" si="171"/>
        <v>0</v>
      </c>
      <c r="FH50" s="259">
        <f t="shared" si="94"/>
        <v>80</v>
      </c>
      <c r="FI50" s="414">
        <f t="shared" si="95"/>
        <v>0</v>
      </c>
      <c r="FJ50" s="407">
        <f t="shared" si="171"/>
        <v>0</v>
      </c>
      <c r="FK50" s="259">
        <f t="shared" si="97"/>
        <v>100</v>
      </c>
      <c r="FL50" s="414">
        <f t="shared" si="98"/>
        <v>0</v>
      </c>
      <c r="FP50" s="421">
        <f t="shared" si="169"/>
        <v>0</v>
      </c>
      <c r="FQ50" s="421">
        <f t="shared" si="169"/>
        <v>0</v>
      </c>
      <c r="FR50" s="421">
        <f t="shared" si="169"/>
        <v>0</v>
      </c>
      <c r="FS50" s="421">
        <f t="shared" si="169"/>
        <v>0</v>
      </c>
      <c r="FT50" s="421">
        <f t="shared" si="169"/>
        <v>0</v>
      </c>
      <c r="FU50" s="421">
        <f t="shared" si="169"/>
        <v>0</v>
      </c>
      <c r="FV50" s="421">
        <f t="shared" si="169"/>
        <v>0</v>
      </c>
      <c r="FW50" s="421">
        <f t="shared" si="169"/>
        <v>0</v>
      </c>
      <c r="FX50" s="421">
        <f t="shared" si="169"/>
        <v>0</v>
      </c>
      <c r="FY50" s="421">
        <f t="shared" si="169"/>
        <v>0</v>
      </c>
      <c r="FZ50" s="421">
        <f t="shared" si="170"/>
        <v>0</v>
      </c>
      <c r="GA50" s="421">
        <f t="shared" si="170"/>
        <v>0</v>
      </c>
      <c r="GB50" s="421">
        <f t="shared" si="170"/>
        <v>0</v>
      </c>
      <c r="GC50" s="421">
        <f t="shared" si="170"/>
        <v>0</v>
      </c>
      <c r="GD50" s="421">
        <f t="shared" si="170"/>
        <v>0</v>
      </c>
      <c r="GE50" s="421">
        <f t="shared" si="170"/>
        <v>0</v>
      </c>
      <c r="GF50" s="421">
        <f t="shared" si="170"/>
        <v>0</v>
      </c>
      <c r="GG50" s="421">
        <f t="shared" si="170"/>
        <v>0</v>
      </c>
      <c r="GH50" s="421">
        <f t="shared" si="170"/>
        <v>0</v>
      </c>
      <c r="GI50" s="421">
        <f t="shared" si="170"/>
        <v>0</v>
      </c>
    </row>
    <row r="51" spans="1:191" s="230" customFormat="1" x14ac:dyDescent="0.35">
      <c r="A51" s="63">
        <v>47</v>
      </c>
      <c r="B51" s="242" t="s">
        <v>1485</v>
      </c>
      <c r="C51" s="245">
        <v>5</v>
      </c>
      <c r="D51" s="63">
        <v>1</v>
      </c>
      <c r="E51" s="63">
        <v>300</v>
      </c>
      <c r="F51" s="63"/>
      <c r="G51" s="63">
        <f t="shared" si="101"/>
        <v>300</v>
      </c>
      <c r="H51" s="63"/>
      <c r="I51" s="63">
        <f t="shared" si="166"/>
        <v>0</v>
      </c>
      <c r="J51" s="63">
        <f t="shared" si="167"/>
        <v>0</v>
      </c>
      <c r="K51" s="63">
        <v>0</v>
      </c>
      <c r="L51" s="63">
        <f>ROUND($BK$7/('全局参数|GlobalPar'!$B$18/10000/BF51),6)*0</f>
        <v>0</v>
      </c>
      <c r="M51" s="255">
        <v>0</v>
      </c>
      <c r="N51" s="256">
        <f>ROUND(IF(M51&lt;&gt;0,$BK$4/('全局参数|GlobalPar'!$B$18/10000/E51)/M51,0),6)</f>
        <v>0</v>
      </c>
      <c r="O51" s="259">
        <f t="shared" si="141"/>
        <v>1</v>
      </c>
      <c r="P51" s="260">
        <f t="shared" si="151"/>
        <v>0</v>
      </c>
      <c r="Q51" s="277">
        <v>12</v>
      </c>
      <c r="R51" s="278">
        <v>1</v>
      </c>
      <c r="S51" s="279" t="str">
        <f t="shared" si="21"/>
        <v>[[0,1],[0,1],[0,1],[0,1],[0,1],[0,1],[0,1],[0,1],[0,1],[0,1],[0,2],[0,4],[0,6],[0,8],[0,10],[0,20],[0,40],[0,60],[0,80],[0,100]]</v>
      </c>
      <c r="T51" s="63">
        <v>0</v>
      </c>
      <c r="U51" s="256">
        <v>0</v>
      </c>
      <c r="V51" s="287">
        <f t="shared" si="156"/>
        <v>0</v>
      </c>
      <c r="W51" s="290">
        <v>0</v>
      </c>
      <c r="X51" s="289">
        <f t="shared" si="102"/>
        <v>0</v>
      </c>
      <c r="Y51" s="304">
        <v>0</v>
      </c>
      <c r="Z51" s="63" t="str">
        <f t="shared" si="103"/>
        <v>[[6,5],[8,2],[10,2]]</v>
      </c>
      <c r="AA51" s="305" t="str">
        <f t="shared" si="104"/>
        <v>[0,0,0]</v>
      </c>
      <c r="AB51" s="305">
        <v>1</v>
      </c>
      <c r="AC51" s="305">
        <v>1</v>
      </c>
      <c r="AD51" s="306">
        <v>11</v>
      </c>
      <c r="AE51" s="63">
        <f>IF(C51=4,1,IF(OR(C51=5,C51=6),2,-1))</f>
        <v>2</v>
      </c>
      <c r="AF51" s="63">
        <v>0</v>
      </c>
      <c r="AG51" s="39">
        <v>2</v>
      </c>
      <c r="AH51" s="63">
        <v>4</v>
      </c>
      <c r="AI51" s="39">
        <v>0</v>
      </c>
      <c r="AJ51" s="63">
        <v>1</v>
      </c>
      <c r="AK51" s="63">
        <v>1</v>
      </c>
      <c r="AL51" s="63">
        <v>1</v>
      </c>
      <c r="AM51" s="63">
        <v>1</v>
      </c>
      <c r="AN51" s="63" t="s">
        <v>919</v>
      </c>
      <c r="AO51" s="39"/>
      <c r="AP51" s="39"/>
      <c r="AQ51" s="310">
        <v>1</v>
      </c>
      <c r="AR51" s="39">
        <v>300</v>
      </c>
      <c r="AS51" s="39">
        <v>0.18</v>
      </c>
      <c r="AT51" s="39">
        <v>0.8</v>
      </c>
      <c r="AU51" s="39">
        <v>1</v>
      </c>
      <c r="AV51" s="39" t="s">
        <v>1476</v>
      </c>
      <c r="AW51" s="317" t="s">
        <v>1486</v>
      </c>
      <c r="AX51" s="317" t="s">
        <v>1487</v>
      </c>
      <c r="AY51" s="316" t="s">
        <v>248</v>
      </c>
      <c r="AZ51" s="316" t="s">
        <v>403</v>
      </c>
      <c r="BA51" s="78">
        <f t="shared" si="142"/>
        <v>30</v>
      </c>
      <c r="BB51" s="318">
        <f t="shared" si="157"/>
        <v>5</v>
      </c>
      <c r="BC51" s="78" t="s">
        <v>1317</v>
      </c>
      <c r="BD51" s="78">
        <f t="shared" si="143"/>
        <v>0.746</v>
      </c>
      <c r="BE51" s="78"/>
      <c r="BF51" s="63">
        <f t="shared" si="158"/>
        <v>300</v>
      </c>
      <c r="BG51" s="71">
        <f>BN2*O51</f>
        <v>300</v>
      </c>
      <c r="BI51" s="63">
        <f t="shared" si="159"/>
        <v>0</v>
      </c>
      <c r="BT51" s="344">
        <f t="shared" si="160"/>
        <v>330</v>
      </c>
      <c r="BU51" s="353">
        <v>0</v>
      </c>
      <c r="BV51" s="354">
        <v>6</v>
      </c>
      <c r="BW51" s="133">
        <v>5</v>
      </c>
      <c r="BX51" s="354">
        <v>8</v>
      </c>
      <c r="BY51" s="133">
        <v>2</v>
      </c>
      <c r="BZ51" s="354">
        <v>10</v>
      </c>
      <c r="CA51" s="133">
        <v>2</v>
      </c>
      <c r="CB51" s="133">
        <f t="shared" si="106"/>
        <v>7.333333333333333</v>
      </c>
      <c r="CC51" s="133">
        <f t="shared" si="165"/>
        <v>7.5</v>
      </c>
      <c r="CD51" s="358">
        <f t="shared" si="133"/>
        <v>0</v>
      </c>
      <c r="CE51" s="133">
        <f t="shared" si="165"/>
        <v>15</v>
      </c>
      <c r="CF51" s="359">
        <f t="shared" si="134"/>
        <v>0</v>
      </c>
      <c r="CG51" s="133">
        <f t="shared" si="165"/>
        <v>22.5</v>
      </c>
      <c r="CH51" s="360">
        <f t="shared" si="135"/>
        <v>0</v>
      </c>
      <c r="CJ51" s="230">
        <v>0</v>
      </c>
      <c r="CK51" s="387">
        <f t="shared" si="129"/>
        <v>0</v>
      </c>
      <c r="CL51" s="259">
        <f t="shared" si="161"/>
        <v>0</v>
      </c>
      <c r="CM51" s="383">
        <f t="shared" si="162"/>
        <v>0</v>
      </c>
      <c r="CN51" s="383">
        <f t="shared" si="37"/>
        <v>0</v>
      </c>
      <c r="CO51" s="384">
        <f t="shared" si="108"/>
        <v>0</v>
      </c>
      <c r="CP51" s="385">
        <f t="shared" si="163"/>
        <v>0</v>
      </c>
      <c r="CQ51" s="383">
        <f t="shared" si="39"/>
        <v>0</v>
      </c>
      <c r="CR51" s="386" t="e">
        <f t="shared" si="164"/>
        <v>#DIV/0!</v>
      </c>
      <c r="CS51" s="407">
        <f t="shared" si="109"/>
        <v>12</v>
      </c>
      <c r="CT51" s="408">
        <f t="shared" si="110"/>
        <v>1</v>
      </c>
      <c r="CU51" s="279"/>
      <c r="CV51" s="277">
        <v>12</v>
      </c>
      <c r="CW51" s="278">
        <v>1</v>
      </c>
      <c r="CY51" s="410"/>
      <c r="DD51" s="414"/>
      <c r="DE51" s="407">
        <v>0</v>
      </c>
      <c r="DF51" s="259">
        <v>1</v>
      </c>
      <c r="DG51" s="414">
        <f t="shared" si="41"/>
        <v>0</v>
      </c>
      <c r="DH51" s="407">
        <f t="shared" si="42"/>
        <v>0</v>
      </c>
      <c r="DI51" s="259">
        <f t="shared" si="111"/>
        <v>1</v>
      </c>
      <c r="DJ51" s="414">
        <f t="shared" si="44"/>
        <v>0</v>
      </c>
      <c r="DK51" s="407">
        <f t="shared" si="45"/>
        <v>0</v>
      </c>
      <c r="DL51" s="259">
        <f t="shared" si="112"/>
        <v>1</v>
      </c>
      <c r="DM51" s="414">
        <f t="shared" si="47"/>
        <v>0</v>
      </c>
      <c r="DN51" s="407">
        <f t="shared" si="113"/>
        <v>0</v>
      </c>
      <c r="DO51" s="259">
        <f t="shared" si="114"/>
        <v>1</v>
      </c>
      <c r="DP51" s="414">
        <f t="shared" si="50"/>
        <v>0</v>
      </c>
      <c r="DQ51" s="407">
        <f t="shared" si="115"/>
        <v>0</v>
      </c>
      <c r="DR51" s="259">
        <f t="shared" si="116"/>
        <v>1</v>
      </c>
      <c r="DS51" s="414">
        <f t="shared" si="53"/>
        <v>0</v>
      </c>
      <c r="DT51" s="407">
        <f t="shared" si="117"/>
        <v>0</v>
      </c>
      <c r="DU51" s="259">
        <f t="shared" si="118"/>
        <v>1</v>
      </c>
      <c r="DV51" s="414">
        <f t="shared" si="56"/>
        <v>0</v>
      </c>
      <c r="DW51" s="407">
        <f t="shared" si="119"/>
        <v>0</v>
      </c>
      <c r="DX51" s="259">
        <f t="shared" si="120"/>
        <v>1</v>
      </c>
      <c r="DY51" s="414">
        <f t="shared" si="59"/>
        <v>0</v>
      </c>
      <c r="DZ51" s="407">
        <f t="shared" si="121"/>
        <v>0</v>
      </c>
      <c r="EA51" s="259">
        <f t="shared" si="122"/>
        <v>1</v>
      </c>
      <c r="EB51" s="414">
        <f t="shared" si="62"/>
        <v>0</v>
      </c>
      <c r="EC51" s="407">
        <f t="shared" si="123"/>
        <v>0</v>
      </c>
      <c r="ED51" s="259">
        <f t="shared" si="124"/>
        <v>1</v>
      </c>
      <c r="EE51" s="414">
        <f t="shared" si="65"/>
        <v>0</v>
      </c>
      <c r="EF51" s="407">
        <f t="shared" si="125"/>
        <v>0</v>
      </c>
      <c r="EG51" s="259">
        <f t="shared" si="126"/>
        <v>1</v>
      </c>
      <c r="EH51" s="414">
        <f t="shared" si="68"/>
        <v>0</v>
      </c>
      <c r="EI51" s="407">
        <f t="shared" si="171"/>
        <v>0</v>
      </c>
      <c r="EJ51" s="259">
        <f t="shared" si="70"/>
        <v>2</v>
      </c>
      <c r="EK51" s="414">
        <f t="shared" si="71"/>
        <v>0</v>
      </c>
      <c r="EL51" s="407">
        <f t="shared" si="171"/>
        <v>0</v>
      </c>
      <c r="EM51" s="259">
        <f t="shared" si="73"/>
        <v>4</v>
      </c>
      <c r="EN51" s="414">
        <f t="shared" si="74"/>
        <v>0</v>
      </c>
      <c r="EO51" s="407">
        <f t="shared" si="171"/>
        <v>0</v>
      </c>
      <c r="EP51" s="259">
        <f t="shared" si="76"/>
        <v>6</v>
      </c>
      <c r="EQ51" s="414">
        <f t="shared" si="77"/>
        <v>0</v>
      </c>
      <c r="ER51" s="407">
        <f t="shared" si="171"/>
        <v>0</v>
      </c>
      <c r="ES51" s="259">
        <f t="shared" si="79"/>
        <v>8</v>
      </c>
      <c r="ET51" s="414">
        <f t="shared" si="80"/>
        <v>0</v>
      </c>
      <c r="EU51" s="407">
        <f t="shared" si="171"/>
        <v>0</v>
      </c>
      <c r="EV51" s="259">
        <f t="shared" si="82"/>
        <v>10</v>
      </c>
      <c r="EW51" s="414">
        <f t="shared" si="83"/>
        <v>0</v>
      </c>
      <c r="EX51" s="407">
        <f t="shared" si="171"/>
        <v>0</v>
      </c>
      <c r="EY51" s="259">
        <f t="shared" si="85"/>
        <v>20</v>
      </c>
      <c r="EZ51" s="414">
        <f t="shared" si="86"/>
        <v>0</v>
      </c>
      <c r="FA51" s="407">
        <f t="shared" si="171"/>
        <v>0</v>
      </c>
      <c r="FB51" s="259">
        <f t="shared" si="88"/>
        <v>40</v>
      </c>
      <c r="FC51" s="414">
        <f t="shared" si="89"/>
        <v>0</v>
      </c>
      <c r="FD51" s="407">
        <f t="shared" si="171"/>
        <v>0</v>
      </c>
      <c r="FE51" s="259">
        <f t="shared" si="91"/>
        <v>60</v>
      </c>
      <c r="FF51" s="414">
        <f t="shared" si="92"/>
        <v>0</v>
      </c>
      <c r="FG51" s="407">
        <f t="shared" si="171"/>
        <v>0</v>
      </c>
      <c r="FH51" s="259">
        <f t="shared" si="94"/>
        <v>80</v>
      </c>
      <c r="FI51" s="414">
        <f t="shared" si="95"/>
        <v>0</v>
      </c>
      <c r="FJ51" s="407">
        <f t="shared" si="171"/>
        <v>0</v>
      </c>
      <c r="FK51" s="259">
        <f t="shared" si="97"/>
        <v>100</v>
      </c>
      <c r="FL51" s="414">
        <f t="shared" si="98"/>
        <v>0</v>
      </c>
      <c r="FP51" s="421">
        <f t="shared" si="169"/>
        <v>0</v>
      </c>
      <c r="FQ51" s="421">
        <f t="shared" si="169"/>
        <v>0</v>
      </c>
      <c r="FR51" s="421">
        <f t="shared" si="169"/>
        <v>0</v>
      </c>
      <c r="FS51" s="421">
        <f t="shared" si="169"/>
        <v>0</v>
      </c>
      <c r="FT51" s="421">
        <f t="shared" si="169"/>
        <v>0</v>
      </c>
      <c r="FU51" s="421">
        <f t="shared" si="169"/>
        <v>0</v>
      </c>
      <c r="FV51" s="421">
        <f t="shared" si="169"/>
        <v>0</v>
      </c>
      <c r="FW51" s="421">
        <f t="shared" si="169"/>
        <v>0</v>
      </c>
      <c r="FX51" s="421">
        <f t="shared" si="169"/>
        <v>0</v>
      </c>
      <c r="FY51" s="421">
        <f t="shared" si="169"/>
        <v>0</v>
      </c>
      <c r="FZ51" s="421">
        <f t="shared" si="170"/>
        <v>0</v>
      </c>
      <c r="GA51" s="421">
        <f t="shared" si="170"/>
        <v>0</v>
      </c>
      <c r="GB51" s="421">
        <f t="shared" si="170"/>
        <v>0</v>
      </c>
      <c r="GC51" s="421">
        <f t="shared" si="170"/>
        <v>0</v>
      </c>
      <c r="GD51" s="421">
        <f t="shared" si="170"/>
        <v>0</v>
      </c>
      <c r="GE51" s="421">
        <f t="shared" si="170"/>
        <v>0</v>
      </c>
      <c r="GF51" s="421">
        <f t="shared" si="170"/>
        <v>0</v>
      </c>
      <c r="GG51" s="421">
        <f t="shared" si="170"/>
        <v>0</v>
      </c>
      <c r="GH51" s="421">
        <f t="shared" si="170"/>
        <v>0</v>
      </c>
      <c r="GI51" s="421">
        <f t="shared" si="170"/>
        <v>0</v>
      </c>
    </row>
    <row r="52" spans="1:191" x14ac:dyDescent="0.35">
      <c r="A52" s="63">
        <v>48</v>
      </c>
      <c r="B52" s="230"/>
      <c r="C52" s="245">
        <v>5</v>
      </c>
      <c r="D52" s="63">
        <v>-1</v>
      </c>
      <c r="E52" s="63">
        <v>150</v>
      </c>
      <c r="F52" s="63">
        <f>IF(C52=4,BK52,E52)</f>
        <v>150</v>
      </c>
      <c r="G52" s="63">
        <f t="shared" si="101"/>
        <v>150</v>
      </c>
      <c r="H52" s="63"/>
      <c r="I52" s="63">
        <f t="shared" si="166"/>
        <v>0</v>
      </c>
      <c r="J52" s="63">
        <f t="shared" si="167"/>
        <v>0</v>
      </c>
      <c r="K52" s="63">
        <v>0</v>
      </c>
      <c r="L52" s="63">
        <f>ROUND($BK$7/('全局参数|GlobalPar'!$B$18/10000/BF52),6)*0</f>
        <v>0</v>
      </c>
      <c r="M52" s="255">
        <v>0</v>
      </c>
      <c r="N52" s="256">
        <f>ROUND(IF(M52&lt;&gt;0,$BK$4/('全局参数|GlobalPar'!$B$18/10000/E52)/M52,0),6)</f>
        <v>0</v>
      </c>
      <c r="O52" s="259">
        <f t="shared" si="141"/>
        <v>0</v>
      </c>
      <c r="P52" s="260">
        <f t="shared" si="151"/>
        <v>0</v>
      </c>
      <c r="Q52" s="277">
        <v>12</v>
      </c>
      <c r="R52" s="278">
        <v>1</v>
      </c>
      <c r="S52" s="279" t="str">
        <f t="shared" si="21"/>
        <v>[[0,1],[0,1],[0,1],[0,1],[0,1],[0,1],[0,1],[0,1],[0,1],[0,1],[0,2],[0,4],[0,6],[0,8],[0,10],[0,20],[0,40],[0,60],[0,80],[0,100]]</v>
      </c>
      <c r="T52" s="63">
        <v>0</v>
      </c>
      <c r="U52" s="256">
        <v>0</v>
      </c>
      <c r="V52" s="287">
        <f t="shared" si="156"/>
        <v>0</v>
      </c>
      <c r="W52" s="288">
        <v>0</v>
      </c>
      <c r="X52" s="289">
        <f t="shared" si="102"/>
        <v>0</v>
      </c>
      <c r="Y52" s="304">
        <v>0</v>
      </c>
      <c r="Z52" s="63" t="str">
        <f t="shared" si="103"/>
        <v>[[6,5],[8,2],[10,2]]</v>
      </c>
      <c r="AA52" s="305" t="str">
        <f t="shared" si="104"/>
        <v>[0,0,0]</v>
      </c>
      <c r="AB52" s="305">
        <v>0.3</v>
      </c>
      <c r="AC52" s="305">
        <v>1</v>
      </c>
      <c r="AD52" s="306">
        <v>0</v>
      </c>
      <c r="AE52" s="63">
        <f>IF(C52=4,1,IF(OR(C52=5,C52=6),2,-1))</f>
        <v>2</v>
      </c>
      <c r="AF52" s="63">
        <v>0</v>
      </c>
      <c r="AG52" s="39">
        <v>2</v>
      </c>
      <c r="AH52" s="39"/>
      <c r="AI52" s="39">
        <v>0</v>
      </c>
      <c r="AJ52" s="63">
        <v>1</v>
      </c>
      <c r="AK52" s="63">
        <v>1</v>
      </c>
      <c r="AL52" s="63">
        <v>1</v>
      </c>
      <c r="AM52" s="63">
        <v>1</v>
      </c>
      <c r="AN52" s="63" t="s">
        <v>1443</v>
      </c>
      <c r="AO52" s="39"/>
      <c r="AP52" s="39"/>
      <c r="AQ52" s="310">
        <v>1</v>
      </c>
      <c r="AR52" s="39">
        <v>150</v>
      </c>
      <c r="AS52" s="39">
        <v>0.18</v>
      </c>
      <c r="AT52" s="39">
        <v>0.8</v>
      </c>
      <c r="AU52" s="39">
        <v>1</v>
      </c>
      <c r="AV52" s="39" t="s">
        <v>1488</v>
      </c>
      <c r="AW52" s="316"/>
      <c r="AX52" s="316" t="s">
        <v>1489</v>
      </c>
      <c r="AY52" s="316"/>
      <c r="AZ52" s="316"/>
      <c r="BA52" s="78">
        <f t="shared" si="142"/>
        <v>15</v>
      </c>
      <c r="BB52" s="318">
        <f t="shared" si="157"/>
        <v>10</v>
      </c>
      <c r="BC52" s="78" t="s">
        <v>1490</v>
      </c>
      <c r="BD52" s="78">
        <f t="shared" si="143"/>
        <v>0.746</v>
      </c>
      <c r="BE52" s="78"/>
      <c r="BF52" s="63">
        <f t="shared" si="158"/>
        <v>150</v>
      </c>
      <c r="BG52" s="63">
        <f>IF(O52=0,BF52,BF52*(1+$BN$1))</f>
        <v>150</v>
      </c>
      <c r="BI52" s="63">
        <f t="shared" si="159"/>
        <v>0</v>
      </c>
      <c r="BT52" s="344">
        <f t="shared" si="160"/>
        <v>165</v>
      </c>
      <c r="BU52" s="353">
        <f t="shared" si="128"/>
        <v>0</v>
      </c>
      <c r="BV52" s="354">
        <v>6</v>
      </c>
      <c r="BW52" s="133">
        <v>5</v>
      </c>
      <c r="BX52" s="354">
        <v>8</v>
      </c>
      <c r="BY52" s="133">
        <v>2</v>
      </c>
      <c r="BZ52" s="354">
        <v>10</v>
      </c>
      <c r="CA52" s="133">
        <v>2</v>
      </c>
      <c r="CB52" s="133">
        <f t="shared" si="106"/>
        <v>7.333333333333333</v>
      </c>
      <c r="CC52" s="133">
        <f t="shared" si="165"/>
        <v>7.5</v>
      </c>
      <c r="CD52" s="358">
        <f t="shared" si="133"/>
        <v>0</v>
      </c>
      <c r="CE52" s="133">
        <f t="shared" si="165"/>
        <v>15</v>
      </c>
      <c r="CF52" s="359">
        <f t="shared" si="134"/>
        <v>0</v>
      </c>
      <c r="CG52" s="133">
        <f t="shared" si="165"/>
        <v>22.5</v>
      </c>
      <c r="CH52" s="360">
        <f t="shared" si="135"/>
        <v>0</v>
      </c>
      <c r="CJ52" s="229">
        <v>0</v>
      </c>
      <c r="CK52" s="387">
        <f t="shared" si="129"/>
        <v>0</v>
      </c>
      <c r="CL52" s="259">
        <f t="shared" si="161"/>
        <v>0</v>
      </c>
      <c r="CM52" s="383">
        <f t="shared" si="162"/>
        <v>0</v>
      </c>
      <c r="CN52" s="383">
        <f t="shared" si="37"/>
        <v>0</v>
      </c>
      <c r="CO52" s="384">
        <f t="shared" si="108"/>
        <v>0</v>
      </c>
      <c r="CP52" s="385">
        <f t="shared" si="163"/>
        <v>0</v>
      </c>
      <c r="CQ52" s="383">
        <f t="shared" si="39"/>
        <v>0</v>
      </c>
      <c r="CR52" s="386" t="e">
        <f t="shared" si="164"/>
        <v>#DIV/0!</v>
      </c>
      <c r="CS52" s="407">
        <f t="shared" si="109"/>
        <v>12</v>
      </c>
      <c r="CT52" s="408">
        <f t="shared" si="110"/>
        <v>1</v>
      </c>
      <c r="CU52" s="279"/>
      <c r="CV52" s="277">
        <v>12</v>
      </c>
      <c r="CW52" s="278">
        <v>1</v>
      </c>
      <c r="CY52" s="411"/>
      <c r="CZ52" s="230"/>
      <c r="DD52" s="414"/>
      <c r="DE52" s="407">
        <v>0</v>
      </c>
      <c r="DF52" s="259">
        <v>1</v>
      </c>
      <c r="DG52" s="414">
        <f t="shared" si="41"/>
        <v>0</v>
      </c>
      <c r="DH52" s="407">
        <f t="shared" si="42"/>
        <v>0</v>
      </c>
      <c r="DI52" s="259">
        <f t="shared" si="111"/>
        <v>1</v>
      </c>
      <c r="DJ52" s="414">
        <f t="shared" si="44"/>
        <v>0</v>
      </c>
      <c r="DK52" s="407">
        <f t="shared" si="45"/>
        <v>0</v>
      </c>
      <c r="DL52" s="259">
        <f t="shared" si="112"/>
        <v>1</v>
      </c>
      <c r="DM52" s="414">
        <f t="shared" si="47"/>
        <v>0</v>
      </c>
      <c r="DN52" s="407">
        <f t="shared" si="113"/>
        <v>0</v>
      </c>
      <c r="DO52" s="259">
        <f t="shared" si="114"/>
        <v>1</v>
      </c>
      <c r="DP52" s="414">
        <f t="shared" si="50"/>
        <v>0</v>
      </c>
      <c r="DQ52" s="407">
        <f t="shared" si="115"/>
        <v>0</v>
      </c>
      <c r="DR52" s="259">
        <f t="shared" si="116"/>
        <v>1</v>
      </c>
      <c r="DS52" s="414">
        <f t="shared" si="53"/>
        <v>0</v>
      </c>
      <c r="DT52" s="407">
        <f t="shared" si="117"/>
        <v>0</v>
      </c>
      <c r="DU52" s="259">
        <f t="shared" si="118"/>
        <v>1</v>
      </c>
      <c r="DV52" s="414">
        <f t="shared" si="56"/>
        <v>0</v>
      </c>
      <c r="DW52" s="407">
        <f t="shared" si="119"/>
        <v>0</v>
      </c>
      <c r="DX52" s="259">
        <f t="shared" si="120"/>
        <v>1</v>
      </c>
      <c r="DY52" s="414">
        <f t="shared" si="59"/>
        <v>0</v>
      </c>
      <c r="DZ52" s="407">
        <f t="shared" si="121"/>
        <v>0</v>
      </c>
      <c r="EA52" s="259">
        <f t="shared" si="122"/>
        <v>1</v>
      </c>
      <c r="EB52" s="414">
        <f t="shared" si="62"/>
        <v>0</v>
      </c>
      <c r="EC52" s="407">
        <f t="shared" si="123"/>
        <v>0</v>
      </c>
      <c r="ED52" s="259">
        <f t="shared" si="124"/>
        <v>1</v>
      </c>
      <c r="EE52" s="414">
        <f t="shared" si="65"/>
        <v>0</v>
      </c>
      <c r="EF52" s="407">
        <f t="shared" si="125"/>
        <v>0</v>
      </c>
      <c r="EG52" s="259">
        <f t="shared" si="126"/>
        <v>1</v>
      </c>
      <c r="EH52" s="414">
        <f t="shared" si="68"/>
        <v>0</v>
      </c>
      <c r="EI52" s="407">
        <f t="shared" si="171"/>
        <v>0</v>
      </c>
      <c r="EJ52" s="259">
        <f t="shared" si="70"/>
        <v>2</v>
      </c>
      <c r="EK52" s="414">
        <f t="shared" si="71"/>
        <v>0</v>
      </c>
      <c r="EL52" s="407">
        <f t="shared" si="171"/>
        <v>0</v>
      </c>
      <c r="EM52" s="259">
        <f t="shared" si="73"/>
        <v>4</v>
      </c>
      <c r="EN52" s="414">
        <f t="shared" si="74"/>
        <v>0</v>
      </c>
      <c r="EO52" s="407">
        <f t="shared" si="171"/>
        <v>0</v>
      </c>
      <c r="EP52" s="259">
        <f t="shared" si="76"/>
        <v>6</v>
      </c>
      <c r="EQ52" s="414">
        <f t="shared" si="77"/>
        <v>0</v>
      </c>
      <c r="ER52" s="407">
        <f t="shared" si="171"/>
        <v>0</v>
      </c>
      <c r="ES52" s="259">
        <f t="shared" si="79"/>
        <v>8</v>
      </c>
      <c r="ET52" s="414">
        <f t="shared" si="80"/>
        <v>0</v>
      </c>
      <c r="EU52" s="407">
        <f t="shared" si="171"/>
        <v>0</v>
      </c>
      <c r="EV52" s="259">
        <f t="shared" si="82"/>
        <v>10</v>
      </c>
      <c r="EW52" s="414">
        <f t="shared" si="83"/>
        <v>0</v>
      </c>
      <c r="EX52" s="407">
        <f t="shared" si="171"/>
        <v>0</v>
      </c>
      <c r="EY52" s="259">
        <f t="shared" si="85"/>
        <v>20</v>
      </c>
      <c r="EZ52" s="414">
        <f t="shared" si="86"/>
        <v>0</v>
      </c>
      <c r="FA52" s="407">
        <f t="shared" si="171"/>
        <v>0</v>
      </c>
      <c r="FB52" s="259">
        <f t="shared" si="88"/>
        <v>40</v>
      </c>
      <c r="FC52" s="414">
        <f t="shared" si="89"/>
        <v>0</v>
      </c>
      <c r="FD52" s="407">
        <f t="shared" si="171"/>
        <v>0</v>
      </c>
      <c r="FE52" s="259">
        <f t="shared" si="91"/>
        <v>60</v>
      </c>
      <c r="FF52" s="414">
        <f t="shared" si="92"/>
        <v>0</v>
      </c>
      <c r="FG52" s="407">
        <f t="shared" si="171"/>
        <v>0</v>
      </c>
      <c r="FH52" s="259">
        <f t="shared" si="94"/>
        <v>80</v>
      </c>
      <c r="FI52" s="414">
        <f t="shared" si="95"/>
        <v>0</v>
      </c>
      <c r="FJ52" s="407">
        <f t="shared" si="171"/>
        <v>0</v>
      </c>
      <c r="FK52" s="259">
        <f t="shared" si="97"/>
        <v>100</v>
      </c>
      <c r="FL52" s="414">
        <f t="shared" si="98"/>
        <v>0</v>
      </c>
      <c r="FP52" s="421">
        <f t="shared" si="169"/>
        <v>0</v>
      </c>
      <c r="FQ52" s="421">
        <f t="shared" si="169"/>
        <v>0</v>
      </c>
      <c r="FR52" s="421">
        <f t="shared" si="169"/>
        <v>0</v>
      </c>
      <c r="FS52" s="421">
        <f t="shared" si="169"/>
        <v>0</v>
      </c>
      <c r="FT52" s="421">
        <f t="shared" si="169"/>
        <v>0</v>
      </c>
      <c r="FU52" s="421">
        <f t="shared" si="169"/>
        <v>0</v>
      </c>
      <c r="FV52" s="421">
        <f t="shared" si="169"/>
        <v>0</v>
      </c>
      <c r="FW52" s="421">
        <f t="shared" si="169"/>
        <v>0</v>
      </c>
      <c r="FX52" s="421">
        <f t="shared" si="169"/>
        <v>0</v>
      </c>
      <c r="FY52" s="421">
        <f t="shared" si="169"/>
        <v>0</v>
      </c>
      <c r="FZ52" s="421">
        <f t="shared" si="170"/>
        <v>0</v>
      </c>
      <c r="GA52" s="421">
        <f t="shared" si="170"/>
        <v>0</v>
      </c>
      <c r="GB52" s="421">
        <f t="shared" si="170"/>
        <v>0</v>
      </c>
      <c r="GC52" s="421">
        <f t="shared" si="170"/>
        <v>0</v>
      </c>
      <c r="GD52" s="421">
        <f t="shared" si="170"/>
        <v>0</v>
      </c>
      <c r="GE52" s="421">
        <f t="shared" si="170"/>
        <v>0</v>
      </c>
      <c r="GF52" s="421">
        <f t="shared" si="170"/>
        <v>0</v>
      </c>
      <c r="GG52" s="421">
        <f t="shared" si="170"/>
        <v>0</v>
      </c>
      <c r="GH52" s="421">
        <f t="shared" si="170"/>
        <v>0</v>
      </c>
      <c r="GI52" s="421">
        <f t="shared" si="170"/>
        <v>0</v>
      </c>
    </row>
    <row r="53" spans="1:191" ht="16.2" x14ac:dyDescent="0.4">
      <c r="A53" s="63">
        <v>49</v>
      </c>
      <c r="B53" s="230" t="s">
        <v>1491</v>
      </c>
      <c r="C53" s="248">
        <v>7</v>
      </c>
      <c r="D53" s="63">
        <v>-1</v>
      </c>
      <c r="E53" s="63">
        <v>150</v>
      </c>
      <c r="F53" s="63"/>
      <c r="G53" s="63">
        <f t="shared" si="101"/>
        <v>150</v>
      </c>
      <c r="H53" s="63"/>
      <c r="I53" s="63">
        <f t="shared" si="166"/>
        <v>0</v>
      </c>
      <c r="J53" s="63">
        <f t="shared" si="167"/>
        <v>0</v>
      </c>
      <c r="K53" s="63">
        <v>0</v>
      </c>
      <c r="L53" s="63">
        <f>ROUND($BK$7/('全局参数|GlobalPar'!$B$18/10000/BF53),6)*0</f>
        <v>0</v>
      </c>
      <c r="M53" s="255">
        <v>0</v>
      </c>
      <c r="N53" s="256">
        <f>ROUND(IF(M53&lt;&gt;0,$BK$4/('全局参数|GlobalPar'!$B$18/10000/E53)/M53,0),6)</f>
        <v>0</v>
      </c>
      <c r="O53" s="259">
        <f t="shared" si="141"/>
        <v>0</v>
      </c>
      <c r="P53" s="260">
        <v>1</v>
      </c>
      <c r="Q53" s="277">
        <v>12</v>
      </c>
      <c r="R53" s="278">
        <v>1</v>
      </c>
      <c r="S53" s="279" t="str">
        <f t="shared" si="21"/>
        <v>[[0,1],[0,1],[0,1],[0,1],[0,1],[0,1],[0,1],[0,1],[0,1],[0,1],[0,2],[0,4],[0,6],[0,8],[0,10],[0,20],[0,40],[0,60],[0,80],[0,100]]</v>
      </c>
      <c r="T53" s="63">
        <v>0</v>
      </c>
      <c r="U53" s="256">
        <v>0</v>
      </c>
      <c r="V53" s="287">
        <f t="shared" si="156"/>
        <v>0</v>
      </c>
      <c r="W53" s="288">
        <v>0</v>
      </c>
      <c r="X53" s="289">
        <f t="shared" si="102"/>
        <v>0</v>
      </c>
      <c r="Y53" s="304">
        <v>0</v>
      </c>
      <c r="Z53" s="63" t="str">
        <f t="shared" si="103"/>
        <v>[[6,5],[8,2],[10,2]]</v>
      </c>
      <c r="AA53" s="305" t="str">
        <f t="shared" si="104"/>
        <v>[0,0,0]</v>
      </c>
      <c r="AB53" s="305">
        <v>0.5</v>
      </c>
      <c r="AC53" s="305">
        <v>1</v>
      </c>
      <c r="AD53" s="306">
        <v>8</v>
      </c>
      <c r="AE53" s="63">
        <v>1</v>
      </c>
      <c r="AF53" s="63">
        <v>1</v>
      </c>
      <c r="AG53" s="39">
        <v>2</v>
      </c>
      <c r="AH53" s="39"/>
      <c r="AI53" s="39">
        <v>0</v>
      </c>
      <c r="AJ53" s="63">
        <v>1</v>
      </c>
      <c r="AK53" s="63">
        <v>1</v>
      </c>
      <c r="AL53" s="63">
        <v>1</v>
      </c>
      <c r="AM53" s="63">
        <v>1</v>
      </c>
      <c r="AN53" s="63"/>
      <c r="AO53" s="39"/>
      <c r="AP53" s="39"/>
      <c r="AQ53" s="310">
        <v>1</v>
      </c>
      <c r="AR53" s="39">
        <v>1500</v>
      </c>
      <c r="AS53" s="312">
        <v>0.3</v>
      </c>
      <c r="AT53" s="311">
        <v>0.5</v>
      </c>
      <c r="AU53" s="39">
        <v>1</v>
      </c>
      <c r="AV53" s="39" t="s">
        <v>1476</v>
      </c>
      <c r="AW53" s="322" t="s">
        <v>1492</v>
      </c>
      <c r="AX53" s="322" t="s">
        <v>1493</v>
      </c>
      <c r="AY53" s="320"/>
      <c r="AZ53" s="320"/>
      <c r="BA53" s="78">
        <f t="shared" si="142"/>
        <v>15</v>
      </c>
      <c r="BB53" s="318">
        <f t="shared" si="157"/>
        <v>10</v>
      </c>
      <c r="BC53" s="78" t="s">
        <v>1490</v>
      </c>
      <c r="BD53" s="78">
        <f t="shared" si="143"/>
        <v>1</v>
      </c>
      <c r="BE53" s="78"/>
      <c r="BF53" s="63">
        <f t="shared" si="158"/>
        <v>150</v>
      </c>
      <c r="BG53" s="63">
        <f>IF(O53=0,BF53,BF53*(1+$BN$1))</f>
        <v>150</v>
      </c>
      <c r="BI53" s="63">
        <f t="shared" si="159"/>
        <v>0</v>
      </c>
      <c r="BT53" s="344">
        <f t="shared" si="160"/>
        <v>165</v>
      </c>
      <c r="BU53" s="353">
        <f t="shared" si="128"/>
        <v>0</v>
      </c>
      <c r="BV53" s="354">
        <v>6</v>
      </c>
      <c r="BW53" s="133">
        <v>5</v>
      </c>
      <c r="BX53" s="354">
        <v>8</v>
      </c>
      <c r="BY53" s="133">
        <v>2</v>
      </c>
      <c r="BZ53" s="354">
        <v>10</v>
      </c>
      <c r="CA53" s="133">
        <v>2</v>
      </c>
      <c r="CB53" s="133">
        <f t="shared" si="106"/>
        <v>7.333333333333333</v>
      </c>
      <c r="CC53" s="133">
        <f t="shared" si="165"/>
        <v>7.5</v>
      </c>
      <c r="CD53" s="358">
        <f t="shared" si="133"/>
        <v>0</v>
      </c>
      <c r="CE53" s="133">
        <f t="shared" si="165"/>
        <v>15</v>
      </c>
      <c r="CF53" s="359">
        <f t="shared" si="134"/>
        <v>0</v>
      </c>
      <c r="CG53" s="133">
        <f t="shared" si="165"/>
        <v>22.5</v>
      </c>
      <c r="CH53" s="360">
        <f t="shared" si="135"/>
        <v>0</v>
      </c>
      <c r="CJ53" s="229">
        <v>0</v>
      </c>
      <c r="CK53" s="387">
        <f t="shared" si="129"/>
        <v>0</v>
      </c>
      <c r="CL53" s="259">
        <f t="shared" si="161"/>
        <v>0</v>
      </c>
      <c r="CM53" s="383">
        <f t="shared" si="162"/>
        <v>0</v>
      </c>
      <c r="CN53" s="383">
        <f t="shared" si="37"/>
        <v>0</v>
      </c>
      <c r="CO53" s="384">
        <f t="shared" si="108"/>
        <v>0</v>
      </c>
      <c r="CP53" s="385">
        <f t="shared" si="163"/>
        <v>0</v>
      </c>
      <c r="CQ53" s="383">
        <f t="shared" si="39"/>
        <v>0</v>
      </c>
      <c r="CR53" s="386" t="e">
        <f t="shared" si="164"/>
        <v>#DIV/0!</v>
      </c>
      <c r="CS53" s="407">
        <f t="shared" si="109"/>
        <v>12</v>
      </c>
      <c r="CT53" s="408">
        <f t="shared" si="110"/>
        <v>1</v>
      </c>
      <c r="CU53" s="279"/>
      <c r="CV53" s="277">
        <v>12</v>
      </c>
      <c r="CW53" s="278">
        <v>1</v>
      </c>
      <c r="CY53" s="411"/>
      <c r="CZ53" s="230"/>
      <c r="DD53" s="414"/>
      <c r="DE53" s="407">
        <v>0</v>
      </c>
      <c r="DF53" s="259">
        <v>1</v>
      </c>
      <c r="DG53" s="415">
        <f>IF(DE53=0,0,DE$4*$E53/DE53*$DB$2)*2</f>
        <v>0</v>
      </c>
      <c r="DH53" s="407">
        <f t="shared" si="42"/>
        <v>0</v>
      </c>
      <c r="DI53" s="259">
        <f t="shared" si="111"/>
        <v>1</v>
      </c>
      <c r="DJ53" s="415">
        <f>IF(DH53=0,0,DH$4*$E53/DH53*$DB$2)*2</f>
        <v>0</v>
      </c>
      <c r="DK53" s="407">
        <f t="shared" si="45"/>
        <v>0</v>
      </c>
      <c r="DL53" s="259">
        <f t="shared" si="112"/>
        <v>1</v>
      </c>
      <c r="DM53" s="415">
        <f>IF(DK53=0,0,DK$4*$E53/DK53*$DB$2)*2</f>
        <v>0</v>
      </c>
      <c r="DN53" s="407">
        <f t="shared" si="113"/>
        <v>0</v>
      </c>
      <c r="DO53" s="259">
        <f t="shared" si="114"/>
        <v>1</v>
      </c>
      <c r="DP53" s="415">
        <f>IF(DN53=0,0,DN$4*$E53/DN53*$DB$2)*2</f>
        <v>0</v>
      </c>
      <c r="DQ53" s="407">
        <f t="shared" si="115"/>
        <v>0</v>
      </c>
      <c r="DR53" s="259">
        <f t="shared" si="116"/>
        <v>1</v>
      </c>
      <c r="DS53" s="415">
        <f>IF(DQ53=0,0,DQ$4*$E53/DQ53*$DB$2)*2</f>
        <v>0</v>
      </c>
      <c r="DT53" s="407">
        <f t="shared" si="117"/>
        <v>0</v>
      </c>
      <c r="DU53" s="259">
        <f t="shared" si="118"/>
        <v>1</v>
      </c>
      <c r="DV53" s="415">
        <f>IF(DT53=0,0,DT$4*$E53/DT53*$DB$2)*2</f>
        <v>0</v>
      </c>
      <c r="DW53" s="407">
        <f t="shared" si="119"/>
        <v>0</v>
      </c>
      <c r="DX53" s="259">
        <f t="shared" si="120"/>
        <v>1</v>
      </c>
      <c r="DY53" s="415">
        <f>IF(DW53=0,0,DW$4*$E53/DW53*$DB$2)*2</f>
        <v>0</v>
      </c>
      <c r="DZ53" s="407">
        <f t="shared" si="121"/>
        <v>0</v>
      </c>
      <c r="EA53" s="259">
        <f t="shared" si="122"/>
        <v>1</v>
      </c>
      <c r="EB53" s="415">
        <f>IF(DZ53=0,0,DZ$4*$E53/DZ53*$DB$2)*2</f>
        <v>0</v>
      </c>
      <c r="EC53" s="407">
        <f t="shared" si="123"/>
        <v>0</v>
      </c>
      <c r="ED53" s="259">
        <f t="shared" si="124"/>
        <v>1</v>
      </c>
      <c r="EE53" s="415">
        <f>IF(EC53=0,0,EC$4*$E53/EC53*$DB$2)*2</f>
        <v>0</v>
      </c>
      <c r="EF53" s="407">
        <f t="shared" si="125"/>
        <v>0</v>
      </c>
      <c r="EG53" s="259">
        <f t="shared" si="126"/>
        <v>1</v>
      </c>
      <c r="EH53" s="415">
        <f>IF(EF53=0,0,EF$4*$E53/EF53*$DB$2)*2</f>
        <v>0</v>
      </c>
      <c r="EI53" s="407">
        <f t="shared" si="171"/>
        <v>0</v>
      </c>
      <c r="EJ53" s="259">
        <f t="shared" si="70"/>
        <v>2</v>
      </c>
      <c r="EK53" s="415">
        <f>IF(EI53=0,0,EI$4*$E53/EI53*$DB$2)*2</f>
        <v>0</v>
      </c>
      <c r="EL53" s="407">
        <f t="shared" si="171"/>
        <v>0</v>
      </c>
      <c r="EM53" s="259">
        <f t="shared" si="73"/>
        <v>4</v>
      </c>
      <c r="EN53" s="415">
        <f>IF(EL53=0,0,EL$4*$E53/EL53*$DB$2)*2</f>
        <v>0</v>
      </c>
      <c r="EO53" s="407">
        <f t="shared" si="171"/>
        <v>0</v>
      </c>
      <c r="EP53" s="259">
        <f t="shared" si="76"/>
        <v>6</v>
      </c>
      <c r="EQ53" s="415">
        <f>IF(EO53=0,0,EO$4*$E53/EO53*$DB$2)*2</f>
        <v>0</v>
      </c>
      <c r="ER53" s="407">
        <f t="shared" si="171"/>
        <v>0</v>
      </c>
      <c r="ES53" s="259">
        <f t="shared" si="79"/>
        <v>8</v>
      </c>
      <c r="ET53" s="415">
        <f>IF(ER53=0,0,ER$4*$E53/ER53*$DB$2)*2</f>
        <v>0</v>
      </c>
      <c r="EU53" s="407">
        <f t="shared" si="171"/>
        <v>0</v>
      </c>
      <c r="EV53" s="259">
        <f t="shared" si="82"/>
        <v>10</v>
      </c>
      <c r="EW53" s="415">
        <f>IF(EU53=0,0,EU$4*$E53/EU53*$DB$2)*2</f>
        <v>0</v>
      </c>
      <c r="EX53" s="407">
        <f t="shared" si="171"/>
        <v>0</v>
      </c>
      <c r="EY53" s="259">
        <f t="shared" si="85"/>
        <v>20</v>
      </c>
      <c r="EZ53" s="415">
        <f>IF(EX53=0,0,EX$4*$E53/EX53*$DB$2)*2</f>
        <v>0</v>
      </c>
      <c r="FA53" s="407">
        <f t="shared" si="171"/>
        <v>0</v>
      </c>
      <c r="FB53" s="259">
        <f t="shared" si="88"/>
        <v>40</v>
      </c>
      <c r="FC53" s="415">
        <f>IF(FA53=0,0,FA$4*$E53/FA53*$DB$2)*2</f>
        <v>0</v>
      </c>
      <c r="FD53" s="407">
        <f t="shared" si="171"/>
        <v>0</v>
      </c>
      <c r="FE53" s="259">
        <f t="shared" si="91"/>
        <v>60</v>
      </c>
      <c r="FF53" s="415">
        <f>IF(FD53=0,0,FD$4*$E53/FD53*$DB$2)*2</f>
        <v>0</v>
      </c>
      <c r="FG53" s="407">
        <f t="shared" si="171"/>
        <v>0</v>
      </c>
      <c r="FH53" s="259">
        <f t="shared" si="94"/>
        <v>80</v>
      </c>
      <c r="FI53" s="415">
        <f>IF(FG53=0,0,FG$4*$E53/FG53*$DB$2)*2</f>
        <v>0</v>
      </c>
      <c r="FJ53" s="407">
        <f t="shared" si="171"/>
        <v>0</v>
      </c>
      <c r="FK53" s="259">
        <f t="shared" si="97"/>
        <v>100</v>
      </c>
      <c r="FL53" s="415">
        <f>IF(FJ53=0,0,FJ$4*$E53/FJ53*$DB$2)*2</f>
        <v>0</v>
      </c>
      <c r="FP53" s="421">
        <f t="shared" si="169"/>
        <v>0</v>
      </c>
      <c r="FQ53" s="421">
        <f t="shared" si="169"/>
        <v>0</v>
      </c>
      <c r="FR53" s="421">
        <f t="shared" si="169"/>
        <v>0</v>
      </c>
      <c r="FS53" s="421">
        <f t="shared" si="169"/>
        <v>0</v>
      </c>
      <c r="FT53" s="421">
        <f t="shared" si="169"/>
        <v>0</v>
      </c>
      <c r="FU53" s="421">
        <f t="shared" si="169"/>
        <v>0</v>
      </c>
      <c r="FV53" s="421">
        <f t="shared" si="169"/>
        <v>0</v>
      </c>
      <c r="FW53" s="421">
        <f t="shared" si="169"/>
        <v>0</v>
      </c>
      <c r="FX53" s="421">
        <f t="shared" si="169"/>
        <v>0</v>
      </c>
      <c r="FY53" s="421">
        <f t="shared" si="169"/>
        <v>0</v>
      </c>
      <c r="FZ53" s="421">
        <f t="shared" si="170"/>
        <v>0</v>
      </c>
      <c r="GA53" s="421">
        <f t="shared" si="170"/>
        <v>0</v>
      </c>
      <c r="GB53" s="421">
        <f t="shared" si="170"/>
        <v>0</v>
      </c>
      <c r="GC53" s="421">
        <f t="shared" si="170"/>
        <v>0</v>
      </c>
      <c r="GD53" s="421">
        <f t="shared" si="170"/>
        <v>0</v>
      </c>
      <c r="GE53" s="421">
        <f t="shared" si="170"/>
        <v>0</v>
      </c>
      <c r="GF53" s="421">
        <f t="shared" si="170"/>
        <v>0</v>
      </c>
      <c r="GG53" s="421">
        <f t="shared" si="170"/>
        <v>0</v>
      </c>
      <c r="GH53" s="421">
        <f t="shared" si="170"/>
        <v>0</v>
      </c>
      <c r="GI53" s="421">
        <f t="shared" si="170"/>
        <v>0</v>
      </c>
    </row>
    <row r="54" spans="1:191" x14ac:dyDescent="0.35">
      <c r="A54" s="63">
        <v>50</v>
      </c>
      <c r="B54" s="230"/>
      <c r="C54" s="245">
        <v>5</v>
      </c>
      <c r="D54" s="63">
        <v>-1</v>
      </c>
      <c r="E54" s="63">
        <v>300</v>
      </c>
      <c r="F54" s="63">
        <f>IF(C54=4,BK54,E54)</f>
        <v>300</v>
      </c>
      <c r="G54" s="63">
        <f t="shared" si="101"/>
        <v>300</v>
      </c>
      <c r="H54" s="63"/>
      <c r="I54" s="63">
        <f t="shared" si="166"/>
        <v>0</v>
      </c>
      <c r="J54" s="63">
        <f t="shared" si="167"/>
        <v>0</v>
      </c>
      <c r="K54" s="63">
        <v>0</v>
      </c>
      <c r="L54" s="63">
        <f>ROUND($BK$7/('全局参数|GlobalPar'!$B$18/10000/BF54),6)*0</f>
        <v>0</v>
      </c>
      <c r="M54" s="255">
        <v>0</v>
      </c>
      <c r="N54" s="256">
        <f>ROUND(IF(M54&lt;&gt;0,$BK$4/('全局参数|GlobalPar'!$B$18/10000/E54)/M54,0),6)</f>
        <v>0</v>
      </c>
      <c r="O54" s="259">
        <f t="shared" si="141"/>
        <v>0</v>
      </c>
      <c r="P54" s="260">
        <f t="shared" si="151"/>
        <v>0</v>
      </c>
      <c r="Q54" s="277">
        <v>12</v>
      </c>
      <c r="R54" s="278">
        <v>1</v>
      </c>
      <c r="S54" s="279" t="str">
        <f t="shared" si="21"/>
        <v>[[0,1],[0,1],[0,1],[0,1],[0,1],[0,1],[0,1],[0,1],[0,1],[0,1],[0,2],[0,4],[0,6],[0,8],[0,10],[0,20],[0,40],[0,60],[0,80],[0,100]]</v>
      </c>
      <c r="T54" s="63">
        <v>0</v>
      </c>
      <c r="U54" s="256">
        <v>0</v>
      </c>
      <c r="V54" s="287">
        <f t="shared" si="156"/>
        <v>0</v>
      </c>
      <c r="W54" s="288">
        <v>0</v>
      </c>
      <c r="X54" s="289">
        <f t="shared" si="102"/>
        <v>0</v>
      </c>
      <c r="Y54" s="304">
        <v>0</v>
      </c>
      <c r="Z54" s="63" t="str">
        <f t="shared" si="103"/>
        <v>[[6,5],[8,2],[10,2]]</v>
      </c>
      <c r="AA54" s="305" t="str">
        <f t="shared" si="104"/>
        <v>[0,0,0]</v>
      </c>
      <c r="AB54" s="305">
        <v>0.2</v>
      </c>
      <c r="AC54" s="305">
        <v>1</v>
      </c>
      <c r="AD54" s="306">
        <v>0</v>
      </c>
      <c r="AE54" s="63">
        <f>IF(C54=4,1,IF(OR(C54=5,C54=6),2,-1))</f>
        <v>2</v>
      </c>
      <c r="AF54" s="63">
        <v>0</v>
      </c>
      <c r="AG54" s="39">
        <v>2</v>
      </c>
      <c r="AH54" s="39"/>
      <c r="AI54" s="39">
        <v>0</v>
      </c>
      <c r="AJ54" s="63">
        <v>1</v>
      </c>
      <c r="AK54" s="63">
        <v>1</v>
      </c>
      <c r="AL54" s="63">
        <v>1</v>
      </c>
      <c r="AM54" s="63">
        <v>1</v>
      </c>
      <c r="AN54" s="63"/>
      <c r="AO54" s="39"/>
      <c r="AP54" s="39"/>
      <c r="AQ54" s="310">
        <v>1</v>
      </c>
      <c r="AR54" s="39">
        <v>300</v>
      </c>
      <c r="AS54" s="39">
        <v>0.18</v>
      </c>
      <c r="AT54" s="39">
        <v>0.8</v>
      </c>
      <c r="AU54" s="39">
        <v>1</v>
      </c>
      <c r="AV54" s="39" t="s">
        <v>1488</v>
      </c>
      <c r="AW54" s="316"/>
      <c r="AX54" s="316" t="s">
        <v>1489</v>
      </c>
      <c r="AY54" s="316"/>
      <c r="AZ54" s="316"/>
      <c r="BA54" s="78">
        <f t="shared" si="142"/>
        <v>30</v>
      </c>
      <c r="BB54" s="318">
        <f t="shared" si="157"/>
        <v>5</v>
      </c>
      <c r="BC54" s="78" t="s">
        <v>1490</v>
      </c>
      <c r="BD54" s="78">
        <f t="shared" si="143"/>
        <v>0.746</v>
      </c>
      <c r="BE54" s="78"/>
      <c r="BF54" s="63">
        <f t="shared" si="158"/>
        <v>300</v>
      </c>
      <c r="BG54" s="63">
        <f>IF(O54=0,BF54,BF54*(1+$BN$1))</f>
        <v>300</v>
      </c>
      <c r="BI54" s="63">
        <f t="shared" si="159"/>
        <v>0</v>
      </c>
      <c r="BT54" s="344">
        <f t="shared" si="160"/>
        <v>330</v>
      </c>
      <c r="BU54" s="353">
        <f t="shared" si="128"/>
        <v>0</v>
      </c>
      <c r="BV54" s="354">
        <v>6</v>
      </c>
      <c r="BW54" s="133">
        <v>5</v>
      </c>
      <c r="BX54" s="354">
        <v>8</v>
      </c>
      <c r="BY54" s="133">
        <v>2</v>
      </c>
      <c r="BZ54" s="354">
        <v>10</v>
      </c>
      <c r="CA54" s="133">
        <v>2</v>
      </c>
      <c r="CB54" s="133">
        <f t="shared" si="106"/>
        <v>7.333333333333333</v>
      </c>
      <c r="CC54" s="133">
        <f t="shared" si="165"/>
        <v>7.5</v>
      </c>
      <c r="CD54" s="358">
        <f t="shared" si="133"/>
        <v>0</v>
      </c>
      <c r="CE54" s="133">
        <f t="shared" si="165"/>
        <v>15</v>
      </c>
      <c r="CF54" s="359">
        <f t="shared" si="134"/>
        <v>0</v>
      </c>
      <c r="CG54" s="133">
        <f t="shared" si="165"/>
        <v>22.5</v>
      </c>
      <c r="CH54" s="360">
        <f t="shared" si="135"/>
        <v>0</v>
      </c>
      <c r="CJ54" s="229">
        <v>0</v>
      </c>
      <c r="CK54" s="387">
        <f t="shared" si="129"/>
        <v>0</v>
      </c>
      <c r="CL54" s="259">
        <f t="shared" si="161"/>
        <v>0</v>
      </c>
      <c r="CM54" s="383">
        <f t="shared" si="162"/>
        <v>0</v>
      </c>
      <c r="CN54" s="383">
        <f t="shared" si="37"/>
        <v>0</v>
      </c>
      <c r="CO54" s="384">
        <f t="shared" si="108"/>
        <v>0</v>
      </c>
      <c r="CP54" s="385">
        <f t="shared" si="163"/>
        <v>0</v>
      </c>
      <c r="CQ54" s="383">
        <f t="shared" si="39"/>
        <v>0</v>
      </c>
      <c r="CR54" s="386" t="e">
        <f t="shared" si="164"/>
        <v>#DIV/0!</v>
      </c>
      <c r="CS54" s="407">
        <f t="shared" si="109"/>
        <v>12</v>
      </c>
      <c r="CT54" s="408">
        <f t="shared" si="110"/>
        <v>1</v>
      </c>
      <c r="CU54" s="279"/>
      <c r="CV54" s="277">
        <v>12</v>
      </c>
      <c r="CW54" s="278">
        <v>1</v>
      </c>
      <c r="CY54" s="411"/>
      <c r="CZ54" s="230"/>
      <c r="DD54" s="414"/>
      <c r="DE54" s="407">
        <v>0</v>
      </c>
      <c r="DF54" s="259">
        <v>1</v>
      </c>
      <c r="DG54" s="414">
        <f t="shared" ref="DG54:DG62" si="172">IF(DE54=0,0,DE$4*$E54/DE54*$DB$2)</f>
        <v>0</v>
      </c>
      <c r="DH54" s="407">
        <f t="shared" si="42"/>
        <v>0</v>
      </c>
      <c r="DI54" s="259">
        <f t="shared" si="111"/>
        <v>1</v>
      </c>
      <c r="DJ54" s="414">
        <f t="shared" ref="DJ54:DJ62" si="173">IF(DH54=0,0,DH$4*$E54/DH54*$DB$2)</f>
        <v>0</v>
      </c>
      <c r="DK54" s="407">
        <f t="shared" si="45"/>
        <v>0</v>
      </c>
      <c r="DL54" s="259">
        <f t="shared" si="112"/>
        <v>1</v>
      </c>
      <c r="DM54" s="414">
        <f t="shared" ref="DM54:DM62" si="174">IF(DK54=0,0,DK$4*$E54/DK54*$DB$2)</f>
        <v>0</v>
      </c>
      <c r="DN54" s="407">
        <f t="shared" si="113"/>
        <v>0</v>
      </c>
      <c r="DO54" s="259">
        <f t="shared" si="114"/>
        <v>1</v>
      </c>
      <c r="DP54" s="414">
        <f t="shared" ref="DP54:DP62" si="175">IF(DN54=0,0,DN$4*$E54/DN54*$DB$2)</f>
        <v>0</v>
      </c>
      <c r="DQ54" s="407">
        <f t="shared" si="115"/>
        <v>0</v>
      </c>
      <c r="DR54" s="259">
        <f t="shared" si="116"/>
        <v>1</v>
      </c>
      <c r="DS54" s="414">
        <f t="shared" ref="DS54:DS62" si="176">IF(DQ54=0,0,DQ$4*$E54/DQ54*$DB$2)</f>
        <v>0</v>
      </c>
      <c r="DT54" s="407">
        <f t="shared" si="117"/>
        <v>0</v>
      </c>
      <c r="DU54" s="259">
        <f t="shared" si="118"/>
        <v>1</v>
      </c>
      <c r="DV54" s="414">
        <f t="shared" ref="DV54:DV62" si="177">IF(DT54=0,0,DT$4*$E54/DT54*$DB$2)</f>
        <v>0</v>
      </c>
      <c r="DW54" s="407">
        <f t="shared" si="119"/>
        <v>0</v>
      </c>
      <c r="DX54" s="259">
        <f t="shared" si="120"/>
        <v>1</v>
      </c>
      <c r="DY54" s="414">
        <f t="shared" ref="DY54:DY62" si="178">IF(DW54=0,0,DW$4*$E54/DW54*$DB$2)</f>
        <v>0</v>
      </c>
      <c r="DZ54" s="407">
        <f t="shared" si="121"/>
        <v>0</v>
      </c>
      <c r="EA54" s="259">
        <f t="shared" si="122"/>
        <v>1</v>
      </c>
      <c r="EB54" s="414">
        <f t="shared" ref="EB54:EB62" si="179">IF(DZ54=0,0,DZ$4*$E54/DZ54*$DB$2)</f>
        <v>0</v>
      </c>
      <c r="EC54" s="407">
        <f t="shared" si="123"/>
        <v>0</v>
      </c>
      <c r="ED54" s="259">
        <f t="shared" si="124"/>
        <v>1</v>
      </c>
      <c r="EE54" s="414">
        <f t="shared" ref="EE54:EE62" si="180">IF(EC54=0,0,EC$4*$E54/EC54*$DB$2)</f>
        <v>0</v>
      </c>
      <c r="EF54" s="407">
        <f t="shared" si="125"/>
        <v>0</v>
      </c>
      <c r="EG54" s="259">
        <f t="shared" si="126"/>
        <v>1</v>
      </c>
      <c r="EH54" s="414">
        <f t="shared" ref="EH54:EH62" si="181">IF(EF54=0,0,EF$4*$E54/EF54*$DB$2)</f>
        <v>0</v>
      </c>
      <c r="EI54" s="407">
        <f t="shared" si="171"/>
        <v>0</v>
      </c>
      <c r="EJ54" s="259">
        <f t="shared" si="70"/>
        <v>2</v>
      </c>
      <c r="EK54" s="414">
        <f t="shared" ref="EK54:EK62" si="182">IF(EI54=0,0,EI$4*$E54/EI54*$DB$2)</f>
        <v>0</v>
      </c>
      <c r="EL54" s="407">
        <f t="shared" si="171"/>
        <v>0</v>
      </c>
      <c r="EM54" s="259">
        <f t="shared" si="73"/>
        <v>4</v>
      </c>
      <c r="EN54" s="414">
        <f t="shared" ref="EN54:EN62" si="183">IF(EL54=0,0,EL$4*$E54/EL54*$DB$2)</f>
        <v>0</v>
      </c>
      <c r="EO54" s="407">
        <f t="shared" si="171"/>
        <v>0</v>
      </c>
      <c r="EP54" s="259">
        <f t="shared" si="76"/>
        <v>6</v>
      </c>
      <c r="EQ54" s="414">
        <f t="shared" ref="EQ54:EQ62" si="184">IF(EO54=0,0,EO$4*$E54/EO54*$DB$2)</f>
        <v>0</v>
      </c>
      <c r="ER54" s="407">
        <f t="shared" si="171"/>
        <v>0</v>
      </c>
      <c r="ES54" s="259">
        <f t="shared" si="79"/>
        <v>8</v>
      </c>
      <c r="ET54" s="414">
        <f t="shared" ref="ET54:ET62" si="185">IF(ER54=0,0,ER$4*$E54/ER54*$DB$2)</f>
        <v>0</v>
      </c>
      <c r="EU54" s="407">
        <f t="shared" si="171"/>
        <v>0</v>
      </c>
      <c r="EV54" s="259">
        <f t="shared" si="82"/>
        <v>10</v>
      </c>
      <c r="EW54" s="414">
        <f t="shared" ref="EW54:EW62" si="186">IF(EU54=0,0,EU$4*$E54/EU54*$DB$2)</f>
        <v>0</v>
      </c>
      <c r="EX54" s="407">
        <f t="shared" si="171"/>
        <v>0</v>
      </c>
      <c r="EY54" s="259">
        <f t="shared" si="85"/>
        <v>20</v>
      </c>
      <c r="EZ54" s="414">
        <f t="shared" ref="EZ54:EZ62" si="187">IF(EX54=0,0,EX$4*$E54/EX54*$DB$2)</f>
        <v>0</v>
      </c>
      <c r="FA54" s="407">
        <f t="shared" si="171"/>
        <v>0</v>
      </c>
      <c r="FB54" s="259">
        <f t="shared" si="88"/>
        <v>40</v>
      </c>
      <c r="FC54" s="414">
        <f t="shared" ref="FC54:FC62" si="188">IF(FA54=0,0,FA$4*$E54/FA54*$DB$2)</f>
        <v>0</v>
      </c>
      <c r="FD54" s="407">
        <f t="shared" si="171"/>
        <v>0</v>
      </c>
      <c r="FE54" s="259">
        <f t="shared" si="91"/>
        <v>60</v>
      </c>
      <c r="FF54" s="414">
        <f t="shared" ref="FF54:FF62" si="189">IF(FD54=0,0,FD$4*$E54/FD54*$DB$2)</f>
        <v>0</v>
      </c>
      <c r="FG54" s="407">
        <f t="shared" si="171"/>
        <v>0</v>
      </c>
      <c r="FH54" s="259">
        <f t="shared" si="94"/>
        <v>80</v>
      </c>
      <c r="FI54" s="414">
        <f t="shared" ref="FI54:FI62" si="190">IF(FG54=0,0,FG$4*$E54/FG54*$DB$2)</f>
        <v>0</v>
      </c>
      <c r="FJ54" s="407">
        <f t="shared" si="171"/>
        <v>0</v>
      </c>
      <c r="FK54" s="259">
        <f t="shared" si="97"/>
        <v>100</v>
      </c>
      <c r="FL54" s="414">
        <f t="shared" ref="FL54:FL62" si="191">IF(FJ54=0,0,FJ$4*$E54/FJ54*$DB$2)</f>
        <v>0</v>
      </c>
      <c r="FP54" s="421">
        <f t="shared" si="169"/>
        <v>0</v>
      </c>
      <c r="FQ54" s="421">
        <f t="shared" si="169"/>
        <v>0</v>
      </c>
      <c r="FR54" s="421">
        <f t="shared" si="169"/>
        <v>0</v>
      </c>
      <c r="FS54" s="421">
        <f t="shared" si="169"/>
        <v>0</v>
      </c>
      <c r="FT54" s="421">
        <f t="shared" si="169"/>
        <v>0</v>
      </c>
      <c r="FU54" s="421">
        <f t="shared" si="169"/>
        <v>0</v>
      </c>
      <c r="FV54" s="421">
        <f t="shared" si="169"/>
        <v>0</v>
      </c>
      <c r="FW54" s="421">
        <f t="shared" si="169"/>
        <v>0</v>
      </c>
      <c r="FX54" s="421">
        <f t="shared" si="169"/>
        <v>0</v>
      </c>
      <c r="FY54" s="421">
        <f t="shared" si="169"/>
        <v>0</v>
      </c>
      <c r="FZ54" s="421">
        <f t="shared" si="170"/>
        <v>0</v>
      </c>
      <c r="GA54" s="421">
        <f t="shared" si="170"/>
        <v>0</v>
      </c>
      <c r="GB54" s="421">
        <f t="shared" si="170"/>
        <v>0</v>
      </c>
      <c r="GC54" s="421">
        <f t="shared" si="170"/>
        <v>0</v>
      </c>
      <c r="GD54" s="421">
        <f t="shared" si="170"/>
        <v>0</v>
      </c>
      <c r="GE54" s="421">
        <f t="shared" si="170"/>
        <v>0</v>
      </c>
      <c r="GF54" s="421">
        <f t="shared" si="170"/>
        <v>0</v>
      </c>
      <c r="GG54" s="421">
        <f t="shared" si="170"/>
        <v>0</v>
      </c>
      <c r="GH54" s="421">
        <f t="shared" si="170"/>
        <v>0</v>
      </c>
      <c r="GI54" s="421">
        <f t="shared" si="170"/>
        <v>0</v>
      </c>
    </row>
    <row r="55" spans="1:191" x14ac:dyDescent="0.35">
      <c r="A55" s="63">
        <v>51</v>
      </c>
      <c r="B55" s="230"/>
      <c r="C55" s="245">
        <v>5</v>
      </c>
      <c r="D55" s="63">
        <v>-1</v>
      </c>
      <c r="E55" s="63">
        <v>300</v>
      </c>
      <c r="F55" s="63">
        <f>IF(C55=4,BK55,E55)</f>
        <v>300</v>
      </c>
      <c r="G55" s="63">
        <f t="shared" si="101"/>
        <v>300</v>
      </c>
      <c r="H55" s="63"/>
      <c r="I55" s="63">
        <f t="shared" si="166"/>
        <v>0</v>
      </c>
      <c r="J55" s="63">
        <f t="shared" si="167"/>
        <v>0</v>
      </c>
      <c r="K55" s="63">
        <v>0</v>
      </c>
      <c r="L55" s="63">
        <f>ROUND($BK$7/('全局参数|GlobalPar'!$B$18/10000/BF55),6)*0</f>
        <v>0</v>
      </c>
      <c r="M55" s="255">
        <v>0</v>
      </c>
      <c r="N55" s="256">
        <f>ROUND(IF(M55&lt;&gt;0,$BK$4/('全局参数|GlobalPar'!$B$18/10000/E55)/M55,0),6)</f>
        <v>0</v>
      </c>
      <c r="O55" s="259">
        <f t="shared" si="141"/>
        <v>0</v>
      </c>
      <c r="P55" s="260">
        <f t="shared" si="151"/>
        <v>0</v>
      </c>
      <c r="Q55" s="277">
        <v>12</v>
      </c>
      <c r="R55" s="278">
        <v>1</v>
      </c>
      <c r="S55" s="279" t="str">
        <f t="shared" si="21"/>
        <v>[[0,1],[0,1],[0,1],[0,1],[0,1],[0,1],[0,1],[0,1],[0,1],[0,1],[0,2],[0,4],[0,6],[0,8],[0,10],[0,20],[0,40],[0,60],[0,80],[0,100]]</v>
      </c>
      <c r="T55" s="63">
        <v>0</v>
      </c>
      <c r="U55" s="256">
        <v>0</v>
      </c>
      <c r="V55" s="287">
        <f t="shared" si="156"/>
        <v>0</v>
      </c>
      <c r="W55" s="288">
        <v>0</v>
      </c>
      <c r="X55" s="289">
        <f t="shared" si="102"/>
        <v>0</v>
      </c>
      <c r="Y55" s="304">
        <v>0</v>
      </c>
      <c r="Z55" s="63" t="str">
        <f t="shared" si="103"/>
        <v>[[6,5],[8,2],[10,2]]</v>
      </c>
      <c r="AA55" s="305" t="str">
        <f t="shared" si="104"/>
        <v>[0,0,0]</v>
      </c>
      <c r="AB55" s="305">
        <v>0.2</v>
      </c>
      <c r="AC55" s="305">
        <v>1</v>
      </c>
      <c r="AD55" s="306">
        <v>0</v>
      </c>
      <c r="AE55" s="63">
        <f>IF(C55=4,1,IF(OR(C55=5,C55=6),2,-1))</f>
        <v>2</v>
      </c>
      <c r="AF55" s="63">
        <v>0</v>
      </c>
      <c r="AG55" s="39"/>
      <c r="AH55" s="39"/>
      <c r="AI55" s="39">
        <v>0</v>
      </c>
      <c r="AJ55" s="63">
        <v>1</v>
      </c>
      <c r="AK55" s="63">
        <v>1</v>
      </c>
      <c r="AL55" s="63">
        <v>1</v>
      </c>
      <c r="AM55" s="63">
        <v>1</v>
      </c>
      <c r="AN55" s="63"/>
      <c r="AO55" s="39"/>
      <c r="AP55" s="39"/>
      <c r="AQ55" s="310">
        <v>1</v>
      </c>
      <c r="AR55" s="39">
        <v>300</v>
      </c>
      <c r="AS55" s="39">
        <v>0.18</v>
      </c>
      <c r="AT55" s="39">
        <v>0.8</v>
      </c>
      <c r="AU55" s="39">
        <v>1</v>
      </c>
      <c r="AV55" s="39" t="s">
        <v>1488</v>
      </c>
      <c r="AW55" s="316"/>
      <c r="AX55" s="316" t="s">
        <v>1489</v>
      </c>
      <c r="AY55" s="316"/>
      <c r="AZ55" s="316"/>
      <c r="BA55" s="78">
        <f t="shared" si="142"/>
        <v>30</v>
      </c>
      <c r="BB55" s="318">
        <f t="shared" si="157"/>
        <v>5</v>
      </c>
      <c r="BC55" s="78"/>
      <c r="BD55" s="78">
        <f t="shared" si="143"/>
        <v>0.746</v>
      </c>
      <c r="BE55" s="78"/>
      <c r="BF55" s="63">
        <f t="shared" si="158"/>
        <v>300</v>
      </c>
      <c r="BG55" s="63">
        <f>IF(O55=0,BF55,BF55*(1+$BN$1))</f>
        <v>300</v>
      </c>
      <c r="BI55" s="63">
        <f t="shared" si="159"/>
        <v>0</v>
      </c>
      <c r="BT55" s="344">
        <f t="shared" si="160"/>
        <v>330</v>
      </c>
      <c r="BU55" s="353">
        <f t="shared" si="128"/>
        <v>0</v>
      </c>
      <c r="BV55" s="354">
        <v>6</v>
      </c>
      <c r="BW55" s="133">
        <v>5</v>
      </c>
      <c r="BX55" s="354">
        <v>8</v>
      </c>
      <c r="BY55" s="133">
        <v>2</v>
      </c>
      <c r="BZ55" s="354">
        <v>10</v>
      </c>
      <c r="CA55" s="133">
        <v>2</v>
      </c>
      <c r="CB55" s="133">
        <f t="shared" si="106"/>
        <v>7.333333333333333</v>
      </c>
      <c r="CC55" s="133">
        <f t="shared" si="165"/>
        <v>7.5</v>
      </c>
      <c r="CD55" s="358">
        <f t="shared" si="133"/>
        <v>0</v>
      </c>
      <c r="CE55" s="133">
        <f t="shared" si="165"/>
        <v>15</v>
      </c>
      <c r="CF55" s="359">
        <f t="shared" si="134"/>
        <v>0</v>
      </c>
      <c r="CG55" s="133">
        <f t="shared" si="165"/>
        <v>22.5</v>
      </c>
      <c r="CH55" s="360">
        <f t="shared" si="135"/>
        <v>0</v>
      </c>
      <c r="CJ55" s="229">
        <v>0</v>
      </c>
      <c r="CK55" s="387">
        <f t="shared" si="129"/>
        <v>0</v>
      </c>
      <c r="CL55" s="259">
        <f t="shared" si="161"/>
        <v>0</v>
      </c>
      <c r="CM55" s="383">
        <f t="shared" si="162"/>
        <v>0</v>
      </c>
      <c r="CN55" s="383">
        <f t="shared" si="37"/>
        <v>0</v>
      </c>
      <c r="CO55" s="384">
        <f t="shared" si="108"/>
        <v>0</v>
      </c>
      <c r="CP55" s="385">
        <f t="shared" si="163"/>
        <v>0</v>
      </c>
      <c r="CQ55" s="383">
        <f t="shared" si="39"/>
        <v>0</v>
      </c>
      <c r="CR55" s="386" t="e">
        <f t="shared" si="164"/>
        <v>#DIV/0!</v>
      </c>
      <c r="CS55" s="407">
        <f t="shared" si="109"/>
        <v>12</v>
      </c>
      <c r="CT55" s="408">
        <f t="shared" si="110"/>
        <v>1</v>
      </c>
      <c r="CU55" s="279"/>
      <c r="CV55" s="277">
        <v>12</v>
      </c>
      <c r="CW55" s="278">
        <v>1</v>
      </c>
      <c r="CY55" s="411"/>
      <c r="CZ55" s="230"/>
      <c r="DD55" s="414"/>
      <c r="DE55" s="407">
        <v>0</v>
      </c>
      <c r="DF55" s="259">
        <v>1</v>
      </c>
      <c r="DG55" s="414">
        <f t="shared" si="172"/>
        <v>0</v>
      </c>
      <c r="DH55" s="407">
        <f t="shared" si="42"/>
        <v>0</v>
      </c>
      <c r="DI55" s="259">
        <f t="shared" si="111"/>
        <v>1</v>
      </c>
      <c r="DJ55" s="414">
        <f t="shared" si="173"/>
        <v>0</v>
      </c>
      <c r="DK55" s="407">
        <f t="shared" si="45"/>
        <v>0</v>
      </c>
      <c r="DL55" s="259">
        <f t="shared" si="112"/>
        <v>1</v>
      </c>
      <c r="DM55" s="414">
        <f t="shared" si="174"/>
        <v>0</v>
      </c>
      <c r="DN55" s="407">
        <f t="shared" si="113"/>
        <v>0</v>
      </c>
      <c r="DO55" s="259">
        <f t="shared" si="114"/>
        <v>1</v>
      </c>
      <c r="DP55" s="414">
        <f t="shared" si="175"/>
        <v>0</v>
      </c>
      <c r="DQ55" s="407">
        <f t="shared" si="115"/>
        <v>0</v>
      </c>
      <c r="DR55" s="259">
        <f t="shared" si="116"/>
        <v>1</v>
      </c>
      <c r="DS55" s="414">
        <f t="shared" si="176"/>
        <v>0</v>
      </c>
      <c r="DT55" s="407">
        <f t="shared" si="117"/>
        <v>0</v>
      </c>
      <c r="DU55" s="259">
        <f t="shared" si="118"/>
        <v>1</v>
      </c>
      <c r="DV55" s="414">
        <f t="shared" si="177"/>
        <v>0</v>
      </c>
      <c r="DW55" s="407">
        <f t="shared" si="119"/>
        <v>0</v>
      </c>
      <c r="DX55" s="259">
        <f t="shared" si="120"/>
        <v>1</v>
      </c>
      <c r="DY55" s="414">
        <f t="shared" si="178"/>
        <v>0</v>
      </c>
      <c r="DZ55" s="407">
        <f t="shared" si="121"/>
        <v>0</v>
      </c>
      <c r="EA55" s="259">
        <f t="shared" si="122"/>
        <v>1</v>
      </c>
      <c r="EB55" s="414">
        <f t="shared" si="179"/>
        <v>0</v>
      </c>
      <c r="EC55" s="407">
        <f t="shared" si="123"/>
        <v>0</v>
      </c>
      <c r="ED55" s="259">
        <f t="shared" si="124"/>
        <v>1</v>
      </c>
      <c r="EE55" s="414">
        <f t="shared" si="180"/>
        <v>0</v>
      </c>
      <c r="EF55" s="407">
        <f t="shared" si="125"/>
        <v>0</v>
      </c>
      <c r="EG55" s="259">
        <f t="shared" si="126"/>
        <v>1</v>
      </c>
      <c r="EH55" s="414">
        <f t="shared" si="181"/>
        <v>0</v>
      </c>
      <c r="EI55" s="407">
        <f t="shared" si="171"/>
        <v>0</v>
      </c>
      <c r="EJ55" s="259">
        <f t="shared" si="70"/>
        <v>2</v>
      </c>
      <c r="EK55" s="414">
        <f t="shared" si="182"/>
        <v>0</v>
      </c>
      <c r="EL55" s="407">
        <f t="shared" si="171"/>
        <v>0</v>
      </c>
      <c r="EM55" s="259">
        <f t="shared" si="73"/>
        <v>4</v>
      </c>
      <c r="EN55" s="414">
        <f t="shared" si="183"/>
        <v>0</v>
      </c>
      <c r="EO55" s="407">
        <f t="shared" si="171"/>
        <v>0</v>
      </c>
      <c r="EP55" s="259">
        <f t="shared" si="76"/>
        <v>6</v>
      </c>
      <c r="EQ55" s="414">
        <f t="shared" si="184"/>
        <v>0</v>
      </c>
      <c r="ER55" s="407">
        <f t="shared" si="171"/>
        <v>0</v>
      </c>
      <c r="ES55" s="259">
        <f t="shared" si="79"/>
        <v>8</v>
      </c>
      <c r="ET55" s="414">
        <f t="shared" si="185"/>
        <v>0</v>
      </c>
      <c r="EU55" s="407">
        <f t="shared" si="171"/>
        <v>0</v>
      </c>
      <c r="EV55" s="259">
        <f t="shared" si="82"/>
        <v>10</v>
      </c>
      <c r="EW55" s="414">
        <f t="shared" si="186"/>
        <v>0</v>
      </c>
      <c r="EX55" s="407">
        <f t="shared" si="171"/>
        <v>0</v>
      </c>
      <c r="EY55" s="259">
        <f t="shared" si="85"/>
        <v>20</v>
      </c>
      <c r="EZ55" s="414">
        <f t="shared" si="187"/>
        <v>0</v>
      </c>
      <c r="FA55" s="407">
        <f t="shared" si="171"/>
        <v>0</v>
      </c>
      <c r="FB55" s="259">
        <f t="shared" si="88"/>
        <v>40</v>
      </c>
      <c r="FC55" s="414">
        <f t="shared" si="188"/>
        <v>0</v>
      </c>
      <c r="FD55" s="407">
        <f t="shared" si="171"/>
        <v>0</v>
      </c>
      <c r="FE55" s="259">
        <f t="shared" si="91"/>
        <v>60</v>
      </c>
      <c r="FF55" s="414">
        <f t="shared" si="189"/>
        <v>0</v>
      </c>
      <c r="FG55" s="407">
        <f t="shared" si="171"/>
        <v>0</v>
      </c>
      <c r="FH55" s="259">
        <f t="shared" si="94"/>
        <v>80</v>
      </c>
      <c r="FI55" s="414">
        <f t="shared" si="190"/>
        <v>0</v>
      </c>
      <c r="FJ55" s="407">
        <f t="shared" si="171"/>
        <v>0</v>
      </c>
      <c r="FK55" s="259">
        <f t="shared" si="97"/>
        <v>100</v>
      </c>
      <c r="FL55" s="414">
        <f t="shared" si="191"/>
        <v>0</v>
      </c>
      <c r="FP55" s="421">
        <f t="shared" ref="FP55:FY62" si="192">$Y55*FP$4/10000*$E55*FP$3/$FX$1</f>
        <v>0</v>
      </c>
      <c r="FQ55" s="421">
        <f t="shared" si="192"/>
        <v>0</v>
      </c>
      <c r="FR55" s="421">
        <f t="shared" si="192"/>
        <v>0</v>
      </c>
      <c r="FS55" s="421">
        <f t="shared" si="192"/>
        <v>0</v>
      </c>
      <c r="FT55" s="421">
        <f t="shared" si="192"/>
        <v>0</v>
      </c>
      <c r="FU55" s="421">
        <f t="shared" si="192"/>
        <v>0</v>
      </c>
      <c r="FV55" s="421">
        <f t="shared" si="192"/>
        <v>0</v>
      </c>
      <c r="FW55" s="421">
        <f t="shared" si="192"/>
        <v>0</v>
      </c>
      <c r="FX55" s="421">
        <f t="shared" si="192"/>
        <v>0</v>
      </c>
      <c r="FY55" s="421">
        <f t="shared" si="192"/>
        <v>0</v>
      </c>
      <c r="FZ55" s="421">
        <f t="shared" ref="FZ55:GI62" si="193">$Y55*FZ$4/10000*$E55*FZ$3/$FX$1</f>
        <v>0</v>
      </c>
      <c r="GA55" s="421">
        <f t="shared" si="193"/>
        <v>0</v>
      </c>
      <c r="GB55" s="421">
        <f t="shared" si="193"/>
        <v>0</v>
      </c>
      <c r="GC55" s="421">
        <f t="shared" si="193"/>
        <v>0</v>
      </c>
      <c r="GD55" s="421">
        <f t="shared" si="193"/>
        <v>0</v>
      </c>
      <c r="GE55" s="421">
        <f t="shared" si="193"/>
        <v>0</v>
      </c>
      <c r="GF55" s="421">
        <f t="shared" si="193"/>
        <v>0</v>
      </c>
      <c r="GG55" s="421">
        <f t="shared" si="193"/>
        <v>0</v>
      </c>
      <c r="GH55" s="421">
        <f t="shared" si="193"/>
        <v>0</v>
      </c>
      <c r="GI55" s="421">
        <f t="shared" si="193"/>
        <v>0</v>
      </c>
    </row>
    <row r="56" spans="1:191" s="230" customFormat="1" x14ac:dyDescent="0.35">
      <c r="A56" s="63">
        <v>52</v>
      </c>
      <c r="B56" s="63" t="s">
        <v>1494</v>
      </c>
      <c r="C56" s="63">
        <v>8</v>
      </c>
      <c r="D56" s="63">
        <v>-1</v>
      </c>
      <c r="E56" s="71">
        <v>0</v>
      </c>
      <c r="F56" s="63"/>
      <c r="G56" s="71">
        <v>1010</v>
      </c>
      <c r="H56" s="63"/>
      <c r="I56" s="63">
        <f t="shared" si="166"/>
        <v>0</v>
      </c>
      <c r="J56" s="63">
        <f t="shared" si="167"/>
        <v>0</v>
      </c>
      <c r="K56" s="71">
        <v>1</v>
      </c>
      <c r="L56" s="63">
        <v>0</v>
      </c>
      <c r="M56" s="255">
        <v>0</v>
      </c>
      <c r="N56" s="256">
        <f>ROUND(IF(M56&lt;&gt;0,$BK$4/('全局参数|GlobalPar'!$B$18/10000/E56)/M56,0),6)</f>
        <v>0</v>
      </c>
      <c r="O56" s="259">
        <f t="shared" si="141"/>
        <v>0</v>
      </c>
      <c r="P56" s="260">
        <f t="shared" si="151"/>
        <v>0</v>
      </c>
      <c r="Q56" s="277">
        <v>12</v>
      </c>
      <c r="R56" s="278">
        <v>1</v>
      </c>
      <c r="S56" s="279" t="str">
        <f t="shared" si="21"/>
        <v>[[0,1],[0,1],[0,1],[0,1],[0,1],[0,1],[0,1],[0,1],[0,1],[0,1],[0,2],[0,4],[0,6],[0,8],[0,10],[0,20],[0,40],[0,60],[0,80],[0,100]]</v>
      </c>
      <c r="T56" s="63">
        <v>0</v>
      </c>
      <c r="U56" s="256">
        <v>0</v>
      </c>
      <c r="V56" s="287">
        <f t="shared" si="156"/>
        <v>0</v>
      </c>
      <c r="W56" s="288">
        <v>0</v>
      </c>
      <c r="X56" s="289">
        <f t="shared" si="102"/>
        <v>0</v>
      </c>
      <c r="Y56" s="304">
        <v>0</v>
      </c>
      <c r="Z56" s="63" t="str">
        <f t="shared" si="103"/>
        <v>[[6,5],[8,2],[10,2]]</v>
      </c>
      <c r="AA56" s="305" t="str">
        <f t="shared" si="104"/>
        <v>[0,0,0]</v>
      </c>
      <c r="AB56" s="305">
        <v>0.5</v>
      </c>
      <c r="AC56" s="305">
        <v>0</v>
      </c>
      <c r="AD56" s="306">
        <v>0</v>
      </c>
      <c r="AE56" s="63">
        <f t="shared" ref="AE56:AE62" si="194">IF(C56=4,1,IF(C56=6,2,-1))</f>
        <v>-1</v>
      </c>
      <c r="AF56" s="63">
        <v>0</v>
      </c>
      <c r="AG56" s="63"/>
      <c r="AH56" s="39">
        <v>3</v>
      </c>
      <c r="AI56" s="39">
        <v>0</v>
      </c>
      <c r="AJ56" s="63">
        <v>0.4</v>
      </c>
      <c r="AK56" s="63">
        <v>1</v>
      </c>
      <c r="AL56" s="63">
        <v>1</v>
      </c>
      <c r="AM56" s="63">
        <v>1</v>
      </c>
      <c r="AN56" s="63"/>
      <c r="AO56" s="39"/>
      <c r="AP56" s="39"/>
      <c r="AQ56" s="310">
        <v>1</v>
      </c>
      <c r="AR56" s="39">
        <v>1601</v>
      </c>
      <c r="AS56" s="39">
        <v>0.18</v>
      </c>
      <c r="AT56" s="39">
        <v>0.8</v>
      </c>
      <c r="AU56" s="39">
        <v>1</v>
      </c>
      <c r="AV56" s="39" t="s">
        <v>1314</v>
      </c>
      <c r="AW56" s="317" t="s">
        <v>1495</v>
      </c>
      <c r="AX56" s="317" t="s">
        <v>1496</v>
      </c>
      <c r="AY56" s="316"/>
      <c r="AZ56" s="316"/>
      <c r="BA56" s="78">
        <f t="shared" si="142"/>
        <v>0</v>
      </c>
      <c r="BB56" s="318">
        <f t="shared" si="157"/>
        <v>0</v>
      </c>
      <c r="BC56" s="78" t="s">
        <v>1317</v>
      </c>
      <c r="BD56" s="78">
        <f t="shared" si="143"/>
        <v>0.29899999999999999</v>
      </c>
      <c r="BE56" s="78"/>
      <c r="BF56" s="63">
        <f t="shared" si="158"/>
        <v>0</v>
      </c>
      <c r="BG56" s="63">
        <f t="shared" ref="BG56:BG62" si="195">BF56*(1+$BN$1)</f>
        <v>0</v>
      </c>
      <c r="BI56" s="63">
        <f t="shared" si="159"/>
        <v>0</v>
      </c>
      <c r="BJ56" s="229" t="s">
        <v>1318</v>
      </c>
      <c r="BP56" s="230" t="s">
        <v>1015</v>
      </c>
      <c r="BT56" s="344">
        <f t="shared" si="160"/>
        <v>0</v>
      </c>
      <c r="BU56" s="355">
        <v>0</v>
      </c>
      <c r="BV56" s="354">
        <v>6</v>
      </c>
      <c r="BW56" s="133">
        <v>5</v>
      </c>
      <c r="BX56" s="354">
        <v>8</v>
      </c>
      <c r="BY56" s="133">
        <v>2</v>
      </c>
      <c r="BZ56" s="354">
        <v>10</v>
      </c>
      <c r="CA56" s="133">
        <v>2</v>
      </c>
      <c r="CB56" s="133">
        <f t="shared" si="106"/>
        <v>7.333333333333333</v>
      </c>
      <c r="CC56" s="133">
        <f t="shared" si="165"/>
        <v>7.5</v>
      </c>
      <c r="CD56" s="358">
        <f t="shared" si="133"/>
        <v>0</v>
      </c>
      <c r="CE56" s="133">
        <f t="shared" si="165"/>
        <v>15</v>
      </c>
      <c r="CF56" s="359">
        <f t="shared" si="134"/>
        <v>0</v>
      </c>
      <c r="CG56" s="133">
        <f t="shared" si="165"/>
        <v>22.5</v>
      </c>
      <c r="CH56" s="360">
        <f t="shared" si="135"/>
        <v>0</v>
      </c>
      <c r="CJ56" s="230">
        <v>0</v>
      </c>
      <c r="CK56" s="387">
        <f t="shared" si="129"/>
        <v>0</v>
      </c>
      <c r="CL56" s="259">
        <f t="shared" si="161"/>
        <v>0</v>
      </c>
      <c r="CM56" s="383">
        <f t="shared" si="162"/>
        <v>0</v>
      </c>
      <c r="CN56" s="383">
        <f t="shared" si="37"/>
        <v>0</v>
      </c>
      <c r="CO56" s="384">
        <f t="shared" si="108"/>
        <v>0</v>
      </c>
      <c r="CP56" s="385">
        <f t="shared" si="163"/>
        <v>0</v>
      </c>
      <c r="CQ56" s="383">
        <f t="shared" si="39"/>
        <v>0</v>
      </c>
      <c r="CR56" s="386" t="e">
        <f t="shared" si="164"/>
        <v>#DIV/0!</v>
      </c>
      <c r="CS56" s="407">
        <f t="shared" si="109"/>
        <v>12</v>
      </c>
      <c r="CT56" s="408">
        <f t="shared" si="110"/>
        <v>1</v>
      </c>
      <c r="CU56" s="279"/>
      <c r="CV56" s="277">
        <v>12</v>
      </c>
      <c r="CW56" s="278">
        <v>1</v>
      </c>
      <c r="CY56" s="410"/>
      <c r="DD56" s="414"/>
      <c r="DE56" s="407">
        <v>0</v>
      </c>
      <c r="DF56" s="259">
        <v>1</v>
      </c>
      <c r="DG56" s="414">
        <f t="shared" si="172"/>
        <v>0</v>
      </c>
      <c r="DH56" s="407">
        <f t="shared" si="42"/>
        <v>0</v>
      </c>
      <c r="DI56" s="259">
        <f t="shared" si="111"/>
        <v>1</v>
      </c>
      <c r="DJ56" s="414">
        <f t="shared" si="173"/>
        <v>0</v>
      </c>
      <c r="DK56" s="407">
        <f t="shared" si="45"/>
        <v>0</v>
      </c>
      <c r="DL56" s="259">
        <f t="shared" si="112"/>
        <v>1</v>
      </c>
      <c r="DM56" s="414">
        <f t="shared" si="174"/>
        <v>0</v>
      </c>
      <c r="DN56" s="407">
        <f t="shared" si="113"/>
        <v>0</v>
      </c>
      <c r="DO56" s="259">
        <f t="shared" si="114"/>
        <v>1</v>
      </c>
      <c r="DP56" s="414">
        <f t="shared" si="175"/>
        <v>0</v>
      </c>
      <c r="DQ56" s="407">
        <f t="shared" si="115"/>
        <v>0</v>
      </c>
      <c r="DR56" s="259">
        <f t="shared" si="116"/>
        <v>1</v>
      </c>
      <c r="DS56" s="414">
        <f t="shared" si="176"/>
        <v>0</v>
      </c>
      <c r="DT56" s="407">
        <f t="shared" si="117"/>
        <v>0</v>
      </c>
      <c r="DU56" s="259">
        <f t="shared" si="118"/>
        <v>1</v>
      </c>
      <c r="DV56" s="414">
        <f t="shared" si="177"/>
        <v>0</v>
      </c>
      <c r="DW56" s="407">
        <f t="shared" si="119"/>
        <v>0</v>
      </c>
      <c r="DX56" s="259">
        <f t="shared" si="120"/>
        <v>1</v>
      </c>
      <c r="DY56" s="414">
        <f t="shared" si="178"/>
        <v>0</v>
      </c>
      <c r="DZ56" s="407">
        <f t="shared" si="121"/>
        <v>0</v>
      </c>
      <c r="EA56" s="259">
        <f t="shared" si="122"/>
        <v>1</v>
      </c>
      <c r="EB56" s="414">
        <f t="shared" si="179"/>
        <v>0</v>
      </c>
      <c r="EC56" s="407">
        <f t="shared" si="123"/>
        <v>0</v>
      </c>
      <c r="ED56" s="259">
        <f t="shared" si="124"/>
        <v>1</v>
      </c>
      <c r="EE56" s="414">
        <f t="shared" si="180"/>
        <v>0</v>
      </c>
      <c r="EF56" s="407">
        <f t="shared" si="125"/>
        <v>0</v>
      </c>
      <c r="EG56" s="259">
        <f t="shared" si="126"/>
        <v>1</v>
      </c>
      <c r="EH56" s="414">
        <f t="shared" si="181"/>
        <v>0</v>
      </c>
      <c r="EI56" s="407">
        <f t="shared" si="171"/>
        <v>0</v>
      </c>
      <c r="EJ56" s="259">
        <f t="shared" si="70"/>
        <v>2</v>
      </c>
      <c r="EK56" s="414">
        <f t="shared" si="182"/>
        <v>0</v>
      </c>
      <c r="EL56" s="407">
        <f t="shared" si="171"/>
        <v>0</v>
      </c>
      <c r="EM56" s="259">
        <f t="shared" si="73"/>
        <v>4</v>
      </c>
      <c r="EN56" s="414">
        <f t="shared" si="183"/>
        <v>0</v>
      </c>
      <c r="EO56" s="407">
        <f t="shared" si="171"/>
        <v>0</v>
      </c>
      <c r="EP56" s="259">
        <f t="shared" si="76"/>
        <v>6</v>
      </c>
      <c r="EQ56" s="414">
        <f t="shared" si="184"/>
        <v>0</v>
      </c>
      <c r="ER56" s="407">
        <f t="shared" si="171"/>
        <v>0</v>
      </c>
      <c r="ES56" s="259">
        <f t="shared" si="79"/>
        <v>8</v>
      </c>
      <c r="ET56" s="414">
        <f t="shared" si="185"/>
        <v>0</v>
      </c>
      <c r="EU56" s="407">
        <f t="shared" si="171"/>
        <v>0</v>
      </c>
      <c r="EV56" s="259">
        <f t="shared" si="82"/>
        <v>10</v>
      </c>
      <c r="EW56" s="414">
        <f t="shared" si="186"/>
        <v>0</v>
      </c>
      <c r="EX56" s="407">
        <f t="shared" si="171"/>
        <v>0</v>
      </c>
      <c r="EY56" s="259">
        <f t="shared" si="85"/>
        <v>20</v>
      </c>
      <c r="EZ56" s="414">
        <f t="shared" si="187"/>
        <v>0</v>
      </c>
      <c r="FA56" s="407">
        <f t="shared" si="171"/>
        <v>0</v>
      </c>
      <c r="FB56" s="259">
        <f t="shared" si="88"/>
        <v>40</v>
      </c>
      <c r="FC56" s="414">
        <f t="shared" si="188"/>
        <v>0</v>
      </c>
      <c r="FD56" s="407">
        <f t="shared" si="171"/>
        <v>0</v>
      </c>
      <c r="FE56" s="259">
        <f t="shared" si="91"/>
        <v>60</v>
      </c>
      <c r="FF56" s="414">
        <f t="shared" si="189"/>
        <v>0</v>
      </c>
      <c r="FG56" s="407">
        <f t="shared" si="171"/>
        <v>0</v>
      </c>
      <c r="FH56" s="259">
        <f t="shared" si="94"/>
        <v>80</v>
      </c>
      <c r="FI56" s="414">
        <f t="shared" si="190"/>
        <v>0</v>
      </c>
      <c r="FJ56" s="407">
        <f t="shared" si="171"/>
        <v>0</v>
      </c>
      <c r="FK56" s="259">
        <f t="shared" si="97"/>
        <v>100</v>
      </c>
      <c r="FL56" s="414">
        <f t="shared" si="191"/>
        <v>0</v>
      </c>
      <c r="FP56" s="421">
        <f t="shared" si="192"/>
        <v>0</v>
      </c>
      <c r="FQ56" s="421">
        <f t="shared" si="192"/>
        <v>0</v>
      </c>
      <c r="FR56" s="421">
        <f t="shared" si="192"/>
        <v>0</v>
      </c>
      <c r="FS56" s="421">
        <f t="shared" si="192"/>
        <v>0</v>
      </c>
      <c r="FT56" s="421">
        <f t="shared" si="192"/>
        <v>0</v>
      </c>
      <c r="FU56" s="421">
        <f t="shared" si="192"/>
        <v>0</v>
      </c>
      <c r="FV56" s="421">
        <f t="shared" si="192"/>
        <v>0</v>
      </c>
      <c r="FW56" s="421">
        <f t="shared" si="192"/>
        <v>0</v>
      </c>
      <c r="FX56" s="421">
        <f t="shared" si="192"/>
        <v>0</v>
      </c>
      <c r="FY56" s="421">
        <f t="shared" si="192"/>
        <v>0</v>
      </c>
      <c r="FZ56" s="421">
        <f t="shared" si="193"/>
        <v>0</v>
      </c>
      <c r="GA56" s="421">
        <f t="shared" si="193"/>
        <v>0</v>
      </c>
      <c r="GB56" s="421">
        <f t="shared" si="193"/>
        <v>0</v>
      </c>
      <c r="GC56" s="421">
        <f t="shared" si="193"/>
        <v>0</v>
      </c>
      <c r="GD56" s="421">
        <f t="shared" si="193"/>
        <v>0</v>
      </c>
      <c r="GE56" s="421">
        <f t="shared" si="193"/>
        <v>0</v>
      </c>
      <c r="GF56" s="421">
        <f t="shared" si="193"/>
        <v>0</v>
      </c>
      <c r="GG56" s="421">
        <f t="shared" si="193"/>
        <v>0</v>
      </c>
      <c r="GH56" s="421">
        <f t="shared" si="193"/>
        <v>0</v>
      </c>
      <c r="GI56" s="421">
        <f t="shared" si="193"/>
        <v>0</v>
      </c>
    </row>
    <row r="57" spans="1:191" s="230" customFormat="1" x14ac:dyDescent="0.35">
      <c r="A57" s="63">
        <v>53</v>
      </c>
      <c r="B57" s="63" t="s">
        <v>1494</v>
      </c>
      <c r="C57" s="63">
        <v>8</v>
      </c>
      <c r="D57" s="63">
        <v>-1</v>
      </c>
      <c r="E57" s="63">
        <v>0</v>
      </c>
      <c r="F57" s="63"/>
      <c r="G57" s="71">
        <v>1020</v>
      </c>
      <c r="H57" s="63"/>
      <c r="I57" s="63">
        <f t="shared" si="166"/>
        <v>0</v>
      </c>
      <c r="J57" s="63">
        <f t="shared" si="167"/>
        <v>0</v>
      </c>
      <c r="K57" s="71">
        <v>20</v>
      </c>
      <c r="L57" s="63">
        <v>0</v>
      </c>
      <c r="M57" s="255">
        <v>0</v>
      </c>
      <c r="N57" s="256">
        <f>ROUND(IF(M57&lt;&gt;0,$BK$4/('全局参数|GlobalPar'!$B$18/10000/E57)/M57,0),6)</f>
        <v>0</v>
      </c>
      <c r="O57" s="259">
        <f t="shared" si="141"/>
        <v>0</v>
      </c>
      <c r="P57" s="260">
        <f t="shared" si="151"/>
        <v>0</v>
      </c>
      <c r="Q57" s="277">
        <v>12</v>
      </c>
      <c r="R57" s="278">
        <v>1</v>
      </c>
      <c r="S57" s="279" t="str">
        <f t="shared" si="21"/>
        <v>[[0,1],[0,1],[0,1],[0,1],[0,1],[0,1],[0,1],[0,1],[0,1],[0,1],[0,2],[0,4],[0,6],[0,8],[0,10],[0,20],[0,40],[0,60],[0,80],[0,100]]</v>
      </c>
      <c r="T57" s="63">
        <v>0</v>
      </c>
      <c r="U57" s="256">
        <v>0</v>
      </c>
      <c r="V57" s="287">
        <f t="shared" si="156"/>
        <v>0</v>
      </c>
      <c r="W57" s="288">
        <v>0</v>
      </c>
      <c r="X57" s="289">
        <f t="shared" si="102"/>
        <v>0</v>
      </c>
      <c r="Y57" s="304">
        <v>0</v>
      </c>
      <c r="Z57" s="63" t="str">
        <f t="shared" si="103"/>
        <v>[[6,5],[8,2],[10,2]]</v>
      </c>
      <c r="AA57" s="305" t="str">
        <f t="shared" si="104"/>
        <v>[0,0,0]</v>
      </c>
      <c r="AB57" s="305">
        <v>0.5</v>
      </c>
      <c r="AC57" s="305">
        <v>0</v>
      </c>
      <c r="AD57" s="306">
        <v>0</v>
      </c>
      <c r="AE57" s="63">
        <f t="shared" si="194"/>
        <v>-1</v>
      </c>
      <c r="AF57" s="63">
        <v>0</v>
      </c>
      <c r="AG57" s="63">
        <v>1</v>
      </c>
      <c r="AH57" s="39">
        <v>4</v>
      </c>
      <c r="AI57" s="39">
        <v>0</v>
      </c>
      <c r="AJ57" s="63">
        <v>0.6</v>
      </c>
      <c r="AK57" s="63">
        <v>1</v>
      </c>
      <c r="AL57" s="63">
        <v>1</v>
      </c>
      <c r="AM57" s="63">
        <v>1</v>
      </c>
      <c r="AN57" s="63"/>
      <c r="AO57" s="39"/>
      <c r="AP57" s="39"/>
      <c r="AQ57" s="310">
        <v>1</v>
      </c>
      <c r="AR57" s="39">
        <v>1602</v>
      </c>
      <c r="AS57" s="39">
        <v>0.18</v>
      </c>
      <c r="AT57" s="39">
        <v>0.8</v>
      </c>
      <c r="AU57" s="39">
        <v>1</v>
      </c>
      <c r="AV57" s="39" t="s">
        <v>1386</v>
      </c>
      <c r="AW57" s="317" t="s">
        <v>1495</v>
      </c>
      <c r="AX57" s="317" t="s">
        <v>1497</v>
      </c>
      <c r="AY57" s="316"/>
      <c r="AZ57" s="316"/>
      <c r="BA57" s="78">
        <f t="shared" si="142"/>
        <v>0</v>
      </c>
      <c r="BB57" s="318">
        <f t="shared" si="157"/>
        <v>0</v>
      </c>
      <c r="BC57" s="78" t="s">
        <v>1317</v>
      </c>
      <c r="BD57" s="78">
        <f t="shared" si="143"/>
        <v>0.44800000000000001</v>
      </c>
      <c r="BE57" s="78"/>
      <c r="BF57" s="63">
        <f t="shared" si="158"/>
        <v>0</v>
      </c>
      <c r="BG57" s="63">
        <f t="shared" si="195"/>
        <v>0</v>
      </c>
      <c r="BI57" s="63">
        <f t="shared" si="159"/>
        <v>0</v>
      </c>
      <c r="BT57" s="344">
        <f t="shared" si="160"/>
        <v>0</v>
      </c>
      <c r="BU57" s="355">
        <f t="shared" si="128"/>
        <v>0</v>
      </c>
      <c r="BV57" s="354">
        <v>6</v>
      </c>
      <c r="BW57" s="133">
        <v>5</v>
      </c>
      <c r="BX57" s="354">
        <v>8</v>
      </c>
      <c r="BY57" s="133">
        <v>2</v>
      </c>
      <c r="BZ57" s="354">
        <v>10</v>
      </c>
      <c r="CA57" s="133">
        <v>2</v>
      </c>
      <c r="CB57" s="133">
        <f t="shared" si="106"/>
        <v>7.333333333333333</v>
      </c>
      <c r="CC57" s="133">
        <f t="shared" si="165"/>
        <v>7.5</v>
      </c>
      <c r="CD57" s="358">
        <f t="shared" si="133"/>
        <v>0</v>
      </c>
      <c r="CE57" s="133">
        <f t="shared" si="165"/>
        <v>15</v>
      </c>
      <c r="CF57" s="359">
        <f t="shared" si="134"/>
        <v>0</v>
      </c>
      <c r="CG57" s="133">
        <f t="shared" si="165"/>
        <v>22.5</v>
      </c>
      <c r="CH57" s="360">
        <f t="shared" si="135"/>
        <v>0</v>
      </c>
      <c r="CJ57" s="230">
        <v>0</v>
      </c>
      <c r="CK57" s="387">
        <f t="shared" si="129"/>
        <v>0</v>
      </c>
      <c r="CL57" s="259">
        <f t="shared" si="161"/>
        <v>0</v>
      </c>
      <c r="CM57" s="383">
        <f t="shared" si="162"/>
        <v>0</v>
      </c>
      <c r="CN57" s="383">
        <f t="shared" si="37"/>
        <v>0</v>
      </c>
      <c r="CO57" s="384">
        <f t="shared" si="108"/>
        <v>0</v>
      </c>
      <c r="CP57" s="385">
        <f t="shared" si="163"/>
        <v>0</v>
      </c>
      <c r="CQ57" s="383">
        <f t="shared" si="39"/>
        <v>0</v>
      </c>
      <c r="CR57" s="386" t="e">
        <f t="shared" si="164"/>
        <v>#DIV/0!</v>
      </c>
      <c r="CS57" s="407">
        <f t="shared" si="109"/>
        <v>12</v>
      </c>
      <c r="CT57" s="408">
        <f t="shared" si="110"/>
        <v>1</v>
      </c>
      <c r="CU57" s="279"/>
      <c r="CV57" s="277">
        <v>12</v>
      </c>
      <c r="CW57" s="278">
        <v>1</v>
      </c>
      <c r="CY57" s="410"/>
      <c r="DD57" s="414"/>
      <c r="DE57" s="407">
        <v>0</v>
      </c>
      <c r="DF57" s="259">
        <v>1</v>
      </c>
      <c r="DG57" s="414">
        <f t="shared" si="172"/>
        <v>0</v>
      </c>
      <c r="DH57" s="407">
        <f t="shared" si="42"/>
        <v>0</v>
      </c>
      <c r="DI57" s="259">
        <f t="shared" si="111"/>
        <v>1</v>
      </c>
      <c r="DJ57" s="414">
        <f t="shared" si="173"/>
        <v>0</v>
      </c>
      <c r="DK57" s="407">
        <f t="shared" si="45"/>
        <v>0</v>
      </c>
      <c r="DL57" s="259">
        <f t="shared" si="112"/>
        <v>1</v>
      </c>
      <c r="DM57" s="414">
        <f t="shared" si="174"/>
        <v>0</v>
      </c>
      <c r="DN57" s="407">
        <f t="shared" si="113"/>
        <v>0</v>
      </c>
      <c r="DO57" s="259">
        <f t="shared" si="114"/>
        <v>1</v>
      </c>
      <c r="DP57" s="414">
        <f t="shared" si="175"/>
        <v>0</v>
      </c>
      <c r="DQ57" s="407">
        <f t="shared" si="115"/>
        <v>0</v>
      </c>
      <c r="DR57" s="259">
        <f t="shared" si="116"/>
        <v>1</v>
      </c>
      <c r="DS57" s="414">
        <f t="shared" si="176"/>
        <v>0</v>
      </c>
      <c r="DT57" s="407">
        <f t="shared" si="117"/>
        <v>0</v>
      </c>
      <c r="DU57" s="259">
        <f t="shared" si="118"/>
        <v>1</v>
      </c>
      <c r="DV57" s="414">
        <f t="shared" si="177"/>
        <v>0</v>
      </c>
      <c r="DW57" s="407">
        <f t="shared" si="119"/>
        <v>0</v>
      </c>
      <c r="DX57" s="259">
        <f t="shared" si="120"/>
        <v>1</v>
      </c>
      <c r="DY57" s="414">
        <f t="shared" si="178"/>
        <v>0</v>
      </c>
      <c r="DZ57" s="407">
        <f t="shared" si="121"/>
        <v>0</v>
      </c>
      <c r="EA57" s="259">
        <f t="shared" si="122"/>
        <v>1</v>
      </c>
      <c r="EB57" s="414">
        <f t="shared" si="179"/>
        <v>0</v>
      </c>
      <c r="EC57" s="407">
        <f t="shared" si="123"/>
        <v>0</v>
      </c>
      <c r="ED57" s="259">
        <f t="shared" si="124"/>
        <v>1</v>
      </c>
      <c r="EE57" s="414">
        <f t="shared" si="180"/>
        <v>0</v>
      </c>
      <c r="EF57" s="407">
        <f t="shared" si="125"/>
        <v>0</v>
      </c>
      <c r="EG57" s="259">
        <f t="shared" si="126"/>
        <v>1</v>
      </c>
      <c r="EH57" s="414">
        <f t="shared" si="181"/>
        <v>0</v>
      </c>
      <c r="EI57" s="407">
        <f t="shared" si="171"/>
        <v>0</v>
      </c>
      <c r="EJ57" s="259">
        <f t="shared" si="70"/>
        <v>2</v>
      </c>
      <c r="EK57" s="414">
        <f t="shared" si="182"/>
        <v>0</v>
      </c>
      <c r="EL57" s="407">
        <f t="shared" si="171"/>
        <v>0</v>
      </c>
      <c r="EM57" s="259">
        <f t="shared" si="73"/>
        <v>4</v>
      </c>
      <c r="EN57" s="414">
        <f t="shared" si="183"/>
        <v>0</v>
      </c>
      <c r="EO57" s="407">
        <f t="shared" si="171"/>
        <v>0</v>
      </c>
      <c r="EP57" s="259">
        <f t="shared" si="76"/>
        <v>6</v>
      </c>
      <c r="EQ57" s="414">
        <f t="shared" si="184"/>
        <v>0</v>
      </c>
      <c r="ER57" s="407">
        <f t="shared" si="171"/>
        <v>0</v>
      </c>
      <c r="ES57" s="259">
        <f t="shared" si="79"/>
        <v>8</v>
      </c>
      <c r="ET57" s="414">
        <f t="shared" si="185"/>
        <v>0</v>
      </c>
      <c r="EU57" s="407">
        <f t="shared" si="171"/>
        <v>0</v>
      </c>
      <c r="EV57" s="259">
        <f t="shared" si="82"/>
        <v>10</v>
      </c>
      <c r="EW57" s="414">
        <f t="shared" si="186"/>
        <v>0</v>
      </c>
      <c r="EX57" s="407">
        <f t="shared" si="171"/>
        <v>0</v>
      </c>
      <c r="EY57" s="259">
        <f t="shared" si="85"/>
        <v>20</v>
      </c>
      <c r="EZ57" s="414">
        <f t="shared" si="187"/>
        <v>0</v>
      </c>
      <c r="FA57" s="407">
        <f t="shared" si="171"/>
        <v>0</v>
      </c>
      <c r="FB57" s="259">
        <f t="shared" si="88"/>
        <v>40</v>
      </c>
      <c r="FC57" s="414">
        <f t="shared" si="188"/>
        <v>0</v>
      </c>
      <c r="FD57" s="407">
        <f t="shared" si="171"/>
        <v>0</v>
      </c>
      <c r="FE57" s="259">
        <f t="shared" si="91"/>
        <v>60</v>
      </c>
      <c r="FF57" s="414">
        <f t="shared" si="189"/>
        <v>0</v>
      </c>
      <c r="FG57" s="407">
        <f t="shared" si="171"/>
        <v>0</v>
      </c>
      <c r="FH57" s="259">
        <f t="shared" si="94"/>
        <v>80</v>
      </c>
      <c r="FI57" s="414">
        <f t="shared" si="190"/>
        <v>0</v>
      </c>
      <c r="FJ57" s="407">
        <f t="shared" si="171"/>
        <v>0</v>
      </c>
      <c r="FK57" s="259">
        <f t="shared" si="97"/>
        <v>100</v>
      </c>
      <c r="FL57" s="414">
        <f t="shared" si="191"/>
        <v>0</v>
      </c>
      <c r="FP57" s="421">
        <f t="shared" si="192"/>
        <v>0</v>
      </c>
      <c r="FQ57" s="421">
        <f t="shared" si="192"/>
        <v>0</v>
      </c>
      <c r="FR57" s="421">
        <f t="shared" si="192"/>
        <v>0</v>
      </c>
      <c r="FS57" s="421">
        <f t="shared" si="192"/>
        <v>0</v>
      </c>
      <c r="FT57" s="421">
        <f t="shared" si="192"/>
        <v>0</v>
      </c>
      <c r="FU57" s="421">
        <f t="shared" si="192"/>
        <v>0</v>
      </c>
      <c r="FV57" s="421">
        <f t="shared" si="192"/>
        <v>0</v>
      </c>
      <c r="FW57" s="421">
        <f t="shared" si="192"/>
        <v>0</v>
      </c>
      <c r="FX57" s="421">
        <f t="shared" si="192"/>
        <v>0</v>
      </c>
      <c r="FY57" s="421">
        <f t="shared" si="192"/>
        <v>0</v>
      </c>
      <c r="FZ57" s="421">
        <f t="shared" si="193"/>
        <v>0</v>
      </c>
      <c r="GA57" s="421">
        <f t="shared" si="193"/>
        <v>0</v>
      </c>
      <c r="GB57" s="421">
        <f t="shared" si="193"/>
        <v>0</v>
      </c>
      <c r="GC57" s="421">
        <f t="shared" si="193"/>
        <v>0</v>
      </c>
      <c r="GD57" s="421">
        <f t="shared" si="193"/>
        <v>0</v>
      </c>
      <c r="GE57" s="421">
        <f t="shared" si="193"/>
        <v>0</v>
      </c>
      <c r="GF57" s="421">
        <f t="shared" si="193"/>
        <v>0</v>
      </c>
      <c r="GG57" s="421">
        <f t="shared" si="193"/>
        <v>0</v>
      </c>
      <c r="GH57" s="421">
        <f t="shared" si="193"/>
        <v>0</v>
      </c>
      <c r="GI57" s="421">
        <f t="shared" si="193"/>
        <v>0</v>
      </c>
    </row>
    <row r="58" spans="1:191" x14ac:dyDescent="0.35">
      <c r="A58" s="63">
        <v>54</v>
      </c>
      <c r="B58" s="63" t="s">
        <v>1494</v>
      </c>
      <c r="C58" s="63">
        <v>8</v>
      </c>
      <c r="D58" s="63">
        <v>-1</v>
      </c>
      <c r="E58" s="63">
        <v>0</v>
      </c>
      <c r="F58" s="63"/>
      <c r="G58" s="71">
        <v>1030</v>
      </c>
      <c r="H58" s="63"/>
      <c r="I58" s="63">
        <f t="shared" si="166"/>
        <v>0</v>
      </c>
      <c r="J58" s="63">
        <f t="shared" si="167"/>
        <v>0</v>
      </c>
      <c r="K58" s="71">
        <v>50</v>
      </c>
      <c r="L58" s="63">
        <v>0</v>
      </c>
      <c r="M58" s="255">
        <v>0</v>
      </c>
      <c r="N58" s="256">
        <f>ROUND(IF(M58&lt;&gt;0,$BK$4/('全局参数|GlobalPar'!$B$18/10000/E58)/M58,0),6)</f>
        <v>0</v>
      </c>
      <c r="O58" s="259">
        <f t="shared" si="141"/>
        <v>0</v>
      </c>
      <c r="P58" s="260">
        <f t="shared" si="151"/>
        <v>0</v>
      </c>
      <c r="Q58" s="277">
        <v>12</v>
      </c>
      <c r="R58" s="278">
        <v>1</v>
      </c>
      <c r="S58" s="279" t="str">
        <f t="shared" si="21"/>
        <v>[[0,1],[0,1],[0,1],[0,1],[0,1],[0,1],[0,1],[0,1],[0,1],[0,1],[0,2],[0,4],[0,6],[0,8],[0,10],[0,20],[0,40],[0,60],[0,80],[0,100]]</v>
      </c>
      <c r="T58" s="63">
        <v>0</v>
      </c>
      <c r="U58" s="256">
        <v>0</v>
      </c>
      <c r="V58" s="287">
        <f t="shared" si="156"/>
        <v>0</v>
      </c>
      <c r="W58" s="288">
        <v>0</v>
      </c>
      <c r="X58" s="289">
        <f t="shared" si="102"/>
        <v>0</v>
      </c>
      <c r="Y58" s="304">
        <v>0</v>
      </c>
      <c r="Z58" s="63" t="str">
        <f t="shared" si="103"/>
        <v>[[6,5],[8,2],[10,2]]</v>
      </c>
      <c r="AA58" s="305" t="str">
        <f t="shared" si="104"/>
        <v>[0,0,0]</v>
      </c>
      <c r="AB58" s="305">
        <v>0.5</v>
      </c>
      <c r="AC58" s="305">
        <v>0</v>
      </c>
      <c r="AD58" s="306">
        <v>0</v>
      </c>
      <c r="AE58" s="63">
        <f t="shared" si="194"/>
        <v>-1</v>
      </c>
      <c r="AF58" s="63">
        <v>0</v>
      </c>
      <c r="AG58" s="39">
        <v>2</v>
      </c>
      <c r="AH58" s="39">
        <v>4</v>
      </c>
      <c r="AI58" s="39">
        <v>0</v>
      </c>
      <c r="AJ58" s="63">
        <v>1</v>
      </c>
      <c r="AK58" s="63">
        <v>1</v>
      </c>
      <c r="AL58" s="63">
        <v>1</v>
      </c>
      <c r="AM58" s="63">
        <v>1</v>
      </c>
      <c r="AN58" s="63"/>
      <c r="AO58" s="39"/>
      <c r="AP58" s="39"/>
      <c r="AQ58" s="310">
        <v>1</v>
      </c>
      <c r="AR58" s="39">
        <v>1603</v>
      </c>
      <c r="AS58" s="39">
        <v>0.18</v>
      </c>
      <c r="AT58" s="39">
        <v>0.8</v>
      </c>
      <c r="AU58" s="39">
        <v>1</v>
      </c>
      <c r="AV58" s="39" t="s">
        <v>1452</v>
      </c>
      <c r="AW58" s="317" t="s">
        <v>1495</v>
      </c>
      <c r="AX58" s="317" t="s">
        <v>1497</v>
      </c>
      <c r="AY58" s="316"/>
      <c r="AZ58" s="316"/>
      <c r="BA58" s="78">
        <f t="shared" si="142"/>
        <v>0</v>
      </c>
      <c r="BB58" s="318">
        <f t="shared" si="157"/>
        <v>0</v>
      </c>
      <c r="BC58" s="78" t="s">
        <v>1317</v>
      </c>
      <c r="BD58" s="78">
        <f t="shared" si="143"/>
        <v>0.746</v>
      </c>
      <c r="BE58" s="78"/>
      <c r="BF58" s="63">
        <f t="shared" si="158"/>
        <v>0</v>
      </c>
      <c r="BG58" s="63">
        <f t="shared" si="195"/>
        <v>0</v>
      </c>
      <c r="BI58" s="63">
        <f t="shared" si="159"/>
        <v>0</v>
      </c>
      <c r="BT58" s="344">
        <f t="shared" si="160"/>
        <v>0</v>
      </c>
      <c r="BU58" s="355">
        <f t="shared" si="128"/>
        <v>0</v>
      </c>
      <c r="BV58" s="354">
        <v>6</v>
      </c>
      <c r="BW58" s="133">
        <v>5</v>
      </c>
      <c r="BX58" s="354">
        <v>8</v>
      </c>
      <c r="BY58" s="133">
        <v>2</v>
      </c>
      <c r="BZ58" s="354">
        <v>10</v>
      </c>
      <c r="CA58" s="133">
        <v>2</v>
      </c>
      <c r="CB58" s="133">
        <f t="shared" si="106"/>
        <v>7.333333333333333</v>
      </c>
      <c r="CC58" s="133">
        <f t="shared" si="165"/>
        <v>7.5</v>
      </c>
      <c r="CD58" s="358">
        <f t="shared" si="133"/>
        <v>0</v>
      </c>
      <c r="CE58" s="133">
        <f t="shared" si="165"/>
        <v>15</v>
      </c>
      <c r="CF58" s="359">
        <f t="shared" si="134"/>
        <v>0</v>
      </c>
      <c r="CG58" s="133">
        <f t="shared" si="165"/>
        <v>22.5</v>
      </c>
      <c r="CH58" s="360">
        <f t="shared" si="135"/>
        <v>0</v>
      </c>
      <c r="CJ58" s="229">
        <v>0</v>
      </c>
      <c r="CK58" s="387">
        <f t="shared" si="129"/>
        <v>0</v>
      </c>
      <c r="CL58" s="259">
        <f t="shared" si="161"/>
        <v>0</v>
      </c>
      <c r="CM58" s="383">
        <f t="shared" si="162"/>
        <v>0</v>
      </c>
      <c r="CN58" s="383">
        <f t="shared" si="37"/>
        <v>0</v>
      </c>
      <c r="CO58" s="384">
        <f t="shared" si="108"/>
        <v>0</v>
      </c>
      <c r="CP58" s="385">
        <f t="shared" si="163"/>
        <v>0</v>
      </c>
      <c r="CQ58" s="383">
        <f t="shared" si="39"/>
        <v>0</v>
      </c>
      <c r="CR58" s="386" t="e">
        <f t="shared" si="164"/>
        <v>#DIV/0!</v>
      </c>
      <c r="CS58" s="407">
        <f t="shared" si="109"/>
        <v>12</v>
      </c>
      <c r="CT58" s="408">
        <f t="shared" si="110"/>
        <v>1</v>
      </c>
      <c r="CU58" s="279"/>
      <c r="CV58" s="277">
        <v>12</v>
      </c>
      <c r="CW58" s="278">
        <v>1</v>
      </c>
      <c r="CY58" s="411"/>
      <c r="CZ58" s="230"/>
      <c r="DD58" s="414"/>
      <c r="DE58" s="407">
        <v>0</v>
      </c>
      <c r="DF58" s="259">
        <v>1</v>
      </c>
      <c r="DG58" s="414">
        <f t="shared" si="172"/>
        <v>0</v>
      </c>
      <c r="DH58" s="407">
        <f t="shared" si="42"/>
        <v>0</v>
      </c>
      <c r="DI58" s="259">
        <f t="shared" si="111"/>
        <v>1</v>
      </c>
      <c r="DJ58" s="414">
        <f t="shared" si="173"/>
        <v>0</v>
      </c>
      <c r="DK58" s="407">
        <f t="shared" si="45"/>
        <v>0</v>
      </c>
      <c r="DL58" s="259">
        <f t="shared" si="112"/>
        <v>1</v>
      </c>
      <c r="DM58" s="414">
        <f t="shared" si="174"/>
        <v>0</v>
      </c>
      <c r="DN58" s="407">
        <f t="shared" si="113"/>
        <v>0</v>
      </c>
      <c r="DO58" s="259">
        <f t="shared" si="114"/>
        <v>1</v>
      </c>
      <c r="DP58" s="414">
        <f t="shared" si="175"/>
        <v>0</v>
      </c>
      <c r="DQ58" s="407">
        <f t="shared" si="115"/>
        <v>0</v>
      </c>
      <c r="DR58" s="259">
        <f t="shared" si="116"/>
        <v>1</v>
      </c>
      <c r="DS58" s="414">
        <f t="shared" si="176"/>
        <v>0</v>
      </c>
      <c r="DT58" s="407">
        <f t="shared" si="117"/>
        <v>0</v>
      </c>
      <c r="DU58" s="259">
        <f t="shared" si="118"/>
        <v>1</v>
      </c>
      <c r="DV58" s="414">
        <f t="shared" si="177"/>
        <v>0</v>
      </c>
      <c r="DW58" s="407">
        <f t="shared" si="119"/>
        <v>0</v>
      </c>
      <c r="DX58" s="259">
        <f t="shared" si="120"/>
        <v>1</v>
      </c>
      <c r="DY58" s="414">
        <f t="shared" si="178"/>
        <v>0</v>
      </c>
      <c r="DZ58" s="407">
        <f t="shared" si="121"/>
        <v>0</v>
      </c>
      <c r="EA58" s="259">
        <f t="shared" si="122"/>
        <v>1</v>
      </c>
      <c r="EB58" s="414">
        <f t="shared" si="179"/>
        <v>0</v>
      </c>
      <c r="EC58" s="407">
        <f t="shared" si="123"/>
        <v>0</v>
      </c>
      <c r="ED58" s="259">
        <f t="shared" si="124"/>
        <v>1</v>
      </c>
      <c r="EE58" s="414">
        <f t="shared" si="180"/>
        <v>0</v>
      </c>
      <c r="EF58" s="407">
        <f t="shared" si="125"/>
        <v>0</v>
      </c>
      <c r="EG58" s="259">
        <f t="shared" si="126"/>
        <v>1</v>
      </c>
      <c r="EH58" s="414">
        <f t="shared" si="181"/>
        <v>0</v>
      </c>
      <c r="EI58" s="407">
        <f t="shared" si="171"/>
        <v>0</v>
      </c>
      <c r="EJ58" s="259">
        <f t="shared" si="70"/>
        <v>2</v>
      </c>
      <c r="EK58" s="414">
        <f t="shared" si="182"/>
        <v>0</v>
      </c>
      <c r="EL58" s="407">
        <f t="shared" si="171"/>
        <v>0</v>
      </c>
      <c r="EM58" s="259">
        <f t="shared" si="73"/>
        <v>4</v>
      </c>
      <c r="EN58" s="414">
        <f t="shared" si="183"/>
        <v>0</v>
      </c>
      <c r="EO58" s="407">
        <f t="shared" si="171"/>
        <v>0</v>
      </c>
      <c r="EP58" s="259">
        <f t="shared" si="76"/>
        <v>6</v>
      </c>
      <c r="EQ58" s="414">
        <f t="shared" si="184"/>
        <v>0</v>
      </c>
      <c r="ER58" s="407">
        <f t="shared" si="171"/>
        <v>0</v>
      </c>
      <c r="ES58" s="259">
        <f t="shared" si="79"/>
        <v>8</v>
      </c>
      <c r="ET58" s="414">
        <f t="shared" si="185"/>
        <v>0</v>
      </c>
      <c r="EU58" s="407">
        <f t="shared" si="171"/>
        <v>0</v>
      </c>
      <c r="EV58" s="259">
        <f t="shared" si="82"/>
        <v>10</v>
      </c>
      <c r="EW58" s="414">
        <f t="shared" si="186"/>
        <v>0</v>
      </c>
      <c r="EX58" s="407">
        <f t="shared" si="171"/>
        <v>0</v>
      </c>
      <c r="EY58" s="259">
        <f t="shared" si="85"/>
        <v>20</v>
      </c>
      <c r="EZ58" s="414">
        <f t="shared" si="187"/>
        <v>0</v>
      </c>
      <c r="FA58" s="407">
        <f t="shared" si="171"/>
        <v>0</v>
      </c>
      <c r="FB58" s="259">
        <f t="shared" si="88"/>
        <v>40</v>
      </c>
      <c r="FC58" s="414">
        <f t="shared" si="188"/>
        <v>0</v>
      </c>
      <c r="FD58" s="407">
        <f t="shared" si="171"/>
        <v>0</v>
      </c>
      <c r="FE58" s="259">
        <f t="shared" si="91"/>
        <v>60</v>
      </c>
      <c r="FF58" s="414">
        <f t="shared" si="189"/>
        <v>0</v>
      </c>
      <c r="FG58" s="407">
        <f t="shared" si="171"/>
        <v>0</v>
      </c>
      <c r="FH58" s="259">
        <f t="shared" si="94"/>
        <v>80</v>
      </c>
      <c r="FI58" s="414">
        <f t="shared" si="190"/>
        <v>0</v>
      </c>
      <c r="FJ58" s="407">
        <f t="shared" si="171"/>
        <v>0</v>
      </c>
      <c r="FK58" s="259">
        <f t="shared" si="97"/>
        <v>100</v>
      </c>
      <c r="FL58" s="414">
        <f t="shared" si="191"/>
        <v>0</v>
      </c>
      <c r="FP58" s="421">
        <f t="shared" si="192"/>
        <v>0</v>
      </c>
      <c r="FQ58" s="421">
        <f t="shared" si="192"/>
        <v>0</v>
      </c>
      <c r="FR58" s="421">
        <f t="shared" si="192"/>
        <v>0</v>
      </c>
      <c r="FS58" s="421">
        <f t="shared" si="192"/>
        <v>0</v>
      </c>
      <c r="FT58" s="421">
        <f t="shared" si="192"/>
        <v>0</v>
      </c>
      <c r="FU58" s="421">
        <f t="shared" si="192"/>
        <v>0</v>
      </c>
      <c r="FV58" s="421">
        <f t="shared" si="192"/>
        <v>0</v>
      </c>
      <c r="FW58" s="421">
        <f t="shared" si="192"/>
        <v>0</v>
      </c>
      <c r="FX58" s="421">
        <f t="shared" si="192"/>
        <v>0</v>
      </c>
      <c r="FY58" s="421">
        <f t="shared" si="192"/>
        <v>0</v>
      </c>
      <c r="FZ58" s="421">
        <f t="shared" si="193"/>
        <v>0</v>
      </c>
      <c r="GA58" s="421">
        <f t="shared" si="193"/>
        <v>0</v>
      </c>
      <c r="GB58" s="421">
        <f t="shared" si="193"/>
        <v>0</v>
      </c>
      <c r="GC58" s="421">
        <f t="shared" si="193"/>
        <v>0</v>
      </c>
      <c r="GD58" s="421">
        <f t="shared" si="193"/>
        <v>0</v>
      </c>
      <c r="GE58" s="421">
        <f t="shared" si="193"/>
        <v>0</v>
      </c>
      <c r="GF58" s="421">
        <f t="shared" si="193"/>
        <v>0</v>
      </c>
      <c r="GG58" s="421">
        <f t="shared" si="193"/>
        <v>0</v>
      </c>
      <c r="GH58" s="421">
        <f t="shared" si="193"/>
        <v>0</v>
      </c>
      <c r="GI58" s="421">
        <f t="shared" si="193"/>
        <v>0</v>
      </c>
    </row>
    <row r="59" spans="1:191" s="230" customFormat="1" x14ac:dyDescent="0.35">
      <c r="A59" s="63">
        <v>55</v>
      </c>
      <c r="B59" s="63" t="s">
        <v>1494</v>
      </c>
      <c r="C59" s="63">
        <v>8</v>
      </c>
      <c r="D59" s="63">
        <v>-1</v>
      </c>
      <c r="E59" s="63">
        <v>0</v>
      </c>
      <c r="F59" s="63"/>
      <c r="G59" s="71">
        <v>1040</v>
      </c>
      <c r="H59" s="63"/>
      <c r="I59" s="63">
        <f t="shared" si="166"/>
        <v>0</v>
      </c>
      <c r="J59" s="63">
        <f t="shared" si="167"/>
        <v>0</v>
      </c>
      <c r="K59" s="71">
        <v>200</v>
      </c>
      <c r="L59" s="63">
        <v>0</v>
      </c>
      <c r="M59" s="255">
        <v>0</v>
      </c>
      <c r="N59" s="256">
        <f>ROUND(IF(M59&lt;&gt;0,$BK$4/('全局参数|GlobalPar'!$B$18/10000/E59)/M59,0),6)</f>
        <v>0</v>
      </c>
      <c r="O59" s="259">
        <f t="shared" si="141"/>
        <v>0</v>
      </c>
      <c r="P59" s="260">
        <f t="shared" si="151"/>
        <v>0</v>
      </c>
      <c r="Q59" s="291">
        <v>12</v>
      </c>
      <c r="R59" s="292">
        <v>1</v>
      </c>
      <c r="S59" s="279" t="str">
        <f t="shared" si="21"/>
        <v>[[0,1],[0,1],[0,1],[0,1],[0,1],[0,1],[0,1],[0,1],[0,1],[0,1],[0,2],[0,4],[0,6],[0,8],[0,10],[0,20],[0,40],[0,60],[0,80],[0,100]]</v>
      </c>
      <c r="T59" s="63">
        <v>0</v>
      </c>
      <c r="U59" s="256">
        <v>0</v>
      </c>
      <c r="V59" s="287">
        <f t="shared" si="156"/>
        <v>0</v>
      </c>
      <c r="W59" s="288">
        <v>0</v>
      </c>
      <c r="X59" s="289">
        <f t="shared" si="102"/>
        <v>0</v>
      </c>
      <c r="Y59" s="304">
        <v>0</v>
      </c>
      <c r="Z59" s="63" t="str">
        <f t="shared" si="103"/>
        <v>[[6,5],[8,2],[10,2]]</v>
      </c>
      <c r="AA59" s="305" t="str">
        <f t="shared" si="104"/>
        <v>[0,0,0]</v>
      </c>
      <c r="AB59" s="305">
        <v>0.5</v>
      </c>
      <c r="AC59" s="305">
        <v>0</v>
      </c>
      <c r="AD59" s="306">
        <v>0</v>
      </c>
      <c r="AE59" s="63">
        <f t="shared" si="194"/>
        <v>-1</v>
      </c>
      <c r="AF59" s="63">
        <v>0</v>
      </c>
      <c r="AG59" s="63">
        <v>3</v>
      </c>
      <c r="AH59" s="39">
        <v>4</v>
      </c>
      <c r="AI59" s="39">
        <v>0</v>
      </c>
      <c r="AJ59" s="63">
        <v>0.6</v>
      </c>
      <c r="AK59" s="63">
        <v>1</v>
      </c>
      <c r="AL59" s="63">
        <v>1</v>
      </c>
      <c r="AM59" s="63">
        <v>1</v>
      </c>
      <c r="AN59" s="63"/>
      <c r="AO59" s="39"/>
      <c r="AP59" s="39"/>
      <c r="AQ59" s="310">
        <v>1</v>
      </c>
      <c r="AR59" s="39">
        <v>1604</v>
      </c>
      <c r="AS59" s="39">
        <v>0.18</v>
      </c>
      <c r="AT59" s="39">
        <v>0.8</v>
      </c>
      <c r="AU59" s="39">
        <v>1</v>
      </c>
      <c r="AV59" s="39" t="s">
        <v>1386</v>
      </c>
      <c r="AW59" s="317" t="s">
        <v>1495</v>
      </c>
      <c r="AX59" s="317" t="s">
        <v>1497</v>
      </c>
      <c r="AY59" s="316"/>
      <c r="AZ59" s="316"/>
      <c r="BA59" s="78">
        <f t="shared" si="142"/>
        <v>0</v>
      </c>
      <c r="BB59" s="318">
        <f t="shared" si="157"/>
        <v>0</v>
      </c>
      <c r="BC59" s="78" t="s">
        <v>1317</v>
      </c>
      <c r="BD59" s="78">
        <f t="shared" si="143"/>
        <v>0.44800000000000001</v>
      </c>
      <c r="BE59" s="78"/>
      <c r="BF59" s="63">
        <f t="shared" si="158"/>
        <v>0</v>
      </c>
      <c r="BG59" s="63">
        <f t="shared" si="195"/>
        <v>0</v>
      </c>
      <c r="BI59" s="63">
        <f t="shared" si="159"/>
        <v>0</v>
      </c>
      <c r="BP59" s="345"/>
      <c r="BT59" s="344">
        <f t="shared" si="160"/>
        <v>0</v>
      </c>
      <c r="BU59" s="355">
        <f t="shared" si="128"/>
        <v>0</v>
      </c>
      <c r="BV59" s="354">
        <v>6</v>
      </c>
      <c r="BW59" s="133">
        <v>5</v>
      </c>
      <c r="BX59" s="354">
        <v>8</v>
      </c>
      <c r="BY59" s="133">
        <v>2</v>
      </c>
      <c r="BZ59" s="354">
        <v>10</v>
      </c>
      <c r="CA59" s="133">
        <v>2</v>
      </c>
      <c r="CB59" s="133">
        <f t="shared" si="106"/>
        <v>7.333333333333333</v>
      </c>
      <c r="CC59" s="133">
        <f t="shared" si="165"/>
        <v>7.5</v>
      </c>
      <c r="CD59" s="358">
        <f t="shared" si="133"/>
        <v>0</v>
      </c>
      <c r="CE59" s="133">
        <f t="shared" si="165"/>
        <v>15</v>
      </c>
      <c r="CF59" s="359">
        <f t="shared" si="134"/>
        <v>0</v>
      </c>
      <c r="CG59" s="133">
        <f t="shared" si="165"/>
        <v>22.5</v>
      </c>
      <c r="CH59" s="360">
        <f t="shared" si="135"/>
        <v>0</v>
      </c>
      <c r="CJ59" s="230">
        <v>0</v>
      </c>
      <c r="CK59" s="388">
        <f t="shared" si="129"/>
        <v>0</v>
      </c>
      <c r="CL59" s="389">
        <f t="shared" si="161"/>
        <v>0</v>
      </c>
      <c r="CM59" s="390">
        <f t="shared" si="162"/>
        <v>0</v>
      </c>
      <c r="CN59" s="390">
        <f t="shared" si="37"/>
        <v>0</v>
      </c>
      <c r="CO59" s="384">
        <f t="shared" si="108"/>
        <v>0</v>
      </c>
      <c r="CP59" s="391">
        <f t="shared" si="163"/>
        <v>0</v>
      </c>
      <c r="CQ59" s="390">
        <f t="shared" si="39"/>
        <v>0</v>
      </c>
      <c r="CR59" s="392" t="e">
        <f t="shared" si="164"/>
        <v>#DIV/0!</v>
      </c>
      <c r="CS59" s="407">
        <f t="shared" si="109"/>
        <v>12</v>
      </c>
      <c r="CT59" s="408">
        <f t="shared" si="110"/>
        <v>1</v>
      </c>
      <c r="CU59" s="279"/>
      <c r="CV59" s="291">
        <v>12</v>
      </c>
      <c r="CW59" s="292">
        <v>1</v>
      </c>
      <c r="CY59" s="410"/>
      <c r="DD59" s="414"/>
      <c r="DE59" s="407">
        <v>0</v>
      </c>
      <c r="DF59" s="259">
        <v>1</v>
      </c>
      <c r="DG59" s="414">
        <f t="shared" si="172"/>
        <v>0</v>
      </c>
      <c r="DH59" s="407">
        <f t="shared" si="42"/>
        <v>0</v>
      </c>
      <c r="DI59" s="259">
        <f t="shared" si="111"/>
        <v>1</v>
      </c>
      <c r="DJ59" s="414">
        <f t="shared" si="173"/>
        <v>0</v>
      </c>
      <c r="DK59" s="407">
        <f t="shared" si="45"/>
        <v>0</v>
      </c>
      <c r="DL59" s="259">
        <f t="shared" si="112"/>
        <v>1</v>
      </c>
      <c r="DM59" s="414">
        <f t="shared" si="174"/>
        <v>0</v>
      </c>
      <c r="DN59" s="407">
        <f t="shared" si="113"/>
        <v>0</v>
      </c>
      <c r="DO59" s="259">
        <f t="shared" si="114"/>
        <v>1</v>
      </c>
      <c r="DP59" s="414">
        <f t="shared" si="175"/>
        <v>0</v>
      </c>
      <c r="DQ59" s="407">
        <f t="shared" si="115"/>
        <v>0</v>
      </c>
      <c r="DR59" s="259">
        <f t="shared" si="116"/>
        <v>1</v>
      </c>
      <c r="DS59" s="414">
        <f t="shared" si="176"/>
        <v>0</v>
      </c>
      <c r="DT59" s="407">
        <f t="shared" si="117"/>
        <v>0</v>
      </c>
      <c r="DU59" s="259">
        <f t="shared" si="118"/>
        <v>1</v>
      </c>
      <c r="DV59" s="414">
        <f t="shared" si="177"/>
        <v>0</v>
      </c>
      <c r="DW59" s="407">
        <f t="shared" si="119"/>
        <v>0</v>
      </c>
      <c r="DX59" s="259">
        <f t="shared" si="120"/>
        <v>1</v>
      </c>
      <c r="DY59" s="414">
        <f t="shared" si="178"/>
        <v>0</v>
      </c>
      <c r="DZ59" s="407">
        <f t="shared" si="121"/>
        <v>0</v>
      </c>
      <c r="EA59" s="259">
        <f t="shared" si="122"/>
        <v>1</v>
      </c>
      <c r="EB59" s="414">
        <f t="shared" si="179"/>
        <v>0</v>
      </c>
      <c r="EC59" s="407">
        <f t="shared" si="123"/>
        <v>0</v>
      </c>
      <c r="ED59" s="259">
        <f t="shared" si="124"/>
        <v>1</v>
      </c>
      <c r="EE59" s="414">
        <f t="shared" si="180"/>
        <v>0</v>
      </c>
      <c r="EF59" s="407">
        <f t="shared" si="125"/>
        <v>0</v>
      </c>
      <c r="EG59" s="259">
        <f t="shared" si="126"/>
        <v>1</v>
      </c>
      <c r="EH59" s="414">
        <f t="shared" si="181"/>
        <v>0</v>
      </c>
      <c r="EI59" s="407">
        <f t="shared" si="171"/>
        <v>0</v>
      </c>
      <c r="EJ59" s="259">
        <f t="shared" si="70"/>
        <v>2</v>
      </c>
      <c r="EK59" s="414">
        <f t="shared" si="182"/>
        <v>0</v>
      </c>
      <c r="EL59" s="407">
        <f t="shared" si="171"/>
        <v>0</v>
      </c>
      <c r="EM59" s="259">
        <f t="shared" si="73"/>
        <v>4</v>
      </c>
      <c r="EN59" s="414">
        <f t="shared" si="183"/>
        <v>0</v>
      </c>
      <c r="EO59" s="407">
        <f t="shared" si="171"/>
        <v>0</v>
      </c>
      <c r="EP59" s="259">
        <f t="shared" si="76"/>
        <v>6</v>
      </c>
      <c r="EQ59" s="414">
        <f t="shared" si="184"/>
        <v>0</v>
      </c>
      <c r="ER59" s="407">
        <f t="shared" si="171"/>
        <v>0</v>
      </c>
      <c r="ES59" s="259">
        <f t="shared" si="79"/>
        <v>8</v>
      </c>
      <c r="ET59" s="414">
        <f t="shared" si="185"/>
        <v>0</v>
      </c>
      <c r="EU59" s="407">
        <f t="shared" si="171"/>
        <v>0</v>
      </c>
      <c r="EV59" s="259">
        <f t="shared" si="82"/>
        <v>10</v>
      </c>
      <c r="EW59" s="414">
        <f t="shared" si="186"/>
        <v>0</v>
      </c>
      <c r="EX59" s="407">
        <f t="shared" si="171"/>
        <v>0</v>
      </c>
      <c r="EY59" s="259">
        <f t="shared" si="85"/>
        <v>20</v>
      </c>
      <c r="EZ59" s="414">
        <f t="shared" si="187"/>
        <v>0</v>
      </c>
      <c r="FA59" s="407">
        <f t="shared" si="171"/>
        <v>0</v>
      </c>
      <c r="FB59" s="259">
        <f t="shared" si="88"/>
        <v>40</v>
      </c>
      <c r="FC59" s="414">
        <f t="shared" si="188"/>
        <v>0</v>
      </c>
      <c r="FD59" s="407">
        <f t="shared" si="171"/>
        <v>0</v>
      </c>
      <c r="FE59" s="259">
        <f t="shared" si="91"/>
        <v>60</v>
      </c>
      <c r="FF59" s="414">
        <f t="shared" si="189"/>
        <v>0</v>
      </c>
      <c r="FG59" s="407">
        <f t="shared" si="171"/>
        <v>0</v>
      </c>
      <c r="FH59" s="259">
        <f t="shared" si="94"/>
        <v>80</v>
      </c>
      <c r="FI59" s="414">
        <f t="shared" si="190"/>
        <v>0</v>
      </c>
      <c r="FJ59" s="407">
        <f t="shared" si="171"/>
        <v>0</v>
      </c>
      <c r="FK59" s="259">
        <f t="shared" si="97"/>
        <v>100</v>
      </c>
      <c r="FL59" s="414">
        <f t="shared" si="191"/>
        <v>0</v>
      </c>
      <c r="FP59" s="421">
        <f t="shared" si="192"/>
        <v>0</v>
      </c>
      <c r="FQ59" s="421">
        <f t="shared" si="192"/>
        <v>0</v>
      </c>
      <c r="FR59" s="421">
        <f t="shared" si="192"/>
        <v>0</v>
      </c>
      <c r="FS59" s="421">
        <f t="shared" si="192"/>
        <v>0</v>
      </c>
      <c r="FT59" s="421">
        <f t="shared" si="192"/>
        <v>0</v>
      </c>
      <c r="FU59" s="421">
        <f t="shared" si="192"/>
        <v>0</v>
      </c>
      <c r="FV59" s="421">
        <f t="shared" si="192"/>
        <v>0</v>
      </c>
      <c r="FW59" s="421">
        <f t="shared" si="192"/>
        <v>0</v>
      </c>
      <c r="FX59" s="421">
        <f t="shared" si="192"/>
        <v>0</v>
      </c>
      <c r="FY59" s="421">
        <f t="shared" si="192"/>
        <v>0</v>
      </c>
      <c r="FZ59" s="421">
        <f t="shared" si="193"/>
        <v>0</v>
      </c>
      <c r="GA59" s="421">
        <f t="shared" si="193"/>
        <v>0</v>
      </c>
      <c r="GB59" s="421">
        <f t="shared" si="193"/>
        <v>0</v>
      </c>
      <c r="GC59" s="421">
        <f t="shared" si="193"/>
        <v>0</v>
      </c>
      <c r="GD59" s="421">
        <f t="shared" si="193"/>
        <v>0</v>
      </c>
      <c r="GE59" s="421">
        <f t="shared" si="193"/>
        <v>0</v>
      </c>
      <c r="GF59" s="421">
        <f t="shared" si="193"/>
        <v>0</v>
      </c>
      <c r="GG59" s="421">
        <f t="shared" si="193"/>
        <v>0</v>
      </c>
      <c r="GH59" s="421">
        <f t="shared" si="193"/>
        <v>0</v>
      </c>
      <c r="GI59" s="421">
        <f t="shared" si="193"/>
        <v>0</v>
      </c>
    </row>
    <row r="60" spans="1:191" s="230" customFormat="1" x14ac:dyDescent="0.35">
      <c r="A60" s="63">
        <v>56</v>
      </c>
      <c r="B60" s="63" t="s">
        <v>1494</v>
      </c>
      <c r="C60" s="63">
        <v>8</v>
      </c>
      <c r="D60" s="63">
        <v>-1</v>
      </c>
      <c r="E60" s="63">
        <v>0</v>
      </c>
      <c r="F60" s="63"/>
      <c r="G60" s="71">
        <v>1050</v>
      </c>
      <c r="H60" s="63"/>
      <c r="I60" s="63">
        <f t="shared" ref="I60:I62" si="196">ROUND(IF(C60=4,E60*10%,0),0)</f>
        <v>0</v>
      </c>
      <c r="J60" s="63">
        <f t="shared" ref="J60:J62" si="197">ROUND(IF(C60=4,E60*2%,0),0)</f>
        <v>0</v>
      </c>
      <c r="K60" s="71">
        <v>500</v>
      </c>
      <c r="L60" s="63">
        <v>0</v>
      </c>
      <c r="M60" s="255">
        <v>0</v>
      </c>
      <c r="N60" s="256">
        <f>ROUND(IF(M60&lt;&gt;0,$BK$4/('全局参数|GlobalPar'!$B$18/10000/E60)/M60,0),6)</f>
        <v>0</v>
      </c>
      <c r="O60" s="259">
        <f t="shared" si="141"/>
        <v>0</v>
      </c>
      <c r="P60" s="260">
        <f t="shared" ref="P60:P62" si="198">CK60</f>
        <v>0</v>
      </c>
      <c r="Q60" s="277">
        <v>12</v>
      </c>
      <c r="R60" s="278">
        <v>1</v>
      </c>
      <c r="S60" s="279" t="str">
        <f t="shared" ref="S60:S62" si="199">"[["&amp;DE60&amp;","&amp;DF60&amp;"],["&amp;DH60&amp;","&amp;DI60&amp;"],["&amp;DK60&amp;","&amp;DL60&amp;"],["&amp;DN60&amp;","&amp;DO60&amp;"],["&amp;DQ60&amp;","&amp;DR60&amp;"],["&amp;DT60&amp;","&amp;DU60&amp;"],["&amp;DW60&amp;","&amp;DX60&amp;"],["&amp;DZ60&amp;","&amp;EA60&amp;"],["&amp;EC60&amp;","&amp;ED60&amp;"],["&amp;EF60&amp;","&amp;EG60&amp;"],["&amp;EI60&amp;","&amp;EJ60&amp;"],["&amp;EL60&amp;","&amp;EM60&amp;"],["&amp;EO60&amp;","&amp;EP60&amp;"],["&amp;ER60&amp;","&amp;ES60&amp;"],["&amp;EU60&amp;","&amp;EV60&amp;"],["&amp;EX60&amp;","&amp;EY60&amp;"],["&amp;FA60&amp;","&amp;FB60&amp;"],["&amp;FD60&amp;","&amp;FE60&amp;"],["&amp;FG60&amp;","&amp;FH60&amp;"],["&amp;FJ60&amp;","&amp;FK60&amp;"]]"</f>
        <v>[[0,1],[0,1],[0,1],[0,1],[0,1],[0,1],[0,1],[0,1],[0,1],[0,1],[0,2],[0,4],[0,6],[0,8],[0,10],[0,20],[0,40],[0,60],[0,80],[0,100]]</v>
      </c>
      <c r="T60" s="63">
        <v>0</v>
      </c>
      <c r="U60" s="256">
        <v>0</v>
      </c>
      <c r="V60" s="287">
        <f t="shared" ref="V60:V62" si="200">(I60+J60)/100</f>
        <v>0</v>
      </c>
      <c r="W60" s="288">
        <v>0</v>
      </c>
      <c r="X60" s="289">
        <f t="shared" ref="X60:X62" si="201">BU60</f>
        <v>0</v>
      </c>
      <c r="Y60" s="304">
        <v>0</v>
      </c>
      <c r="Z60" s="63" t="str">
        <f t="shared" ref="Z60:Z62" si="202">"[["&amp;BV60&amp;","&amp;BW60&amp;"],["&amp;BX60&amp;","&amp;BY60&amp;"],["&amp;BZ60&amp;","&amp;CA60&amp;"]]"</f>
        <v>[[6,5],[8,2],[10,2]]</v>
      </c>
      <c r="AA60" s="305" t="str">
        <f t="shared" ref="AA60:AA62" si="203">"["&amp;CD60&amp;","&amp;CF60&amp;","&amp;CH60&amp;"]"</f>
        <v>[0,0,0]</v>
      </c>
      <c r="AB60" s="305">
        <v>0.5</v>
      </c>
      <c r="AC60" s="305">
        <v>0</v>
      </c>
      <c r="AD60" s="306">
        <v>0</v>
      </c>
      <c r="AE60" s="63">
        <f t="shared" si="194"/>
        <v>-1</v>
      </c>
      <c r="AF60" s="63">
        <v>0</v>
      </c>
      <c r="AG60" s="63">
        <v>1</v>
      </c>
      <c r="AH60" s="39">
        <v>4</v>
      </c>
      <c r="AI60" s="39">
        <v>0</v>
      </c>
      <c r="AJ60" s="63">
        <v>1</v>
      </c>
      <c r="AK60" s="63">
        <v>1</v>
      </c>
      <c r="AL60" s="63">
        <v>1</v>
      </c>
      <c r="AM60" s="63">
        <v>1</v>
      </c>
      <c r="AN60" s="63"/>
      <c r="AO60" s="39"/>
      <c r="AP60" s="39"/>
      <c r="AQ60" s="310">
        <v>1</v>
      </c>
      <c r="AR60" s="39">
        <v>1602</v>
      </c>
      <c r="AS60" s="39">
        <v>0.18</v>
      </c>
      <c r="AT60" s="39">
        <v>0.8</v>
      </c>
      <c r="AU60" s="39">
        <v>1</v>
      </c>
      <c r="AV60" s="39" t="s">
        <v>1452</v>
      </c>
      <c r="AW60" s="317" t="s">
        <v>1495</v>
      </c>
      <c r="AX60" s="317" t="s">
        <v>1497</v>
      </c>
      <c r="AY60" s="316"/>
      <c r="AZ60" s="316"/>
      <c r="BA60" s="78">
        <f t="shared" si="142"/>
        <v>0</v>
      </c>
      <c r="BB60" s="318">
        <f t="shared" ref="BB60:BB62" si="204">IF(BA60=0,0,$BE$1/BA60)</f>
        <v>0</v>
      </c>
      <c r="BC60" s="78" t="s">
        <v>1317</v>
      </c>
      <c r="BD60" s="78">
        <f t="shared" si="143"/>
        <v>0.746</v>
      </c>
      <c r="BE60" s="78"/>
      <c r="BF60" s="63">
        <f t="shared" si="158"/>
        <v>0</v>
      </c>
      <c r="BG60" s="63">
        <f t="shared" si="195"/>
        <v>0</v>
      </c>
      <c r="BI60" s="63">
        <f t="shared" si="159"/>
        <v>0</v>
      </c>
      <c r="BT60" s="344">
        <f t="shared" si="160"/>
        <v>0</v>
      </c>
      <c r="BU60" s="355">
        <f t="shared" si="128"/>
        <v>0</v>
      </c>
      <c r="BV60" s="354">
        <v>6</v>
      </c>
      <c r="BW60" s="133">
        <v>5</v>
      </c>
      <c r="BX60" s="354">
        <v>8</v>
      </c>
      <c r="BY60" s="133">
        <v>2</v>
      </c>
      <c r="BZ60" s="354">
        <v>10</v>
      </c>
      <c r="CA60" s="133">
        <v>2</v>
      </c>
      <c r="CB60" s="133">
        <f t="shared" ref="CB60:CB62" si="205">(BV60*BW60+BX60*BY60+BZ60*CA60)/(BW60+BY60+CA60)</f>
        <v>7.333333333333333</v>
      </c>
      <c r="CC60" s="133">
        <f t="shared" si="165"/>
        <v>7.5</v>
      </c>
      <c r="CD60" s="358">
        <f t="shared" si="133"/>
        <v>0</v>
      </c>
      <c r="CE60" s="133">
        <f t="shared" si="165"/>
        <v>15</v>
      </c>
      <c r="CF60" s="359">
        <f t="shared" si="134"/>
        <v>0</v>
      </c>
      <c r="CG60" s="133">
        <f t="shared" si="165"/>
        <v>22.5</v>
      </c>
      <c r="CH60" s="360">
        <f t="shared" si="135"/>
        <v>0</v>
      </c>
      <c r="CJ60" s="230">
        <v>0</v>
      </c>
      <c r="CK60" s="387">
        <f t="shared" si="129"/>
        <v>0</v>
      </c>
      <c r="CL60" s="259">
        <f t="shared" si="161"/>
        <v>0</v>
      </c>
      <c r="CM60" s="383">
        <f t="shared" si="162"/>
        <v>0</v>
      </c>
      <c r="CN60" s="383">
        <f t="shared" ref="CN60:CN62" si="206">$CM60*CN$3/CS60</f>
        <v>0</v>
      </c>
      <c r="CO60" s="384">
        <f t="shared" ref="CO60:CO62" si="207">IF(CN60&gt;$CO$3,CK60*$CO$3/CN60,$CK60)</f>
        <v>0</v>
      </c>
      <c r="CP60" s="385">
        <f t="shared" si="163"/>
        <v>0</v>
      </c>
      <c r="CQ60" s="383">
        <f t="shared" ref="CQ60:CQ62" si="208">$CP60*CN$3/CS60</f>
        <v>0</v>
      </c>
      <c r="CR60" s="386" t="e">
        <f t="shared" si="164"/>
        <v>#DIV/0!</v>
      </c>
      <c r="CS60" s="407">
        <f t="shared" ref="CS60:CS62" si="209">IF($CN$3&lt;$CV$2,CV60,CV60*INT($CN$3/$CV$2))</f>
        <v>12</v>
      </c>
      <c r="CT60" s="408">
        <f t="shared" ref="CT60:CT62" si="210">IF($CN$3&lt;$CV$2,CW60,CW60*INT($CN$3/$CV$2))</f>
        <v>1</v>
      </c>
      <c r="CU60" s="279"/>
      <c r="CV60" s="277">
        <v>12</v>
      </c>
      <c r="CW60" s="278">
        <v>1</v>
      </c>
      <c r="CY60" s="410"/>
      <c r="DD60" s="414"/>
      <c r="DE60" s="407">
        <v>0</v>
      </c>
      <c r="DF60" s="259">
        <v>1</v>
      </c>
      <c r="DG60" s="414">
        <f t="shared" si="172"/>
        <v>0</v>
      </c>
      <c r="DH60" s="407">
        <f t="shared" ref="DH60:DH62" si="211">DE60</f>
        <v>0</v>
      </c>
      <c r="DI60" s="259">
        <f t="shared" ref="DI60:DI62" si="212">DF60</f>
        <v>1</v>
      </c>
      <c r="DJ60" s="414">
        <f t="shared" si="173"/>
        <v>0</v>
      </c>
      <c r="DK60" s="407">
        <f t="shared" ref="DK60:DK62" si="213">DH60</f>
        <v>0</v>
      </c>
      <c r="DL60" s="259">
        <f t="shared" ref="DL60:DL62" si="214">DI60</f>
        <v>1</v>
      </c>
      <c r="DM60" s="414">
        <f t="shared" si="174"/>
        <v>0</v>
      </c>
      <c r="DN60" s="407">
        <f t="shared" ref="DN60:DN62" si="215">DK60</f>
        <v>0</v>
      </c>
      <c r="DO60" s="259">
        <f t="shared" ref="DO60:DO62" si="216">DL60</f>
        <v>1</v>
      </c>
      <c r="DP60" s="414">
        <f t="shared" si="175"/>
        <v>0</v>
      </c>
      <c r="DQ60" s="407">
        <f t="shared" ref="DQ60:DQ62" si="217">DN60</f>
        <v>0</v>
      </c>
      <c r="DR60" s="259">
        <f t="shared" ref="DR60:DR62" si="218">DO60</f>
        <v>1</v>
      </c>
      <c r="DS60" s="414">
        <f t="shared" si="176"/>
        <v>0</v>
      </c>
      <c r="DT60" s="407">
        <f t="shared" ref="DT60:DT62" si="219">DQ60</f>
        <v>0</v>
      </c>
      <c r="DU60" s="259">
        <f t="shared" ref="DU60:DU62" si="220">DR60</f>
        <v>1</v>
      </c>
      <c r="DV60" s="414">
        <f t="shared" si="177"/>
        <v>0</v>
      </c>
      <c r="DW60" s="407">
        <f t="shared" ref="DW60:DW62" si="221">DT60</f>
        <v>0</v>
      </c>
      <c r="DX60" s="259">
        <f t="shared" ref="DX60:DX62" si="222">DU60</f>
        <v>1</v>
      </c>
      <c r="DY60" s="414">
        <f t="shared" si="178"/>
        <v>0</v>
      </c>
      <c r="DZ60" s="407">
        <f t="shared" ref="DZ60:DZ62" si="223">DW60</f>
        <v>0</v>
      </c>
      <c r="EA60" s="259">
        <f t="shared" ref="EA60:EA62" si="224">DX60</f>
        <v>1</v>
      </c>
      <c r="EB60" s="414">
        <f t="shared" si="179"/>
        <v>0</v>
      </c>
      <c r="EC60" s="407">
        <f t="shared" ref="EC60:EC62" si="225">DZ60</f>
        <v>0</v>
      </c>
      <c r="ED60" s="259">
        <f t="shared" ref="ED60:ED62" si="226">EA60</f>
        <v>1</v>
      </c>
      <c r="EE60" s="414">
        <f t="shared" si="180"/>
        <v>0</v>
      </c>
      <c r="EF60" s="407">
        <f t="shared" ref="EF60:EF62" si="227">EC60</f>
        <v>0</v>
      </c>
      <c r="EG60" s="259">
        <f t="shared" ref="EG60:EG62" si="228">ED60</f>
        <v>1</v>
      </c>
      <c r="EH60" s="414">
        <f t="shared" si="181"/>
        <v>0</v>
      </c>
      <c r="EI60" s="407">
        <f t="shared" si="171"/>
        <v>0</v>
      </c>
      <c r="EJ60" s="259">
        <f t="shared" ref="EJ60:EJ62" si="229">$EG60*EI$4/$EF$4</f>
        <v>2</v>
      </c>
      <c r="EK60" s="414">
        <f t="shared" si="182"/>
        <v>0</v>
      </c>
      <c r="EL60" s="407">
        <f t="shared" si="171"/>
        <v>0</v>
      </c>
      <c r="EM60" s="259">
        <f t="shared" ref="EM60:EM62" si="230">$EG60*EL$4/$EF$4</f>
        <v>4</v>
      </c>
      <c r="EN60" s="414">
        <f t="shared" si="183"/>
        <v>0</v>
      </c>
      <c r="EO60" s="407">
        <f t="shared" si="171"/>
        <v>0</v>
      </c>
      <c r="EP60" s="259">
        <f t="shared" ref="EP60:EP62" si="231">$EG60*EO$4/$EF$4</f>
        <v>6</v>
      </c>
      <c r="EQ60" s="414">
        <f t="shared" si="184"/>
        <v>0</v>
      </c>
      <c r="ER60" s="407">
        <f t="shared" si="171"/>
        <v>0</v>
      </c>
      <c r="ES60" s="259">
        <f t="shared" ref="ES60:ES62" si="232">$EG60*ER$4/$EF$4</f>
        <v>8</v>
      </c>
      <c r="ET60" s="414">
        <f t="shared" si="185"/>
        <v>0</v>
      </c>
      <c r="EU60" s="407">
        <f t="shared" si="171"/>
        <v>0</v>
      </c>
      <c r="EV60" s="259">
        <f t="shared" ref="EV60:EV62" si="233">$EG60*EU$4/$EF$4</f>
        <v>10</v>
      </c>
      <c r="EW60" s="414">
        <f t="shared" si="186"/>
        <v>0</v>
      </c>
      <c r="EX60" s="407">
        <f t="shared" si="171"/>
        <v>0</v>
      </c>
      <c r="EY60" s="259">
        <f t="shared" ref="EY60:EY62" si="234">$EG60*EX$4/$EF$4</f>
        <v>20</v>
      </c>
      <c r="EZ60" s="414">
        <f t="shared" si="187"/>
        <v>0</v>
      </c>
      <c r="FA60" s="407">
        <f t="shared" si="171"/>
        <v>0</v>
      </c>
      <c r="FB60" s="259">
        <f t="shared" ref="FB60:FB62" si="235">$EG60*FA$4/$EF$4</f>
        <v>40</v>
      </c>
      <c r="FC60" s="414">
        <f t="shared" si="188"/>
        <v>0</v>
      </c>
      <c r="FD60" s="407">
        <f t="shared" si="171"/>
        <v>0</v>
      </c>
      <c r="FE60" s="259">
        <f t="shared" ref="FE60:FE62" si="236">$EG60*FD$4/$EF$4</f>
        <v>60</v>
      </c>
      <c r="FF60" s="414">
        <f t="shared" si="189"/>
        <v>0</v>
      </c>
      <c r="FG60" s="407">
        <f t="shared" si="171"/>
        <v>0</v>
      </c>
      <c r="FH60" s="259">
        <f t="shared" ref="FH60:FH62" si="237">$EG60*FG$4/$EF$4</f>
        <v>80</v>
      </c>
      <c r="FI60" s="414">
        <f t="shared" si="190"/>
        <v>0</v>
      </c>
      <c r="FJ60" s="407">
        <f t="shared" si="171"/>
        <v>0</v>
      </c>
      <c r="FK60" s="259">
        <f t="shared" ref="FK60:FK62" si="238">$EG60*FJ$4/$EF$4</f>
        <v>100</v>
      </c>
      <c r="FL60" s="414">
        <f t="shared" si="191"/>
        <v>0</v>
      </c>
      <c r="FP60" s="421">
        <f t="shared" si="192"/>
        <v>0</v>
      </c>
      <c r="FQ60" s="421">
        <f t="shared" si="192"/>
        <v>0</v>
      </c>
      <c r="FR60" s="421">
        <f t="shared" si="192"/>
        <v>0</v>
      </c>
      <c r="FS60" s="421">
        <f t="shared" si="192"/>
        <v>0</v>
      </c>
      <c r="FT60" s="421">
        <f t="shared" si="192"/>
        <v>0</v>
      </c>
      <c r="FU60" s="421">
        <f t="shared" si="192"/>
        <v>0</v>
      </c>
      <c r="FV60" s="421">
        <f t="shared" si="192"/>
        <v>0</v>
      </c>
      <c r="FW60" s="421">
        <f t="shared" si="192"/>
        <v>0</v>
      </c>
      <c r="FX60" s="421">
        <f t="shared" si="192"/>
        <v>0</v>
      </c>
      <c r="FY60" s="421">
        <f t="shared" si="192"/>
        <v>0</v>
      </c>
      <c r="FZ60" s="421">
        <f t="shared" si="193"/>
        <v>0</v>
      </c>
      <c r="GA60" s="421">
        <f t="shared" si="193"/>
        <v>0</v>
      </c>
      <c r="GB60" s="421">
        <f t="shared" si="193"/>
        <v>0</v>
      </c>
      <c r="GC60" s="421">
        <f t="shared" si="193"/>
        <v>0</v>
      </c>
      <c r="GD60" s="421">
        <f t="shared" si="193"/>
        <v>0</v>
      </c>
      <c r="GE60" s="421">
        <f t="shared" si="193"/>
        <v>0</v>
      </c>
      <c r="GF60" s="421">
        <f t="shared" si="193"/>
        <v>0</v>
      </c>
      <c r="GG60" s="421">
        <f t="shared" si="193"/>
        <v>0</v>
      </c>
      <c r="GH60" s="421">
        <f t="shared" si="193"/>
        <v>0</v>
      </c>
      <c r="GI60" s="421">
        <f t="shared" si="193"/>
        <v>0</v>
      </c>
    </row>
    <row r="61" spans="1:191" x14ac:dyDescent="0.35">
      <c r="A61" s="63">
        <v>57</v>
      </c>
      <c r="B61" s="63" t="s">
        <v>1494</v>
      </c>
      <c r="C61" s="63">
        <v>8</v>
      </c>
      <c r="D61" s="63">
        <v>-1</v>
      </c>
      <c r="E61" s="63">
        <v>0</v>
      </c>
      <c r="F61" s="63"/>
      <c r="G61" s="71">
        <v>1060</v>
      </c>
      <c r="H61" s="63"/>
      <c r="I61" s="63">
        <f t="shared" si="196"/>
        <v>0</v>
      </c>
      <c r="J61" s="63">
        <f t="shared" si="197"/>
        <v>0</v>
      </c>
      <c r="K61" s="71">
        <v>2000</v>
      </c>
      <c r="L61" s="63">
        <v>0</v>
      </c>
      <c r="M61" s="255">
        <v>0</v>
      </c>
      <c r="N61" s="256">
        <f>ROUND(IF(M61&lt;&gt;0,$BK$4/('全局参数|GlobalPar'!$B$18/10000/E61)/M61,0),6)</f>
        <v>0</v>
      </c>
      <c r="O61" s="259">
        <f t="shared" si="141"/>
        <v>0</v>
      </c>
      <c r="P61" s="260">
        <f t="shared" si="198"/>
        <v>0</v>
      </c>
      <c r="Q61" s="277">
        <v>12</v>
      </c>
      <c r="R61" s="278">
        <v>1</v>
      </c>
      <c r="S61" s="279" t="str">
        <f t="shared" si="199"/>
        <v>[[0,1],[0,1],[0,1],[0,1],[0,1],[0,1],[0,1],[0,1],[0,1],[0,1],[0,2],[0,4],[0,6],[0,8],[0,10],[0,20],[0,40],[0,60],[0,80],[0,100]]</v>
      </c>
      <c r="T61" s="63">
        <v>0</v>
      </c>
      <c r="U61" s="256">
        <v>0</v>
      </c>
      <c r="V61" s="287">
        <f t="shared" si="200"/>
        <v>0</v>
      </c>
      <c r="W61" s="288">
        <v>0</v>
      </c>
      <c r="X61" s="289">
        <f t="shared" si="201"/>
        <v>0</v>
      </c>
      <c r="Y61" s="304">
        <v>0</v>
      </c>
      <c r="Z61" s="63" t="str">
        <f t="shared" si="202"/>
        <v>[[6,5],[8,2],[10,2]]</v>
      </c>
      <c r="AA61" s="305" t="str">
        <f t="shared" si="203"/>
        <v>[0,0,0]</v>
      </c>
      <c r="AB61" s="305">
        <v>0.5</v>
      </c>
      <c r="AC61" s="305">
        <v>0</v>
      </c>
      <c r="AD61" s="306">
        <v>0</v>
      </c>
      <c r="AE61" s="63">
        <f t="shared" si="194"/>
        <v>-1</v>
      </c>
      <c r="AF61" s="63">
        <v>0</v>
      </c>
      <c r="AG61" s="39">
        <v>2</v>
      </c>
      <c r="AH61" s="39">
        <v>4</v>
      </c>
      <c r="AI61" s="39">
        <v>0</v>
      </c>
      <c r="AJ61" s="63">
        <v>0.6</v>
      </c>
      <c r="AK61" s="63">
        <v>1</v>
      </c>
      <c r="AL61" s="63">
        <v>1</v>
      </c>
      <c r="AM61" s="63">
        <v>1</v>
      </c>
      <c r="AN61" s="63"/>
      <c r="AO61" s="39"/>
      <c r="AP61" s="39"/>
      <c r="AQ61" s="310">
        <v>1</v>
      </c>
      <c r="AR61" s="39">
        <v>1603</v>
      </c>
      <c r="AS61" s="39">
        <v>0.18</v>
      </c>
      <c r="AT61" s="39">
        <v>0.8</v>
      </c>
      <c r="AU61" s="39">
        <v>1</v>
      </c>
      <c r="AV61" s="39" t="s">
        <v>1386</v>
      </c>
      <c r="AW61" s="317" t="s">
        <v>1495</v>
      </c>
      <c r="AX61" s="317" t="s">
        <v>1497</v>
      </c>
      <c r="AY61" s="316"/>
      <c r="AZ61" s="316"/>
      <c r="BA61" s="78">
        <f t="shared" si="142"/>
        <v>0</v>
      </c>
      <c r="BB61" s="318">
        <f t="shared" si="204"/>
        <v>0</v>
      </c>
      <c r="BC61" s="78" t="s">
        <v>1317</v>
      </c>
      <c r="BD61" s="78">
        <f t="shared" si="143"/>
        <v>0.44800000000000001</v>
      </c>
      <c r="BE61" s="78"/>
      <c r="BF61" s="63">
        <f t="shared" si="158"/>
        <v>0</v>
      </c>
      <c r="BG61" s="63">
        <f t="shared" si="195"/>
        <v>0</v>
      </c>
      <c r="BI61" s="63">
        <f t="shared" si="159"/>
        <v>0</v>
      </c>
      <c r="BT61" s="344">
        <f t="shared" si="160"/>
        <v>0</v>
      </c>
      <c r="BU61" s="355">
        <f t="shared" si="128"/>
        <v>0</v>
      </c>
      <c r="BV61" s="354">
        <v>6</v>
      </c>
      <c r="BW61" s="133">
        <v>5</v>
      </c>
      <c r="BX61" s="354">
        <v>8</v>
      </c>
      <c r="BY61" s="133">
        <v>2</v>
      </c>
      <c r="BZ61" s="354">
        <v>10</v>
      </c>
      <c r="CA61" s="133">
        <v>2</v>
      </c>
      <c r="CB61" s="133">
        <f t="shared" si="205"/>
        <v>7.333333333333333</v>
      </c>
      <c r="CC61" s="133">
        <f t="shared" ref="CC61:CG62" si="239">CC$3/10</f>
        <v>7.5</v>
      </c>
      <c r="CD61" s="358">
        <f t="shared" si="133"/>
        <v>0</v>
      </c>
      <c r="CE61" s="133">
        <f t="shared" si="239"/>
        <v>15</v>
      </c>
      <c r="CF61" s="359">
        <f t="shared" si="134"/>
        <v>0</v>
      </c>
      <c r="CG61" s="133">
        <f t="shared" si="239"/>
        <v>22.5</v>
      </c>
      <c r="CH61" s="360">
        <f t="shared" si="135"/>
        <v>0</v>
      </c>
      <c r="CJ61" s="229">
        <v>0</v>
      </c>
      <c r="CK61" s="387">
        <f t="shared" si="129"/>
        <v>0</v>
      </c>
      <c r="CL61" s="259">
        <f t="shared" si="161"/>
        <v>0</v>
      </c>
      <c r="CM61" s="383">
        <f t="shared" si="162"/>
        <v>0</v>
      </c>
      <c r="CN61" s="383">
        <f t="shared" si="206"/>
        <v>0</v>
      </c>
      <c r="CO61" s="384">
        <f t="shared" si="207"/>
        <v>0</v>
      </c>
      <c r="CP61" s="385">
        <f t="shared" si="163"/>
        <v>0</v>
      </c>
      <c r="CQ61" s="383">
        <f t="shared" si="208"/>
        <v>0</v>
      </c>
      <c r="CR61" s="386" t="e">
        <f t="shared" si="164"/>
        <v>#DIV/0!</v>
      </c>
      <c r="CS61" s="407">
        <f t="shared" si="209"/>
        <v>12</v>
      </c>
      <c r="CT61" s="408">
        <f t="shared" si="210"/>
        <v>1</v>
      </c>
      <c r="CU61" s="279"/>
      <c r="CV61" s="277">
        <v>12</v>
      </c>
      <c r="CW61" s="278">
        <v>1</v>
      </c>
      <c r="CY61" s="411"/>
      <c r="CZ61" s="230"/>
      <c r="DD61" s="414"/>
      <c r="DE61" s="407">
        <v>0</v>
      </c>
      <c r="DF61" s="259">
        <v>1</v>
      </c>
      <c r="DG61" s="414">
        <f t="shared" si="172"/>
        <v>0</v>
      </c>
      <c r="DH61" s="407">
        <f t="shared" si="211"/>
        <v>0</v>
      </c>
      <c r="DI61" s="259">
        <f t="shared" si="212"/>
        <v>1</v>
      </c>
      <c r="DJ61" s="414">
        <f t="shared" si="173"/>
        <v>0</v>
      </c>
      <c r="DK61" s="407">
        <f t="shared" si="213"/>
        <v>0</v>
      </c>
      <c r="DL61" s="259">
        <f t="shared" si="214"/>
        <v>1</v>
      </c>
      <c r="DM61" s="414">
        <f t="shared" si="174"/>
        <v>0</v>
      </c>
      <c r="DN61" s="407">
        <f t="shared" si="215"/>
        <v>0</v>
      </c>
      <c r="DO61" s="259">
        <f t="shared" si="216"/>
        <v>1</v>
      </c>
      <c r="DP61" s="414">
        <f t="shared" si="175"/>
        <v>0</v>
      </c>
      <c r="DQ61" s="407">
        <f t="shared" si="217"/>
        <v>0</v>
      </c>
      <c r="DR61" s="259">
        <f t="shared" si="218"/>
        <v>1</v>
      </c>
      <c r="DS61" s="414">
        <f t="shared" si="176"/>
        <v>0</v>
      </c>
      <c r="DT61" s="407">
        <f t="shared" si="219"/>
        <v>0</v>
      </c>
      <c r="DU61" s="259">
        <f t="shared" si="220"/>
        <v>1</v>
      </c>
      <c r="DV61" s="414">
        <f t="shared" si="177"/>
        <v>0</v>
      </c>
      <c r="DW61" s="407">
        <f t="shared" si="221"/>
        <v>0</v>
      </c>
      <c r="DX61" s="259">
        <f t="shared" si="222"/>
        <v>1</v>
      </c>
      <c r="DY61" s="414">
        <f t="shared" si="178"/>
        <v>0</v>
      </c>
      <c r="DZ61" s="407">
        <f t="shared" si="223"/>
        <v>0</v>
      </c>
      <c r="EA61" s="259">
        <f t="shared" si="224"/>
        <v>1</v>
      </c>
      <c r="EB61" s="414">
        <f t="shared" si="179"/>
        <v>0</v>
      </c>
      <c r="EC61" s="407">
        <f t="shared" si="225"/>
        <v>0</v>
      </c>
      <c r="ED61" s="259">
        <f t="shared" si="226"/>
        <v>1</v>
      </c>
      <c r="EE61" s="414">
        <f t="shared" si="180"/>
        <v>0</v>
      </c>
      <c r="EF61" s="407">
        <f t="shared" si="227"/>
        <v>0</v>
      </c>
      <c r="EG61" s="259">
        <f t="shared" si="228"/>
        <v>1</v>
      </c>
      <c r="EH61" s="414">
        <f t="shared" si="181"/>
        <v>0</v>
      </c>
      <c r="EI61" s="407">
        <f t="shared" si="171"/>
        <v>0</v>
      </c>
      <c r="EJ61" s="259">
        <f t="shared" si="229"/>
        <v>2</v>
      </c>
      <c r="EK61" s="414">
        <f t="shared" si="182"/>
        <v>0</v>
      </c>
      <c r="EL61" s="407">
        <f t="shared" si="171"/>
        <v>0</v>
      </c>
      <c r="EM61" s="259">
        <f t="shared" si="230"/>
        <v>4</v>
      </c>
      <c r="EN61" s="414">
        <f t="shared" si="183"/>
        <v>0</v>
      </c>
      <c r="EO61" s="407">
        <f t="shared" si="171"/>
        <v>0</v>
      </c>
      <c r="EP61" s="259">
        <f t="shared" si="231"/>
        <v>6</v>
      </c>
      <c r="EQ61" s="414">
        <f t="shared" si="184"/>
        <v>0</v>
      </c>
      <c r="ER61" s="407">
        <f t="shared" si="171"/>
        <v>0</v>
      </c>
      <c r="ES61" s="259">
        <f t="shared" si="232"/>
        <v>8</v>
      </c>
      <c r="ET61" s="414">
        <f t="shared" si="185"/>
        <v>0</v>
      </c>
      <c r="EU61" s="407">
        <f t="shared" si="171"/>
        <v>0</v>
      </c>
      <c r="EV61" s="259">
        <f t="shared" si="233"/>
        <v>10</v>
      </c>
      <c r="EW61" s="414">
        <f t="shared" si="186"/>
        <v>0</v>
      </c>
      <c r="EX61" s="407">
        <f t="shared" si="171"/>
        <v>0</v>
      </c>
      <c r="EY61" s="259">
        <f t="shared" si="234"/>
        <v>20</v>
      </c>
      <c r="EZ61" s="414">
        <f t="shared" si="187"/>
        <v>0</v>
      </c>
      <c r="FA61" s="407">
        <f t="shared" si="171"/>
        <v>0</v>
      </c>
      <c r="FB61" s="259">
        <f t="shared" si="235"/>
        <v>40</v>
      </c>
      <c r="FC61" s="414">
        <f t="shared" si="188"/>
        <v>0</v>
      </c>
      <c r="FD61" s="407">
        <f t="shared" si="171"/>
        <v>0</v>
      </c>
      <c r="FE61" s="259">
        <f t="shared" si="236"/>
        <v>60</v>
      </c>
      <c r="FF61" s="414">
        <f t="shared" si="189"/>
        <v>0</v>
      </c>
      <c r="FG61" s="407">
        <f t="shared" si="171"/>
        <v>0</v>
      </c>
      <c r="FH61" s="259">
        <f t="shared" si="237"/>
        <v>80</v>
      </c>
      <c r="FI61" s="414">
        <f t="shared" si="190"/>
        <v>0</v>
      </c>
      <c r="FJ61" s="407">
        <f t="shared" si="171"/>
        <v>0</v>
      </c>
      <c r="FK61" s="259">
        <f t="shared" si="238"/>
        <v>100</v>
      </c>
      <c r="FL61" s="414">
        <f t="shared" si="191"/>
        <v>0</v>
      </c>
      <c r="FP61" s="421">
        <f t="shared" si="192"/>
        <v>0</v>
      </c>
      <c r="FQ61" s="421">
        <f t="shared" si="192"/>
        <v>0</v>
      </c>
      <c r="FR61" s="421">
        <f t="shared" si="192"/>
        <v>0</v>
      </c>
      <c r="FS61" s="421">
        <f t="shared" si="192"/>
        <v>0</v>
      </c>
      <c r="FT61" s="421">
        <f t="shared" si="192"/>
        <v>0</v>
      </c>
      <c r="FU61" s="421">
        <f t="shared" si="192"/>
        <v>0</v>
      </c>
      <c r="FV61" s="421">
        <f t="shared" si="192"/>
        <v>0</v>
      </c>
      <c r="FW61" s="421">
        <f t="shared" si="192"/>
        <v>0</v>
      </c>
      <c r="FX61" s="421">
        <f t="shared" si="192"/>
        <v>0</v>
      </c>
      <c r="FY61" s="421">
        <f t="shared" si="192"/>
        <v>0</v>
      </c>
      <c r="FZ61" s="421">
        <f t="shared" si="193"/>
        <v>0</v>
      </c>
      <c r="GA61" s="421">
        <f t="shared" si="193"/>
        <v>0</v>
      </c>
      <c r="GB61" s="421">
        <f t="shared" si="193"/>
        <v>0</v>
      </c>
      <c r="GC61" s="421">
        <f t="shared" si="193"/>
        <v>0</v>
      </c>
      <c r="GD61" s="421">
        <f t="shared" si="193"/>
        <v>0</v>
      </c>
      <c r="GE61" s="421">
        <f t="shared" si="193"/>
        <v>0</v>
      </c>
      <c r="GF61" s="421">
        <f t="shared" si="193"/>
        <v>0</v>
      </c>
      <c r="GG61" s="421">
        <f t="shared" si="193"/>
        <v>0</v>
      </c>
      <c r="GH61" s="421">
        <f t="shared" si="193"/>
        <v>0</v>
      </c>
      <c r="GI61" s="421">
        <f t="shared" si="193"/>
        <v>0</v>
      </c>
    </row>
    <row r="62" spans="1:191" s="230" customFormat="1" x14ac:dyDescent="0.35">
      <c r="A62" s="63">
        <v>58</v>
      </c>
      <c r="B62" s="63" t="s">
        <v>1494</v>
      </c>
      <c r="C62" s="63">
        <v>8</v>
      </c>
      <c r="D62" s="63">
        <v>-1</v>
      </c>
      <c r="E62" s="63">
        <v>0</v>
      </c>
      <c r="F62" s="63"/>
      <c r="G62" s="71">
        <v>1070</v>
      </c>
      <c r="H62" s="63"/>
      <c r="I62" s="63">
        <f t="shared" si="196"/>
        <v>0</v>
      </c>
      <c r="J62" s="63">
        <f t="shared" si="197"/>
        <v>0</v>
      </c>
      <c r="K62" s="71">
        <v>5000</v>
      </c>
      <c r="L62" s="63">
        <v>0</v>
      </c>
      <c r="M62" s="255">
        <v>0</v>
      </c>
      <c r="N62" s="256">
        <f>ROUND(IF(M62&lt;&gt;0,$BK$4/('全局参数|GlobalPar'!$B$18/10000/E62)/M62,0),6)</f>
        <v>0</v>
      </c>
      <c r="O62" s="259">
        <f t="shared" si="141"/>
        <v>0</v>
      </c>
      <c r="P62" s="260">
        <f t="shared" si="198"/>
        <v>0</v>
      </c>
      <c r="Q62" s="291">
        <v>12</v>
      </c>
      <c r="R62" s="292">
        <v>1</v>
      </c>
      <c r="S62" s="279" t="str">
        <f t="shared" si="199"/>
        <v>[[0,1],[0,1],[0,1],[0,1],[0,1],[0,1],[0,1],[0,1],[0,1],[0,1],[0,2],[0,4],[0,6],[0,8],[0,10],[0,20],[0,40],[0,60],[0,80],[0,100]]</v>
      </c>
      <c r="T62" s="63">
        <v>0</v>
      </c>
      <c r="U62" s="256">
        <v>0</v>
      </c>
      <c r="V62" s="293">
        <f t="shared" si="200"/>
        <v>0</v>
      </c>
      <c r="W62" s="294">
        <v>0</v>
      </c>
      <c r="X62" s="295">
        <f t="shared" si="201"/>
        <v>0</v>
      </c>
      <c r="Y62" s="304">
        <v>0</v>
      </c>
      <c r="Z62" s="63" t="str">
        <f t="shared" si="202"/>
        <v>[[6,5],[8,2],[10,2]]</v>
      </c>
      <c r="AA62" s="305" t="str">
        <f t="shared" si="203"/>
        <v>[0,0,0]</v>
      </c>
      <c r="AB62" s="305">
        <v>0.5</v>
      </c>
      <c r="AC62" s="305">
        <v>0</v>
      </c>
      <c r="AD62" s="306">
        <v>0</v>
      </c>
      <c r="AE62" s="63">
        <f t="shared" si="194"/>
        <v>-1</v>
      </c>
      <c r="AF62" s="63">
        <v>0</v>
      </c>
      <c r="AG62" s="63">
        <v>3</v>
      </c>
      <c r="AH62" s="39">
        <v>4</v>
      </c>
      <c r="AI62" s="39">
        <v>0</v>
      </c>
      <c r="AJ62" s="63">
        <v>1</v>
      </c>
      <c r="AK62" s="63">
        <v>1</v>
      </c>
      <c r="AL62" s="63">
        <v>1</v>
      </c>
      <c r="AM62" s="63">
        <v>1</v>
      </c>
      <c r="AN62" s="63"/>
      <c r="AO62" s="39"/>
      <c r="AP62" s="39"/>
      <c r="AQ62" s="310">
        <v>1</v>
      </c>
      <c r="AR62" s="39">
        <v>1604</v>
      </c>
      <c r="AS62" s="39">
        <v>0.18</v>
      </c>
      <c r="AT62" s="39">
        <v>0.8</v>
      </c>
      <c r="AU62" s="39">
        <v>1</v>
      </c>
      <c r="AV62" s="39" t="s">
        <v>1452</v>
      </c>
      <c r="AW62" s="317" t="s">
        <v>1495</v>
      </c>
      <c r="AX62" s="317" t="s">
        <v>1497</v>
      </c>
      <c r="AY62" s="316"/>
      <c r="AZ62" s="316"/>
      <c r="BA62" s="78">
        <f t="shared" si="142"/>
        <v>0</v>
      </c>
      <c r="BB62" s="318">
        <f t="shared" si="204"/>
        <v>0</v>
      </c>
      <c r="BC62" s="78" t="s">
        <v>1317</v>
      </c>
      <c r="BD62" s="78">
        <f t="shared" si="143"/>
        <v>0.746</v>
      </c>
      <c r="BE62" s="78"/>
      <c r="BF62" s="63">
        <f t="shared" si="158"/>
        <v>0</v>
      </c>
      <c r="BG62" s="63">
        <f t="shared" si="195"/>
        <v>0</v>
      </c>
      <c r="BI62" s="63">
        <f t="shared" si="159"/>
        <v>0</v>
      </c>
      <c r="BP62" s="345"/>
      <c r="BT62" s="344">
        <f t="shared" si="160"/>
        <v>0</v>
      </c>
      <c r="BU62" s="355">
        <f t="shared" si="128"/>
        <v>0</v>
      </c>
      <c r="BV62" s="354">
        <v>6</v>
      </c>
      <c r="BW62" s="133">
        <v>5</v>
      </c>
      <c r="BX62" s="354">
        <v>8</v>
      </c>
      <c r="BY62" s="133">
        <v>2</v>
      </c>
      <c r="BZ62" s="354">
        <v>10</v>
      </c>
      <c r="CA62" s="133">
        <v>2</v>
      </c>
      <c r="CB62" s="133">
        <f t="shared" si="205"/>
        <v>7.333333333333333</v>
      </c>
      <c r="CC62" s="133">
        <f t="shared" si="239"/>
        <v>7.5</v>
      </c>
      <c r="CD62" s="358">
        <f t="shared" si="133"/>
        <v>0</v>
      </c>
      <c r="CE62" s="133">
        <f t="shared" si="239"/>
        <v>15</v>
      </c>
      <c r="CF62" s="359">
        <f t="shared" si="134"/>
        <v>0</v>
      </c>
      <c r="CG62" s="133">
        <f t="shared" si="239"/>
        <v>22.5</v>
      </c>
      <c r="CH62" s="360">
        <f t="shared" si="135"/>
        <v>0</v>
      </c>
      <c r="CJ62" s="230">
        <v>0</v>
      </c>
      <c r="CK62" s="388">
        <f t="shared" si="129"/>
        <v>0</v>
      </c>
      <c r="CL62" s="389">
        <f t="shared" si="161"/>
        <v>0</v>
      </c>
      <c r="CM62" s="390">
        <f t="shared" si="162"/>
        <v>0</v>
      </c>
      <c r="CN62" s="390">
        <f t="shared" si="206"/>
        <v>0</v>
      </c>
      <c r="CO62" s="384">
        <f t="shared" si="207"/>
        <v>0</v>
      </c>
      <c r="CP62" s="391">
        <f t="shared" si="163"/>
        <v>0</v>
      </c>
      <c r="CQ62" s="390">
        <f t="shared" si="208"/>
        <v>0</v>
      </c>
      <c r="CR62" s="392" t="e">
        <f t="shared" si="164"/>
        <v>#DIV/0!</v>
      </c>
      <c r="CS62" s="407">
        <f t="shared" si="209"/>
        <v>12</v>
      </c>
      <c r="CT62" s="408">
        <f t="shared" si="210"/>
        <v>1</v>
      </c>
      <c r="CU62" s="279"/>
      <c r="CV62" s="291">
        <v>12</v>
      </c>
      <c r="CW62" s="292">
        <v>1</v>
      </c>
      <c r="CY62" s="410"/>
      <c r="DD62" s="414"/>
      <c r="DE62" s="407">
        <v>0</v>
      </c>
      <c r="DF62" s="259">
        <v>1</v>
      </c>
      <c r="DG62" s="414">
        <f t="shared" si="172"/>
        <v>0</v>
      </c>
      <c r="DH62" s="407">
        <f t="shared" si="211"/>
        <v>0</v>
      </c>
      <c r="DI62" s="259">
        <f t="shared" si="212"/>
        <v>1</v>
      </c>
      <c r="DJ62" s="414">
        <f t="shared" si="173"/>
        <v>0</v>
      </c>
      <c r="DK62" s="407">
        <f t="shared" si="213"/>
        <v>0</v>
      </c>
      <c r="DL62" s="259">
        <f t="shared" si="214"/>
        <v>1</v>
      </c>
      <c r="DM62" s="414">
        <f t="shared" si="174"/>
        <v>0</v>
      </c>
      <c r="DN62" s="407">
        <f t="shared" si="215"/>
        <v>0</v>
      </c>
      <c r="DO62" s="259">
        <f t="shared" si="216"/>
        <v>1</v>
      </c>
      <c r="DP62" s="414">
        <f t="shared" si="175"/>
        <v>0</v>
      </c>
      <c r="DQ62" s="407">
        <f t="shared" si="217"/>
        <v>0</v>
      </c>
      <c r="DR62" s="259">
        <f t="shared" si="218"/>
        <v>1</v>
      </c>
      <c r="DS62" s="414">
        <f t="shared" si="176"/>
        <v>0</v>
      </c>
      <c r="DT62" s="407">
        <f t="shared" si="219"/>
        <v>0</v>
      </c>
      <c r="DU62" s="259">
        <f t="shared" si="220"/>
        <v>1</v>
      </c>
      <c r="DV62" s="414">
        <f t="shared" si="177"/>
        <v>0</v>
      </c>
      <c r="DW62" s="407">
        <f t="shared" si="221"/>
        <v>0</v>
      </c>
      <c r="DX62" s="259">
        <f t="shared" si="222"/>
        <v>1</v>
      </c>
      <c r="DY62" s="414">
        <f t="shared" si="178"/>
        <v>0</v>
      </c>
      <c r="DZ62" s="407">
        <f t="shared" si="223"/>
        <v>0</v>
      </c>
      <c r="EA62" s="259">
        <f t="shared" si="224"/>
        <v>1</v>
      </c>
      <c r="EB62" s="414">
        <f t="shared" si="179"/>
        <v>0</v>
      </c>
      <c r="EC62" s="407">
        <f t="shared" si="225"/>
        <v>0</v>
      </c>
      <c r="ED62" s="259">
        <f t="shared" si="226"/>
        <v>1</v>
      </c>
      <c r="EE62" s="414">
        <f t="shared" si="180"/>
        <v>0</v>
      </c>
      <c r="EF62" s="407">
        <f t="shared" si="227"/>
        <v>0</v>
      </c>
      <c r="EG62" s="259">
        <f t="shared" si="228"/>
        <v>1</v>
      </c>
      <c r="EH62" s="414">
        <f t="shared" si="181"/>
        <v>0</v>
      </c>
      <c r="EI62" s="407">
        <f t="shared" ref="EI62:FJ62" si="240">$EF62*EI$4/$EF$4</f>
        <v>0</v>
      </c>
      <c r="EJ62" s="259">
        <f t="shared" si="229"/>
        <v>2</v>
      </c>
      <c r="EK62" s="414">
        <f t="shared" si="182"/>
        <v>0</v>
      </c>
      <c r="EL62" s="407">
        <f t="shared" si="240"/>
        <v>0</v>
      </c>
      <c r="EM62" s="259">
        <f t="shared" si="230"/>
        <v>4</v>
      </c>
      <c r="EN62" s="414">
        <f t="shared" si="183"/>
        <v>0</v>
      </c>
      <c r="EO62" s="407">
        <f t="shared" si="240"/>
        <v>0</v>
      </c>
      <c r="EP62" s="259">
        <f t="shared" si="231"/>
        <v>6</v>
      </c>
      <c r="EQ62" s="414">
        <f t="shared" si="184"/>
        <v>0</v>
      </c>
      <c r="ER62" s="407">
        <f t="shared" si="240"/>
        <v>0</v>
      </c>
      <c r="ES62" s="259">
        <f t="shared" si="232"/>
        <v>8</v>
      </c>
      <c r="ET62" s="414">
        <f t="shared" si="185"/>
        <v>0</v>
      </c>
      <c r="EU62" s="407">
        <f t="shared" si="240"/>
        <v>0</v>
      </c>
      <c r="EV62" s="259">
        <f t="shared" si="233"/>
        <v>10</v>
      </c>
      <c r="EW62" s="414">
        <f t="shared" si="186"/>
        <v>0</v>
      </c>
      <c r="EX62" s="407">
        <f t="shared" si="240"/>
        <v>0</v>
      </c>
      <c r="EY62" s="259">
        <f t="shared" si="234"/>
        <v>20</v>
      </c>
      <c r="EZ62" s="414">
        <f t="shared" si="187"/>
        <v>0</v>
      </c>
      <c r="FA62" s="407">
        <f t="shared" si="240"/>
        <v>0</v>
      </c>
      <c r="FB62" s="259">
        <f t="shared" si="235"/>
        <v>40</v>
      </c>
      <c r="FC62" s="414">
        <f t="shared" si="188"/>
        <v>0</v>
      </c>
      <c r="FD62" s="407">
        <f t="shared" si="240"/>
        <v>0</v>
      </c>
      <c r="FE62" s="259">
        <f t="shared" si="236"/>
        <v>60</v>
      </c>
      <c r="FF62" s="414">
        <f t="shared" si="189"/>
        <v>0</v>
      </c>
      <c r="FG62" s="407">
        <f t="shared" si="240"/>
        <v>0</v>
      </c>
      <c r="FH62" s="259">
        <f t="shared" si="237"/>
        <v>80</v>
      </c>
      <c r="FI62" s="414">
        <f t="shared" si="190"/>
        <v>0</v>
      </c>
      <c r="FJ62" s="407">
        <f t="shared" si="240"/>
        <v>0</v>
      </c>
      <c r="FK62" s="259">
        <f t="shared" si="238"/>
        <v>100</v>
      </c>
      <c r="FL62" s="414">
        <f t="shared" si="191"/>
        <v>0</v>
      </c>
      <c r="FP62" s="421">
        <f t="shared" si="192"/>
        <v>0</v>
      </c>
      <c r="FQ62" s="421">
        <f t="shared" si="192"/>
        <v>0</v>
      </c>
      <c r="FR62" s="421">
        <f t="shared" si="192"/>
        <v>0</v>
      </c>
      <c r="FS62" s="421">
        <f t="shared" si="192"/>
        <v>0</v>
      </c>
      <c r="FT62" s="421">
        <f t="shared" si="192"/>
        <v>0</v>
      </c>
      <c r="FU62" s="421">
        <f t="shared" si="192"/>
        <v>0</v>
      </c>
      <c r="FV62" s="421">
        <f t="shared" si="192"/>
        <v>0</v>
      </c>
      <c r="FW62" s="421">
        <f t="shared" si="192"/>
        <v>0</v>
      </c>
      <c r="FX62" s="421">
        <f t="shared" si="192"/>
        <v>0</v>
      </c>
      <c r="FY62" s="421">
        <f t="shared" si="192"/>
        <v>0</v>
      </c>
      <c r="FZ62" s="421">
        <f t="shared" si="193"/>
        <v>0</v>
      </c>
      <c r="GA62" s="421">
        <f t="shared" si="193"/>
        <v>0</v>
      </c>
      <c r="GB62" s="421">
        <f t="shared" si="193"/>
        <v>0</v>
      </c>
      <c r="GC62" s="421">
        <f t="shared" si="193"/>
        <v>0</v>
      </c>
      <c r="GD62" s="421">
        <f t="shared" si="193"/>
        <v>0</v>
      </c>
      <c r="GE62" s="421">
        <f t="shared" si="193"/>
        <v>0</v>
      </c>
      <c r="GF62" s="421">
        <f t="shared" si="193"/>
        <v>0</v>
      </c>
      <c r="GG62" s="421">
        <f t="shared" si="193"/>
        <v>0</v>
      </c>
      <c r="GH62" s="421">
        <f t="shared" si="193"/>
        <v>0</v>
      </c>
      <c r="GI62" s="421">
        <f t="shared" si="193"/>
        <v>0</v>
      </c>
    </row>
  </sheetData>
  <mergeCells count="14">
    <mergeCell ref="BK28:BL28"/>
    <mergeCell ref="BM28:BN28"/>
    <mergeCell ref="BO28:BP28"/>
    <mergeCell ref="BW1:BW2"/>
    <mergeCell ref="CM2:CM3"/>
    <mergeCell ref="DA2:DA4"/>
    <mergeCell ref="DA5:DA6"/>
    <mergeCell ref="DB2:DB4"/>
    <mergeCell ref="DB5:DB6"/>
    <mergeCell ref="BT1:BV2"/>
    <mergeCell ref="BZ1:CD2"/>
    <mergeCell ref="CM1:CP1"/>
    <mergeCell ref="CS3:CT3"/>
    <mergeCell ref="CV3:CW3"/>
  </mergeCells>
  <phoneticPr fontId="57" type="noConversion"/>
  <conditionalFormatting sqref="AO1">
    <cfRule type="containsText" dxfId="1335" priority="34" operator="containsText" text=" ">
      <formula>NOT(ISERROR(SEARCH(" ",AO1)))</formula>
    </cfRule>
    <cfRule type="containsText" dxfId="1334" priority="35" operator="containsText" text=" ">
      <formula>NOT(ISERROR(SEARCH(" ",AO1)))</formula>
    </cfRule>
  </conditionalFormatting>
  <conditionalFormatting sqref="AR1">
    <cfRule type="containsText" dxfId="1333" priority="1088" operator="containsText" text=" ">
      <formula>NOT(ISERROR(SEARCH(" ",AR1)))</formula>
    </cfRule>
    <cfRule type="containsText" dxfId="1332" priority="1089" operator="containsText" text=" ">
      <formula>NOT(ISERROR(SEARCH(" ",AR1)))</formula>
    </cfRule>
  </conditionalFormatting>
  <conditionalFormatting sqref="AS1">
    <cfRule type="containsText" dxfId="1331" priority="1060" operator="containsText" text=" ">
      <formula>NOT(ISERROR(SEARCH(" ",AS1)))</formula>
    </cfRule>
    <cfRule type="containsText" dxfId="1330" priority="1061" operator="containsText" text=" ">
      <formula>NOT(ISERROR(SEARCH(" ",AS1)))</formula>
    </cfRule>
  </conditionalFormatting>
  <conditionalFormatting sqref="AT1">
    <cfRule type="containsText" dxfId="1329" priority="90" operator="containsText" text=" ">
      <formula>NOT(ISERROR(SEARCH(" ",AT1)))</formula>
    </cfRule>
    <cfRule type="containsText" dxfId="1328" priority="91" operator="containsText" text=" ">
      <formula>NOT(ISERROR(SEARCH(" ",AT1)))</formula>
    </cfRule>
  </conditionalFormatting>
  <conditionalFormatting sqref="AU1">
    <cfRule type="containsText" dxfId="1327" priority="1247" operator="containsText" text=" ">
      <formula>NOT(ISERROR(SEARCH(" ",AU1)))</formula>
    </cfRule>
    <cfRule type="containsText" dxfId="1326" priority="1248" operator="containsText" text=" ">
      <formula>NOT(ISERROR(SEARCH(" ",AU1)))</formula>
    </cfRule>
  </conditionalFormatting>
  <conditionalFormatting sqref="AV1">
    <cfRule type="containsText" dxfId="1325" priority="934" operator="containsText" text=" ">
      <formula>NOT(ISERROR(SEARCH(" ",AV1)))</formula>
    </cfRule>
    <cfRule type="containsText" dxfId="1324" priority="935" operator="containsText" text=" ">
      <formula>NOT(ISERROR(SEARCH(" ",AV1)))</formula>
    </cfRule>
  </conditionalFormatting>
  <conditionalFormatting sqref="AW1">
    <cfRule type="containsText" dxfId="1323" priority="56" operator="containsText" text=" ">
      <formula>NOT(ISERROR(SEARCH(" ",AW1)))</formula>
    </cfRule>
    <cfRule type="containsText" dxfId="1322" priority="57" operator="containsText" text=" ">
      <formula>NOT(ISERROR(SEARCH(" ",AW1)))</formula>
    </cfRule>
  </conditionalFormatting>
  <conditionalFormatting sqref="AX1">
    <cfRule type="containsText" dxfId="1321" priority="956" operator="containsText" text=" ">
      <formula>NOT(ISERROR(SEARCH(" ",AX1)))</formula>
    </cfRule>
    <cfRule type="containsText" dxfId="1320" priority="957" operator="containsText" text=" ">
      <formula>NOT(ISERROR(SEARCH(" ",AX1)))</formula>
    </cfRule>
  </conditionalFormatting>
  <conditionalFormatting sqref="AY1">
    <cfRule type="containsText" dxfId="1319" priority="890" operator="containsText" text=" ">
      <formula>NOT(ISERROR(SEARCH(" ",AY1)))</formula>
    </cfRule>
    <cfRule type="containsText" dxfId="1318" priority="891" operator="containsText" text=" ">
      <formula>NOT(ISERROR(SEARCH(" ",AY1)))</formula>
    </cfRule>
  </conditionalFormatting>
  <conditionalFormatting sqref="AZ1">
    <cfRule type="containsText" dxfId="1317" priority="886" operator="containsText" text=" ">
      <formula>NOT(ISERROR(SEARCH(" ",AZ1)))</formula>
    </cfRule>
    <cfRule type="containsText" dxfId="1316" priority="887" operator="containsText" text=" ">
      <formula>NOT(ISERROR(SEARCH(" ",AZ1)))</formula>
    </cfRule>
  </conditionalFormatting>
  <conditionalFormatting sqref="BK1">
    <cfRule type="containsText" dxfId="1315" priority="1179" operator="containsText" text=" ">
      <formula>NOT(ISERROR(SEARCH(" ",BK1)))</formula>
    </cfRule>
    <cfRule type="containsText" dxfId="1314" priority="1180" operator="containsText" text=" ">
      <formula>NOT(ISERROR(SEARCH(" ",BK1)))</formula>
    </cfRule>
  </conditionalFormatting>
  <conditionalFormatting sqref="FO1">
    <cfRule type="containsText" dxfId="1313" priority="10" operator="containsText" text=" ">
      <formula>NOT(ISERROR(SEARCH(" ",FO1)))</formula>
    </cfRule>
    <cfRule type="containsText" dxfId="1312" priority="11" operator="containsText" text=" ">
      <formula>NOT(ISERROR(SEARCH(" ",FO1)))</formula>
    </cfRule>
  </conditionalFormatting>
  <conditionalFormatting sqref="B2">
    <cfRule type="containsText" dxfId="1311" priority="776" operator="containsText" text=" ">
      <formula>NOT(ISERROR(SEARCH(" ",B2)))</formula>
    </cfRule>
    <cfRule type="containsText" dxfId="1310" priority="777" operator="containsText" text=" ">
      <formula>NOT(ISERROR(SEARCH(" ",B2)))</formula>
    </cfRule>
  </conditionalFormatting>
  <conditionalFormatting sqref="F2">
    <cfRule type="containsText" dxfId="1309" priority="772" operator="containsText" text=" ">
      <formula>NOT(ISERROR(SEARCH(" ",F2)))</formula>
    </cfRule>
    <cfRule type="containsText" dxfId="1308" priority="773" operator="containsText" text=" ">
      <formula>NOT(ISERROR(SEARCH(" ",F2)))</formula>
    </cfRule>
  </conditionalFormatting>
  <conditionalFormatting sqref="G2">
    <cfRule type="containsText" dxfId="1307" priority="22" operator="containsText" text=" ">
      <formula>NOT(ISERROR(SEARCH(" ",G2)))</formula>
    </cfRule>
    <cfRule type="containsText" dxfId="1306" priority="23" operator="containsText" text=" ">
      <formula>NOT(ISERROR(SEARCH(" ",G2)))</formula>
    </cfRule>
  </conditionalFormatting>
  <conditionalFormatting sqref="H2">
    <cfRule type="containsText" dxfId="1305" priority="778" operator="containsText" text=" ">
      <formula>NOT(ISERROR(SEARCH(" ",H2)))</formula>
    </cfRule>
    <cfRule type="containsText" dxfId="1304" priority="779" operator="containsText" text=" ">
      <formula>NOT(ISERROR(SEARCH(" ",H2)))</formula>
    </cfRule>
  </conditionalFormatting>
  <conditionalFormatting sqref="AG2">
    <cfRule type="containsText" dxfId="1303" priority="1251" operator="containsText" text=" ">
      <formula>NOT(ISERROR(SEARCH(" ",AG2)))</formula>
    </cfRule>
    <cfRule type="containsText" dxfId="1302" priority="1252" operator="containsText" text=" ">
      <formula>NOT(ISERROR(SEARCH(" ",AG2)))</formula>
    </cfRule>
  </conditionalFormatting>
  <conditionalFormatting sqref="AH2">
    <cfRule type="containsText" dxfId="1301" priority="1253" operator="containsText" text=" ">
      <formula>NOT(ISERROR(SEARCH(" ",AH2)))</formula>
    </cfRule>
    <cfRule type="containsText" dxfId="1300" priority="1254" operator="containsText" text=" ">
      <formula>NOT(ISERROR(SEARCH(" ",AH2)))</formula>
    </cfRule>
  </conditionalFormatting>
  <conditionalFormatting sqref="AI2">
    <cfRule type="containsText" dxfId="1299" priority="1042" operator="containsText" text=" ">
      <formula>NOT(ISERROR(SEARCH(" ",AI2)))</formula>
    </cfRule>
    <cfRule type="containsText" dxfId="1298" priority="1043" operator="containsText" text=" ">
      <formula>NOT(ISERROR(SEARCH(" ",AI2)))</formula>
    </cfRule>
  </conditionalFormatting>
  <conditionalFormatting sqref="AK2">
    <cfRule type="containsText" dxfId="1297" priority="994" operator="containsText" text=" ">
      <formula>NOT(ISERROR(SEARCH(" ",AK2)))</formula>
    </cfRule>
    <cfRule type="containsText" dxfId="1296" priority="995" operator="containsText" text=" ">
      <formula>NOT(ISERROR(SEARCH(" ",AK2)))</formula>
    </cfRule>
  </conditionalFormatting>
  <conditionalFormatting sqref="AL2">
    <cfRule type="containsText" dxfId="1295" priority="938" operator="containsText" text=" ">
      <formula>NOT(ISERROR(SEARCH(" ",AL2)))</formula>
    </cfRule>
    <cfRule type="containsText" dxfId="1294" priority="939" operator="containsText" text=" ">
      <formula>NOT(ISERROR(SEARCH(" ",AL2)))</formula>
    </cfRule>
  </conditionalFormatting>
  <conditionalFormatting sqref="AM2">
    <cfRule type="containsText" dxfId="1293" priority="1010" operator="containsText" text=" ">
      <formula>NOT(ISERROR(SEARCH(" ",AM2)))</formula>
    </cfRule>
    <cfRule type="containsText" dxfId="1292" priority="1011" operator="containsText" text=" ">
      <formula>NOT(ISERROR(SEARCH(" ",AM2)))</formula>
    </cfRule>
  </conditionalFormatting>
  <conditionalFormatting sqref="AN2">
    <cfRule type="containsText" dxfId="1291" priority="786" operator="containsText" text=" ">
      <formula>NOT(ISERROR(SEARCH(" ",AN2)))</formula>
    </cfRule>
    <cfRule type="containsText" dxfId="1290" priority="787" operator="containsText" text=" ">
      <formula>NOT(ISERROR(SEARCH(" ",AN2)))</formula>
    </cfRule>
  </conditionalFormatting>
  <conditionalFormatting sqref="AO2">
    <cfRule type="containsText" dxfId="1289" priority="32" operator="containsText" text=" ">
      <formula>NOT(ISERROR(SEARCH(" ",AO2)))</formula>
    </cfRule>
    <cfRule type="containsText" dxfId="1288" priority="33" operator="containsText" text=" ">
      <formula>NOT(ISERROR(SEARCH(" ",AO2)))</formula>
    </cfRule>
  </conditionalFormatting>
  <conditionalFormatting sqref="AP2">
    <cfRule type="containsText" dxfId="1287" priority="30" operator="containsText" text=" ">
      <formula>NOT(ISERROR(SEARCH(" ",AP2)))</formula>
    </cfRule>
    <cfRule type="containsText" dxfId="1286" priority="31" operator="containsText" text=" ">
      <formula>NOT(ISERROR(SEARCH(" ",AP2)))</formula>
    </cfRule>
  </conditionalFormatting>
  <conditionalFormatting sqref="AQ2">
    <cfRule type="containsText" dxfId="1285" priority="1028" operator="containsText" text=" ">
      <formula>NOT(ISERROR(SEARCH(" ",AQ2)))</formula>
    </cfRule>
    <cfRule type="containsText" dxfId="1284" priority="1029" operator="containsText" text=" ">
      <formula>NOT(ISERROR(SEARCH(" ",AQ2)))</formula>
    </cfRule>
  </conditionalFormatting>
  <conditionalFormatting sqref="AR2">
    <cfRule type="containsText" dxfId="1283" priority="1084" operator="containsText" text=" ">
      <formula>NOT(ISERROR(SEARCH(" ",AR2)))</formula>
    </cfRule>
    <cfRule type="containsText" dxfId="1282" priority="1085" operator="containsText" text=" ">
      <formula>NOT(ISERROR(SEARCH(" ",AR2)))</formula>
    </cfRule>
  </conditionalFormatting>
  <conditionalFormatting sqref="AT2">
    <cfRule type="containsText" dxfId="1281" priority="88" operator="containsText" text=" ">
      <formula>NOT(ISERROR(SEARCH(" ",AT2)))</formula>
    </cfRule>
    <cfRule type="containsText" dxfId="1280" priority="89" operator="containsText" text=" ">
      <formula>NOT(ISERROR(SEARCH(" ",AT2)))</formula>
    </cfRule>
  </conditionalFormatting>
  <conditionalFormatting sqref="AU2">
    <cfRule type="containsText" dxfId="1279" priority="1243" operator="containsText" text=" ">
      <formula>NOT(ISERROR(SEARCH(" ",AU2)))</formula>
    </cfRule>
    <cfRule type="containsText" dxfId="1278" priority="1244" operator="containsText" text=" ">
      <formula>NOT(ISERROR(SEARCH(" ",AU2)))</formula>
    </cfRule>
  </conditionalFormatting>
  <conditionalFormatting sqref="AV2">
    <cfRule type="containsText" dxfId="1277" priority="936" operator="containsText" text=" ">
      <formula>NOT(ISERROR(SEARCH(" ",AV2)))</formula>
    </cfRule>
    <cfRule type="containsText" dxfId="1276" priority="937" operator="containsText" text=" ">
      <formula>NOT(ISERROR(SEARCH(" ",AV2)))</formula>
    </cfRule>
  </conditionalFormatting>
  <conditionalFormatting sqref="AY2">
    <cfRule type="containsText" dxfId="1275" priority="892" operator="containsText" text=" ">
      <formula>NOT(ISERROR(SEARCH(" ",AY2)))</formula>
    </cfRule>
    <cfRule type="containsText" dxfId="1274" priority="893" operator="containsText" text=" ">
      <formula>NOT(ISERROR(SEARCH(" ",AY2)))</formula>
    </cfRule>
  </conditionalFormatting>
  <conditionalFormatting sqref="AZ2">
    <cfRule type="containsText" dxfId="1273" priority="888" operator="containsText" text=" ">
      <formula>NOT(ISERROR(SEARCH(" ",AZ2)))</formula>
    </cfRule>
    <cfRule type="containsText" dxfId="1272" priority="889" operator="containsText" text=" ">
      <formula>NOT(ISERROR(SEARCH(" ",AZ2)))</formula>
    </cfRule>
  </conditionalFormatting>
  <conditionalFormatting sqref="AA3:AC3">
    <cfRule type="containsText" dxfId="1271" priority="870" operator="containsText" text=" ">
      <formula>NOT(ISERROR(SEARCH(" ",AA3)))</formula>
    </cfRule>
    <cfRule type="containsText" dxfId="1270" priority="871" operator="containsText" text=" ">
      <formula>NOT(ISERROR(SEARCH(" ",AA3)))</formula>
    </cfRule>
  </conditionalFormatting>
  <conditionalFormatting sqref="AL3">
    <cfRule type="containsText" dxfId="1269" priority="942" operator="containsText" text=" ">
      <formula>NOT(ISERROR(SEARCH(" ",AL3)))</formula>
    </cfRule>
    <cfRule type="containsText" dxfId="1268" priority="943" operator="containsText" text=" ">
      <formula>NOT(ISERROR(SEARCH(" ",AL3)))</formula>
    </cfRule>
  </conditionalFormatting>
  <conditionalFormatting sqref="AO3">
    <cfRule type="containsText" dxfId="1267" priority="36" operator="containsText" text=" ">
      <formula>NOT(ISERROR(SEARCH(" ",AO3)))</formula>
    </cfRule>
    <cfRule type="containsText" dxfId="1266" priority="37" operator="containsText" text=" ">
      <formula>NOT(ISERROR(SEARCH(" ",AO3)))</formula>
    </cfRule>
  </conditionalFormatting>
  <conditionalFormatting sqref="AR3">
    <cfRule type="containsText" dxfId="1265" priority="1082" operator="containsText" text=" ">
      <formula>NOT(ISERROR(SEARCH(" ",AR3)))</formula>
    </cfRule>
    <cfRule type="containsText" dxfId="1264" priority="1083" operator="containsText" text=" ">
      <formula>NOT(ISERROR(SEARCH(" ",AR3)))</formula>
    </cfRule>
  </conditionalFormatting>
  <conditionalFormatting sqref="AU3:AV3">
    <cfRule type="containsText" dxfId="1263" priority="1245" operator="containsText" text=" ">
      <formula>NOT(ISERROR(SEARCH(" ",AU3)))</formula>
    </cfRule>
    <cfRule type="containsText" dxfId="1262" priority="1246" operator="containsText" text=" ">
      <formula>NOT(ISERROR(SEARCH(" ",AU3)))</formula>
    </cfRule>
  </conditionalFormatting>
  <conditionalFormatting sqref="AE4">
    <cfRule type="containsText" dxfId="1261" priority="1239" operator="containsText" text=" ">
      <formula>NOT(ISERROR(SEARCH(" ",AE4)))</formula>
    </cfRule>
    <cfRule type="containsText" dxfId="1260" priority="1240" operator="containsText" text=" ">
      <formula>NOT(ISERROR(SEARCH(" ",AE4)))</formula>
    </cfRule>
  </conditionalFormatting>
  <conditionalFormatting sqref="AR4:AT4">
    <cfRule type="containsText" dxfId="1259" priority="1078" operator="containsText" text=" ">
      <formula>NOT(ISERROR(SEARCH(" ",AR4)))</formula>
    </cfRule>
    <cfRule type="containsText" dxfId="1258" priority="1079" operator="containsText" text=" ">
      <formula>NOT(ISERROR(SEARCH(" ",AR4)))</formula>
    </cfRule>
  </conditionalFormatting>
  <conditionalFormatting sqref="DI4">
    <cfRule type="containsText" dxfId="1257" priority="612" operator="containsText" text=" ">
      <formula>NOT(ISERROR(SEARCH(" ",DI4)))</formula>
    </cfRule>
  </conditionalFormatting>
  <conditionalFormatting sqref="DJ4">
    <cfRule type="containsText" dxfId="1256" priority="736" operator="containsText" text=" ">
      <formula>NOT(ISERROR(SEARCH(" ",DJ4)))</formula>
    </cfRule>
  </conditionalFormatting>
  <conditionalFormatting sqref="DL4">
    <cfRule type="containsText" dxfId="1255" priority="605" operator="containsText" text=" ">
      <formula>NOT(ISERROR(SEARCH(" ",DL4)))</formula>
    </cfRule>
  </conditionalFormatting>
  <conditionalFormatting sqref="DM4">
    <cfRule type="containsText" dxfId="1254" priority="734" operator="containsText" text=" ">
      <formula>NOT(ISERROR(SEARCH(" ",DM4)))</formula>
    </cfRule>
  </conditionalFormatting>
  <conditionalFormatting sqref="DO4">
    <cfRule type="containsText" dxfId="1253" priority="598" operator="containsText" text=" ">
      <formula>NOT(ISERROR(SEARCH(" ",DO4)))</formula>
    </cfRule>
  </conditionalFormatting>
  <conditionalFormatting sqref="DP4">
    <cfRule type="containsText" dxfId="1252" priority="733" operator="containsText" text=" ">
      <formula>NOT(ISERROR(SEARCH(" ",DP4)))</formula>
    </cfRule>
  </conditionalFormatting>
  <conditionalFormatting sqref="DR4">
    <cfRule type="containsText" dxfId="1251" priority="591" operator="containsText" text=" ">
      <formula>NOT(ISERROR(SEARCH(" ",DR4)))</formula>
    </cfRule>
  </conditionalFormatting>
  <conditionalFormatting sqref="DS4">
    <cfRule type="containsText" dxfId="1250" priority="732" operator="containsText" text=" ">
      <formula>NOT(ISERROR(SEARCH(" ",DS4)))</formula>
    </cfRule>
  </conditionalFormatting>
  <conditionalFormatting sqref="DU4">
    <cfRule type="containsText" dxfId="1249" priority="584" operator="containsText" text=" ">
      <formula>NOT(ISERROR(SEARCH(" ",DU4)))</formula>
    </cfRule>
  </conditionalFormatting>
  <conditionalFormatting sqref="DV4">
    <cfRule type="containsText" dxfId="1248" priority="731" operator="containsText" text=" ">
      <formula>NOT(ISERROR(SEARCH(" ",DV4)))</formula>
    </cfRule>
  </conditionalFormatting>
  <conditionalFormatting sqref="DX4">
    <cfRule type="containsText" dxfId="1247" priority="577" operator="containsText" text=" ">
      <formula>NOT(ISERROR(SEARCH(" ",DX4)))</formula>
    </cfRule>
  </conditionalFormatting>
  <conditionalFormatting sqref="DY4">
    <cfRule type="containsText" dxfId="1246" priority="730" operator="containsText" text=" ">
      <formula>NOT(ISERROR(SEARCH(" ",DY4)))</formula>
    </cfRule>
  </conditionalFormatting>
  <conditionalFormatting sqref="EA4">
    <cfRule type="containsText" dxfId="1245" priority="570" operator="containsText" text=" ">
      <formula>NOT(ISERROR(SEARCH(" ",EA4)))</formula>
    </cfRule>
  </conditionalFormatting>
  <conditionalFormatting sqref="EB4">
    <cfRule type="containsText" dxfId="1244" priority="729" operator="containsText" text=" ">
      <formula>NOT(ISERROR(SEARCH(" ",EB4)))</formula>
    </cfRule>
  </conditionalFormatting>
  <conditionalFormatting sqref="ED4">
    <cfRule type="containsText" dxfId="1243" priority="563" operator="containsText" text=" ">
      <formula>NOT(ISERROR(SEARCH(" ",ED4)))</formula>
    </cfRule>
  </conditionalFormatting>
  <conditionalFormatting sqref="EE4">
    <cfRule type="containsText" dxfId="1242" priority="728" operator="containsText" text=" ">
      <formula>NOT(ISERROR(SEARCH(" ",EE4)))</formula>
    </cfRule>
  </conditionalFormatting>
  <conditionalFormatting sqref="EG4">
    <cfRule type="containsText" dxfId="1241" priority="556" operator="containsText" text=" ">
      <formula>NOT(ISERROR(SEARCH(" ",EG4)))</formula>
    </cfRule>
  </conditionalFormatting>
  <conditionalFormatting sqref="EH4">
    <cfRule type="containsText" dxfId="1240" priority="727" operator="containsText" text=" ">
      <formula>NOT(ISERROR(SEARCH(" ",EH4)))</formula>
    </cfRule>
  </conditionalFormatting>
  <conditionalFormatting sqref="EJ4">
    <cfRule type="containsText" dxfId="1239" priority="549" operator="containsText" text=" ">
      <formula>NOT(ISERROR(SEARCH(" ",EJ4)))</formula>
    </cfRule>
  </conditionalFormatting>
  <conditionalFormatting sqref="EK4">
    <cfRule type="containsText" dxfId="1238" priority="726" operator="containsText" text=" ">
      <formula>NOT(ISERROR(SEARCH(" ",EK4)))</formula>
    </cfRule>
  </conditionalFormatting>
  <conditionalFormatting sqref="EM4">
    <cfRule type="containsText" dxfId="1237" priority="542" operator="containsText" text=" ">
      <formula>NOT(ISERROR(SEARCH(" ",EM4)))</formula>
    </cfRule>
  </conditionalFormatting>
  <conditionalFormatting sqref="EN4">
    <cfRule type="containsText" dxfId="1236" priority="725" operator="containsText" text=" ">
      <formula>NOT(ISERROR(SEARCH(" ",EN4)))</formula>
    </cfRule>
  </conditionalFormatting>
  <conditionalFormatting sqref="EP4">
    <cfRule type="containsText" dxfId="1235" priority="535" operator="containsText" text=" ">
      <formula>NOT(ISERROR(SEARCH(" ",EP4)))</formula>
    </cfRule>
  </conditionalFormatting>
  <conditionalFormatting sqref="EQ4">
    <cfRule type="containsText" dxfId="1234" priority="724" operator="containsText" text=" ">
      <formula>NOT(ISERROR(SEARCH(" ",EQ4)))</formula>
    </cfRule>
  </conditionalFormatting>
  <conditionalFormatting sqref="ES4">
    <cfRule type="containsText" dxfId="1233" priority="528" operator="containsText" text=" ">
      <formula>NOT(ISERROR(SEARCH(" ",ES4)))</formula>
    </cfRule>
  </conditionalFormatting>
  <conditionalFormatting sqref="ET4">
    <cfRule type="containsText" dxfId="1232" priority="723" operator="containsText" text=" ">
      <formula>NOT(ISERROR(SEARCH(" ",ET4)))</formula>
    </cfRule>
  </conditionalFormatting>
  <conditionalFormatting sqref="EV4">
    <cfRule type="containsText" dxfId="1231" priority="521" operator="containsText" text=" ">
      <formula>NOT(ISERROR(SEARCH(" ",EV4)))</formula>
    </cfRule>
  </conditionalFormatting>
  <conditionalFormatting sqref="EW4">
    <cfRule type="containsText" dxfId="1230" priority="722" operator="containsText" text=" ">
      <formula>NOT(ISERROR(SEARCH(" ",EW4)))</formula>
    </cfRule>
  </conditionalFormatting>
  <conditionalFormatting sqref="EY4">
    <cfRule type="containsText" dxfId="1229" priority="514" operator="containsText" text=" ">
      <formula>NOT(ISERROR(SEARCH(" ",EY4)))</formula>
    </cfRule>
  </conditionalFormatting>
  <conditionalFormatting sqref="EZ4">
    <cfRule type="containsText" dxfId="1228" priority="721" operator="containsText" text=" ">
      <formula>NOT(ISERROR(SEARCH(" ",EZ4)))</formula>
    </cfRule>
  </conditionalFormatting>
  <conditionalFormatting sqref="FB4">
    <cfRule type="containsText" dxfId="1227" priority="507" operator="containsText" text=" ">
      <formula>NOT(ISERROR(SEARCH(" ",FB4)))</formula>
    </cfRule>
  </conditionalFormatting>
  <conditionalFormatting sqref="FC4">
    <cfRule type="containsText" dxfId="1226" priority="720" operator="containsText" text=" ">
      <formula>NOT(ISERROR(SEARCH(" ",FC4)))</formula>
    </cfRule>
  </conditionalFormatting>
  <conditionalFormatting sqref="FE4">
    <cfRule type="containsText" dxfId="1225" priority="500" operator="containsText" text=" ">
      <formula>NOT(ISERROR(SEARCH(" ",FE4)))</formula>
    </cfRule>
  </conditionalFormatting>
  <conditionalFormatting sqref="FF4">
    <cfRule type="containsText" dxfId="1224" priority="719" operator="containsText" text=" ">
      <formula>NOT(ISERROR(SEARCH(" ",FF4)))</formula>
    </cfRule>
  </conditionalFormatting>
  <conditionalFormatting sqref="FH4">
    <cfRule type="containsText" dxfId="1223" priority="493" operator="containsText" text=" ">
      <formula>NOT(ISERROR(SEARCH(" ",FH4)))</formula>
    </cfRule>
  </conditionalFormatting>
  <conditionalFormatting sqref="FI4">
    <cfRule type="containsText" dxfId="1222" priority="718" operator="containsText" text=" ">
      <formula>NOT(ISERROR(SEARCH(" ",FI4)))</formula>
    </cfRule>
  </conditionalFormatting>
  <conditionalFormatting sqref="FK4">
    <cfRule type="containsText" dxfId="1221" priority="486" operator="containsText" text=" ">
      <formula>NOT(ISERROR(SEARCH(" ",FK4)))</formula>
    </cfRule>
  </conditionalFormatting>
  <conditionalFormatting sqref="FL4">
    <cfRule type="cellIs" dxfId="1220" priority="716" operator="greaterThan">
      <formula>1</formula>
    </cfRule>
    <cfRule type="containsText" dxfId="1219" priority="717" operator="containsText" text=" ">
      <formula>NOT(ISERROR(SEARCH(" ",FL4)))</formula>
    </cfRule>
  </conditionalFormatting>
  <conditionalFormatting sqref="DI5">
    <cfRule type="colorScale" priority="394">
      <colorScale>
        <cfvo type="min"/>
        <cfvo type="max"/>
        <color rgb="FFFCFCFF"/>
        <color rgb="FF63BE7B"/>
      </colorScale>
    </cfRule>
    <cfRule type="colorScale" priority="3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L5">
    <cfRule type="colorScale" priority="384">
      <colorScale>
        <cfvo type="min"/>
        <cfvo type="max"/>
        <color rgb="FFFCFCFF"/>
        <color rgb="FF63BE7B"/>
      </colorScale>
    </cfRule>
    <cfRule type="colorScale" priority="3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5">
    <cfRule type="containsText" dxfId="1218" priority="4" operator="containsText" text=" ">
      <formula>NOT(ISERROR(SEARCH(" ",GK5)))</formula>
    </cfRule>
  </conditionalFormatting>
  <conditionalFormatting sqref="BJ6">
    <cfRule type="containsText" dxfId="1217" priority="1050" operator="containsText" text=" ">
      <formula>NOT(ISERROR(SEARCH(" ",BJ6)))</formula>
    </cfRule>
    <cfRule type="containsText" dxfId="1216" priority="1051" operator="containsText" text=" ">
      <formula>NOT(ISERROR(SEARCH(" ",BJ6)))</formula>
    </cfRule>
  </conditionalFormatting>
  <conditionalFormatting sqref="DI6">
    <cfRule type="colorScale" priority="392">
      <colorScale>
        <cfvo type="min"/>
        <cfvo type="max"/>
        <color rgb="FFFCFCFF"/>
        <color rgb="FF63BE7B"/>
      </colorScale>
    </cfRule>
    <cfRule type="colorScale" priority="3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2">
    <cfRule type="containsText" dxfId="1215" priority="1006" operator="containsText" text=" ">
      <formula>NOT(ISERROR(SEARCH(" ",E12)))</formula>
    </cfRule>
    <cfRule type="containsText" dxfId="1214" priority="1007" operator="containsText" text=" ">
      <formula>NOT(ISERROR(SEARCH(" ",E12)))</formula>
    </cfRule>
  </conditionalFormatting>
  <conditionalFormatting sqref="AW12">
    <cfRule type="containsText" dxfId="1213" priority="84" operator="containsText" text=" ">
      <formula>NOT(ISERROR(SEARCH(" ",AW12)))</formula>
    </cfRule>
    <cfRule type="containsText" dxfId="1212" priority="85" operator="containsText" text=" ">
      <formula>NOT(ISERROR(SEARCH(" ",AW12)))</formula>
    </cfRule>
  </conditionalFormatting>
  <conditionalFormatting sqref="AX12">
    <cfRule type="containsText" dxfId="1211" priority="988" operator="containsText" text=" ">
      <formula>NOT(ISERROR(SEARCH(" ",AX12)))</formula>
    </cfRule>
    <cfRule type="containsText" dxfId="1210" priority="989" operator="containsText" text=" ">
      <formula>NOT(ISERROR(SEARCH(" ",AX12)))</formula>
    </cfRule>
  </conditionalFormatting>
  <conditionalFormatting sqref="BH12">
    <cfRule type="containsText" dxfId="1209" priority="1319" operator="containsText" text=" ">
      <formula>NOT(ISERROR(SEARCH(" ",BH12)))</formula>
    </cfRule>
    <cfRule type="containsText" dxfId="1208" priority="1320" operator="containsText" text=" ">
      <formula>NOT(ISERROR(SEARCH(" ",BH12)))</formula>
    </cfRule>
  </conditionalFormatting>
  <conditionalFormatting sqref="E13">
    <cfRule type="containsText" dxfId="1207" priority="1002" operator="containsText" text=" ">
      <formula>NOT(ISERROR(SEARCH(" ",E13)))</formula>
    </cfRule>
    <cfRule type="containsText" dxfId="1206" priority="1003" operator="containsText" text=" ">
      <formula>NOT(ISERROR(SEARCH(" ",E13)))</formula>
    </cfRule>
  </conditionalFormatting>
  <conditionalFormatting sqref="AW13">
    <cfRule type="containsText" dxfId="1205" priority="78" operator="containsText" text=" ">
      <formula>NOT(ISERROR(SEARCH(" ",AW13)))</formula>
    </cfRule>
    <cfRule type="containsText" dxfId="1204" priority="79" operator="containsText" text=" ">
      <formula>NOT(ISERROR(SEARCH(" ",AW13)))</formula>
    </cfRule>
  </conditionalFormatting>
  <conditionalFormatting sqref="AX13">
    <cfRule type="containsText" dxfId="1203" priority="982" operator="containsText" text=" ">
      <formula>NOT(ISERROR(SEARCH(" ",AX13)))</formula>
    </cfRule>
    <cfRule type="containsText" dxfId="1202" priority="983" operator="containsText" text=" ">
      <formula>NOT(ISERROR(SEARCH(" ",AX13)))</formula>
    </cfRule>
  </conditionalFormatting>
  <conditionalFormatting sqref="AW14">
    <cfRule type="containsText" dxfId="1201" priority="66" operator="containsText" text=" ">
      <formula>NOT(ISERROR(SEARCH(" ",AW14)))</formula>
    </cfRule>
    <cfRule type="containsText" dxfId="1200" priority="67" operator="containsText" text=" ">
      <formula>NOT(ISERROR(SEARCH(" ",AW14)))</formula>
    </cfRule>
  </conditionalFormatting>
  <conditionalFormatting sqref="AX14">
    <cfRule type="containsText" dxfId="1199" priority="966" operator="containsText" text=" ">
      <formula>NOT(ISERROR(SEARCH(" ",AX14)))</formula>
    </cfRule>
    <cfRule type="containsText" dxfId="1198" priority="967" operator="containsText" text=" ">
      <formula>NOT(ISERROR(SEARCH(" ",AX14)))</formula>
    </cfRule>
  </conditionalFormatting>
  <conditionalFormatting sqref="B15">
    <cfRule type="containsText" dxfId="1197" priority="1313" operator="containsText" text=" ">
      <formula>NOT(ISERROR(SEARCH(" ",B15)))</formula>
    </cfRule>
    <cfRule type="containsText" dxfId="1196" priority="1314" operator="containsText" text=" ">
      <formula>NOT(ISERROR(SEARCH(" ",B15)))</formula>
    </cfRule>
  </conditionalFormatting>
  <conditionalFormatting sqref="GK15">
    <cfRule type="containsText" dxfId="1195" priority="2" operator="containsText" text=" ">
      <formula>NOT(ISERROR(SEARCH(" ",GK15)))</formula>
    </cfRule>
  </conditionalFormatting>
  <conditionalFormatting sqref="E20">
    <cfRule type="containsText" dxfId="1194" priority="1000" operator="containsText" text=" ">
      <formula>NOT(ISERROR(SEARCH(" ",E20)))</formula>
    </cfRule>
    <cfRule type="containsText" dxfId="1193" priority="1001" operator="containsText" text=" ">
      <formula>NOT(ISERROR(SEARCH(" ",E20)))</formula>
    </cfRule>
  </conditionalFormatting>
  <conditionalFormatting sqref="AW20">
    <cfRule type="containsText" dxfId="1192" priority="70" operator="containsText" text=" ">
      <formula>NOT(ISERROR(SEARCH(" ",AW20)))</formula>
    </cfRule>
    <cfRule type="containsText" dxfId="1191" priority="71" operator="containsText" text=" ">
      <formula>NOT(ISERROR(SEARCH(" ",AW20)))</formula>
    </cfRule>
  </conditionalFormatting>
  <conditionalFormatting sqref="AX20">
    <cfRule type="containsText" dxfId="1190" priority="970" operator="containsText" text=" ">
      <formula>NOT(ISERROR(SEARCH(" ",AX20)))</formula>
    </cfRule>
    <cfRule type="containsText" dxfId="1189" priority="971" operator="containsText" text=" ">
      <formula>NOT(ISERROR(SEARCH(" ",AX20)))</formula>
    </cfRule>
  </conditionalFormatting>
  <conditionalFormatting sqref="B26">
    <cfRule type="containsText" dxfId="1188" priority="768" operator="containsText" text=" ">
      <formula>NOT(ISERROR(SEARCH(" ",B26)))</formula>
    </cfRule>
    <cfRule type="containsText" dxfId="1187" priority="769" operator="containsText" text=" ">
      <formula>NOT(ISERROR(SEARCH(" ",B26)))</formula>
    </cfRule>
  </conditionalFormatting>
  <conditionalFormatting sqref="AW30">
    <cfRule type="containsText" dxfId="1186" priority="82" operator="containsText" text=" ">
      <formula>NOT(ISERROR(SEARCH(" ",AW30)))</formula>
    </cfRule>
    <cfRule type="containsText" dxfId="1185" priority="83" operator="containsText" text=" ">
      <formula>NOT(ISERROR(SEARCH(" ",AW30)))</formula>
    </cfRule>
  </conditionalFormatting>
  <conditionalFormatting sqref="AW33">
    <cfRule type="containsText" dxfId="1184" priority="58" operator="containsText" text=" ">
      <formula>NOT(ISERROR(SEARCH(" ",AW33)))</formula>
    </cfRule>
    <cfRule type="containsText" dxfId="1183" priority="59" operator="containsText" text=" ">
      <formula>NOT(ISERROR(SEARCH(" ",AW33)))</formula>
    </cfRule>
  </conditionalFormatting>
  <conditionalFormatting sqref="AX33">
    <cfRule type="containsText" dxfId="1182" priority="958" operator="containsText" text=" ">
      <formula>NOT(ISERROR(SEARCH(" ",AX33)))</formula>
    </cfRule>
    <cfRule type="containsText" dxfId="1181" priority="959" operator="containsText" text=" ">
      <formula>NOT(ISERROR(SEARCH(" ",AX33)))</formula>
    </cfRule>
  </conditionalFormatting>
  <conditionalFormatting sqref="BO36">
    <cfRule type="containsText" dxfId="1180" priority="20" operator="containsText" text=" ">
      <formula>NOT(ISERROR(SEARCH(" ",BO36)))</formula>
    </cfRule>
    <cfRule type="containsText" dxfId="1179" priority="21" operator="containsText" text=" ">
      <formula>NOT(ISERROR(SEARCH(" ",BO36)))</formula>
    </cfRule>
  </conditionalFormatting>
  <conditionalFormatting sqref="BO37">
    <cfRule type="containsText" dxfId="1178" priority="18" operator="containsText" text=" ">
      <formula>NOT(ISERROR(SEARCH(" ",BO37)))</formula>
    </cfRule>
    <cfRule type="containsText" dxfId="1177" priority="19" operator="containsText" text=" ">
      <formula>NOT(ISERROR(SEARCH(" ",BO37)))</formula>
    </cfRule>
  </conditionalFormatting>
  <conditionalFormatting sqref="BM38">
    <cfRule type="containsText" dxfId="1176" priority="16" operator="containsText" text=" ">
      <formula>NOT(ISERROR(SEARCH(" ",BM38)))</formula>
    </cfRule>
    <cfRule type="containsText" dxfId="1175" priority="17" operator="containsText" text=" ">
      <formula>NOT(ISERROR(SEARCH(" ",BM38)))</formula>
    </cfRule>
  </conditionalFormatting>
  <conditionalFormatting sqref="AW39">
    <cfRule type="containsText" dxfId="1174" priority="52" operator="containsText" text=" ">
      <formula>NOT(ISERROR(SEARCH(" ",AW39)))</formula>
    </cfRule>
    <cfRule type="containsText" dxfId="1173" priority="53" operator="containsText" text=" ">
      <formula>NOT(ISERROR(SEARCH(" ",AW39)))</formula>
    </cfRule>
  </conditionalFormatting>
  <conditionalFormatting sqref="AX39">
    <cfRule type="containsText" dxfId="1172" priority="952" operator="containsText" text=" ">
      <formula>NOT(ISERROR(SEARCH(" ",AX39)))</formula>
    </cfRule>
    <cfRule type="containsText" dxfId="1171" priority="953" operator="containsText" text=" ">
      <formula>NOT(ISERROR(SEARCH(" ",AX39)))</formula>
    </cfRule>
  </conditionalFormatting>
  <conditionalFormatting sqref="AY39:AZ39">
    <cfRule type="containsText" dxfId="1170" priority="884" operator="containsText" text=" ">
      <formula>NOT(ISERROR(SEARCH(" ",AY39)))</formula>
    </cfRule>
    <cfRule type="containsText" dxfId="1169" priority="885" operator="containsText" text=" ">
      <formula>NOT(ISERROR(SEARCH(" ",AY39)))</formula>
    </cfRule>
  </conditionalFormatting>
  <conditionalFormatting sqref="B41">
    <cfRule type="containsText" dxfId="1168" priority="820" operator="containsText" text=" ">
      <formula>NOT(ISERROR(SEARCH(" ",B41)))</formula>
    </cfRule>
    <cfRule type="containsText" dxfId="1167" priority="821" operator="containsText" text=" ">
      <formula>NOT(ISERROR(SEARCH(" ",B41)))</formula>
    </cfRule>
  </conditionalFormatting>
  <conditionalFormatting sqref="AW41">
    <cfRule type="containsText" dxfId="1166" priority="54" operator="containsText" text=" ">
      <formula>NOT(ISERROR(SEARCH(" ",AW41)))</formula>
    </cfRule>
    <cfRule type="containsText" dxfId="1165" priority="55" operator="containsText" text=" ">
      <formula>NOT(ISERROR(SEARCH(" ",AW41)))</formula>
    </cfRule>
  </conditionalFormatting>
  <conditionalFormatting sqref="B42">
    <cfRule type="containsText" dxfId="1164" priority="818" operator="containsText" text=" ">
      <formula>NOT(ISERROR(SEARCH(" ",B42)))</formula>
    </cfRule>
    <cfRule type="containsText" dxfId="1163" priority="819" operator="containsText" text=" ">
      <formula>NOT(ISERROR(SEARCH(" ",B42)))</formula>
    </cfRule>
  </conditionalFormatting>
  <conditionalFormatting sqref="B43">
    <cfRule type="containsText" dxfId="1162" priority="822" operator="containsText" text=" ">
      <formula>NOT(ISERROR(SEARCH(" ",B43)))</formula>
    </cfRule>
    <cfRule type="containsText" dxfId="1161" priority="823" operator="containsText" text=" ">
      <formula>NOT(ISERROR(SEARCH(" ",B43)))</formula>
    </cfRule>
  </conditionalFormatting>
  <conditionalFormatting sqref="B44">
    <cfRule type="containsText" dxfId="1160" priority="830" operator="containsText" text=" ">
      <formula>NOT(ISERROR(SEARCH(" ",B44)))</formula>
    </cfRule>
    <cfRule type="containsText" dxfId="1159" priority="831" operator="containsText" text=" ">
      <formula>NOT(ISERROR(SEARCH(" ",B44)))</formula>
    </cfRule>
  </conditionalFormatting>
  <conditionalFormatting sqref="AW44">
    <cfRule type="containsText" dxfId="1158" priority="60" operator="containsText" text=" ">
      <formula>NOT(ISERROR(SEARCH(" ",AW44)))</formula>
    </cfRule>
    <cfRule type="containsText" dxfId="1157" priority="61" operator="containsText" text=" ">
      <formula>NOT(ISERROR(SEARCH(" ",AW44)))</formula>
    </cfRule>
  </conditionalFormatting>
  <conditionalFormatting sqref="AX44">
    <cfRule type="containsText" dxfId="1156" priority="960" operator="containsText" text=" ">
      <formula>NOT(ISERROR(SEARCH(" ",AX44)))</formula>
    </cfRule>
    <cfRule type="containsText" dxfId="1155" priority="961" operator="containsText" text=" ">
      <formula>NOT(ISERROR(SEARCH(" ",AX44)))</formula>
    </cfRule>
  </conditionalFormatting>
  <conditionalFormatting sqref="B45">
    <cfRule type="containsText" dxfId="1154" priority="824" operator="containsText" text=" ">
      <formula>NOT(ISERROR(SEARCH(" ",B45)))</formula>
    </cfRule>
    <cfRule type="containsText" dxfId="1153" priority="825" operator="containsText" text=" ">
      <formula>NOT(ISERROR(SEARCH(" ",B45)))</formula>
    </cfRule>
  </conditionalFormatting>
  <conditionalFormatting sqref="AW45">
    <cfRule type="containsText" dxfId="1152" priority="46" operator="containsText" text=" ">
      <formula>NOT(ISERROR(SEARCH(" ",AW45)))</formula>
    </cfRule>
    <cfRule type="containsText" dxfId="1151" priority="47" operator="containsText" text=" ">
      <formula>NOT(ISERROR(SEARCH(" ",AW45)))</formula>
    </cfRule>
  </conditionalFormatting>
  <conditionalFormatting sqref="AX45">
    <cfRule type="containsText" dxfId="1150" priority="980" operator="containsText" text=" ">
      <formula>NOT(ISERROR(SEARCH(" ",AX45)))</formula>
    </cfRule>
    <cfRule type="containsText" dxfId="1149" priority="981" operator="containsText" text=" ">
      <formula>NOT(ISERROR(SEARCH(" ",AX45)))</formula>
    </cfRule>
  </conditionalFormatting>
  <conditionalFormatting sqref="B46">
    <cfRule type="containsText" dxfId="1148" priority="826" operator="containsText" text=" ">
      <formula>NOT(ISERROR(SEARCH(" ",B46)))</formula>
    </cfRule>
    <cfRule type="containsText" dxfId="1147" priority="827" operator="containsText" text=" ">
      <formula>NOT(ISERROR(SEARCH(" ",B46)))</formula>
    </cfRule>
  </conditionalFormatting>
  <conditionalFormatting sqref="AW46">
    <cfRule type="containsText" dxfId="1146" priority="62" operator="containsText" text=" ">
      <formula>NOT(ISERROR(SEARCH(" ",AW46)))</formula>
    </cfRule>
    <cfRule type="containsText" dxfId="1145" priority="63" operator="containsText" text=" ">
      <formula>NOT(ISERROR(SEARCH(" ",AW46)))</formula>
    </cfRule>
  </conditionalFormatting>
  <conditionalFormatting sqref="AX46">
    <cfRule type="containsText" dxfId="1144" priority="962" operator="containsText" text=" ">
      <formula>NOT(ISERROR(SEARCH(" ",AX46)))</formula>
    </cfRule>
    <cfRule type="containsText" dxfId="1143" priority="963" operator="containsText" text=" ">
      <formula>NOT(ISERROR(SEARCH(" ",AX46)))</formula>
    </cfRule>
  </conditionalFormatting>
  <conditionalFormatting sqref="M47">
    <cfRule type="containsText" dxfId="1142" priority="916" operator="containsText" text=" ">
      <formula>NOT(ISERROR(SEARCH(" ",M47)))</formula>
    </cfRule>
    <cfRule type="containsText" dxfId="1141" priority="917" operator="containsText" text=" ">
      <formula>NOT(ISERROR(SEARCH(" ",M47)))</formula>
    </cfRule>
  </conditionalFormatting>
  <conditionalFormatting sqref="AD47">
    <cfRule type="cellIs" dxfId="1140" priority="909" operator="greaterThan">
      <formula>1</formula>
    </cfRule>
    <cfRule type="containsText" dxfId="1139" priority="910" operator="containsText" text=" ">
      <formula>NOT(ISERROR(SEARCH(" ",AD47)))</formula>
    </cfRule>
    <cfRule type="containsText" dxfId="1138" priority="911" operator="containsText" text=" ">
      <formula>NOT(ISERROR(SEARCH(" ",AD47)))</formula>
    </cfRule>
  </conditionalFormatting>
  <conditionalFormatting sqref="AF47:AH47">
    <cfRule type="containsText" dxfId="1137" priority="928" operator="containsText" text=" ">
      <formula>NOT(ISERROR(SEARCH(" ",AF47)))</formula>
    </cfRule>
    <cfRule type="containsText" dxfId="1136" priority="929" operator="containsText" text=" ">
      <formula>NOT(ISERROR(SEARCH(" ",AF47)))</formula>
    </cfRule>
  </conditionalFormatting>
  <conditionalFormatting sqref="AK47">
    <cfRule type="containsText" dxfId="1135" priority="902" operator="containsText" text=" ">
      <formula>NOT(ISERROR(SEARCH(" ",AK47)))</formula>
    </cfRule>
    <cfRule type="containsText" dxfId="1134" priority="903" operator="containsText" text=" ">
      <formula>NOT(ISERROR(SEARCH(" ",AK47)))</formula>
    </cfRule>
  </conditionalFormatting>
  <conditionalFormatting sqref="AL47">
    <cfRule type="containsText" dxfId="1133" priority="912" operator="containsText" text=" ">
      <formula>NOT(ISERROR(SEARCH(" ",AL47)))</formula>
    </cfRule>
    <cfRule type="containsText" dxfId="1132" priority="913" operator="containsText" text=" ">
      <formula>NOT(ISERROR(SEARCH(" ",AL47)))</formula>
    </cfRule>
  </conditionalFormatting>
  <conditionalFormatting sqref="AM47">
    <cfRule type="containsText" dxfId="1131" priority="904" operator="containsText" text=" ">
      <formula>NOT(ISERROR(SEARCH(" ",AM47)))</formula>
    </cfRule>
    <cfRule type="containsText" dxfId="1130" priority="905" operator="containsText" text=" ">
      <formula>NOT(ISERROR(SEARCH(" ",AM47)))</formula>
    </cfRule>
  </conditionalFormatting>
  <conditionalFormatting sqref="AR47">
    <cfRule type="containsText" dxfId="1129" priority="914" operator="containsText" text=" ">
      <formula>NOT(ISERROR(SEARCH(" ",AR47)))</formula>
    </cfRule>
    <cfRule type="containsText" dxfId="1128" priority="915" operator="containsText" text=" ">
      <formula>NOT(ISERROR(SEARCH(" ",AR47)))</formula>
    </cfRule>
  </conditionalFormatting>
  <conditionalFormatting sqref="AW47">
    <cfRule type="containsText" dxfId="1127" priority="48" operator="containsText" text=" ">
      <formula>NOT(ISERROR(SEARCH(" ",AW47)))</formula>
    </cfRule>
    <cfRule type="containsText" dxfId="1126" priority="49" operator="containsText" text=" ">
      <formula>NOT(ISERROR(SEARCH(" ",AW47)))</formula>
    </cfRule>
  </conditionalFormatting>
  <conditionalFormatting sqref="BC47">
    <cfRule type="cellIs" dxfId="1125" priority="926" operator="equal">
      <formula>"是"</formula>
    </cfRule>
    <cfRule type="cellIs" dxfId="1124" priority="927" operator="equal">
      <formula>"否"</formula>
    </cfRule>
  </conditionalFormatting>
  <conditionalFormatting sqref="B48">
    <cfRule type="containsText" dxfId="1123" priority="814" operator="containsText" text=" ">
      <formula>NOT(ISERROR(SEARCH(" ",B48)))</formula>
    </cfRule>
    <cfRule type="containsText" dxfId="1122" priority="815" operator="containsText" text=" ">
      <formula>NOT(ISERROR(SEARCH(" ",B48)))</formula>
    </cfRule>
  </conditionalFormatting>
  <conditionalFormatting sqref="E48">
    <cfRule type="containsText" dxfId="1121" priority="792" operator="containsText" text=" ">
      <formula>NOT(ISERROR(SEARCH(" ",E48)))</formula>
    </cfRule>
    <cfRule type="containsText" dxfId="1120" priority="793" operator="containsText" text=" ">
      <formula>NOT(ISERROR(SEARCH(" ",E48)))</formula>
    </cfRule>
  </conditionalFormatting>
  <conditionalFormatting sqref="B49">
    <cfRule type="containsText" dxfId="1119" priority="808" operator="containsText" text=" ">
      <formula>NOT(ISERROR(SEARCH(" ",B49)))</formula>
    </cfRule>
    <cfRule type="containsText" dxfId="1118" priority="809" operator="containsText" text=" ">
      <formula>NOT(ISERROR(SEARCH(" ",B49)))</formula>
    </cfRule>
  </conditionalFormatting>
  <conditionalFormatting sqref="E49">
    <cfRule type="containsText" dxfId="1117" priority="788" operator="containsText" text=" ">
      <formula>NOT(ISERROR(SEARCH(" ",E49)))</formula>
    </cfRule>
    <cfRule type="containsText" dxfId="1116" priority="789" operator="containsText" text=" ">
      <formula>NOT(ISERROR(SEARCH(" ",E49)))</formula>
    </cfRule>
  </conditionalFormatting>
  <conditionalFormatting sqref="AW49">
    <cfRule type="containsText" dxfId="1115" priority="76" operator="containsText" text=" ">
      <formula>NOT(ISERROR(SEARCH(" ",AW49)))</formula>
    </cfRule>
    <cfRule type="containsText" dxfId="1114" priority="77" operator="containsText" text=" ">
      <formula>NOT(ISERROR(SEARCH(" ",AW49)))</formula>
    </cfRule>
  </conditionalFormatting>
  <conditionalFormatting sqref="AX49:AZ49">
    <cfRule type="containsText" dxfId="1113" priority="976" operator="containsText" text=" ">
      <formula>NOT(ISERROR(SEARCH(" ",AX49)))</formula>
    </cfRule>
    <cfRule type="containsText" dxfId="1112" priority="977" operator="containsText" text=" ">
      <formula>NOT(ISERROR(SEARCH(" ",AX49)))</formula>
    </cfRule>
  </conditionalFormatting>
  <conditionalFormatting sqref="B50">
    <cfRule type="containsText" dxfId="1111" priority="812" operator="containsText" text=" ">
      <formula>NOT(ISERROR(SEARCH(" ",B50)))</formula>
    </cfRule>
    <cfRule type="containsText" dxfId="1110" priority="813" operator="containsText" text=" ">
      <formula>NOT(ISERROR(SEARCH(" ",B50)))</formula>
    </cfRule>
  </conditionalFormatting>
  <conditionalFormatting sqref="E50">
    <cfRule type="containsText" dxfId="1109" priority="790" operator="containsText" text=" ">
      <formula>NOT(ISERROR(SEARCH(" ",E50)))</formula>
    </cfRule>
    <cfRule type="containsText" dxfId="1108" priority="791" operator="containsText" text=" ">
      <formula>NOT(ISERROR(SEARCH(" ",E50)))</formula>
    </cfRule>
  </conditionalFormatting>
  <conditionalFormatting sqref="AW50">
    <cfRule type="containsText" dxfId="1107" priority="80" operator="containsText" text=" ">
      <formula>NOT(ISERROR(SEARCH(" ",AW50)))</formula>
    </cfRule>
    <cfRule type="containsText" dxfId="1106" priority="81" operator="containsText" text=" ">
      <formula>NOT(ISERROR(SEARCH(" ",AW50)))</formula>
    </cfRule>
  </conditionalFormatting>
  <conditionalFormatting sqref="AX50:AZ50">
    <cfRule type="containsText" dxfId="1105" priority="984" operator="containsText" text=" ">
      <formula>NOT(ISERROR(SEARCH(" ",AX50)))</formula>
    </cfRule>
    <cfRule type="containsText" dxfId="1104" priority="985" operator="containsText" text=" ">
      <formula>NOT(ISERROR(SEARCH(" ",AX50)))</formula>
    </cfRule>
  </conditionalFormatting>
  <conditionalFormatting sqref="B51">
    <cfRule type="containsText" dxfId="1103" priority="810" operator="containsText" text=" ">
      <formula>NOT(ISERROR(SEARCH(" ",B51)))</formula>
    </cfRule>
    <cfRule type="containsText" dxfId="1102" priority="811" operator="containsText" text=" ">
      <formula>NOT(ISERROR(SEARCH(" ",B51)))</formula>
    </cfRule>
  </conditionalFormatting>
  <conditionalFormatting sqref="C51:D51">
    <cfRule type="containsText" dxfId="1101" priority="1291" operator="containsText" text=" ">
      <formula>NOT(ISERROR(SEARCH(" ",C51)))</formula>
    </cfRule>
    <cfRule type="containsText" dxfId="1100" priority="1292" operator="containsText" text=" ">
      <formula>NOT(ISERROR(SEARCH(" ",C51)))</formula>
    </cfRule>
  </conditionalFormatting>
  <conditionalFormatting sqref="E51">
    <cfRule type="containsText" dxfId="1099" priority="865" operator="containsText" text=" ">
      <formula>NOT(ISERROR(SEARCH(" ",E51)))</formula>
    </cfRule>
    <cfRule type="containsText" dxfId="1098" priority="866" operator="containsText" text=" ">
      <formula>NOT(ISERROR(SEARCH(" ",E51)))</formula>
    </cfRule>
  </conditionalFormatting>
  <conditionalFormatting sqref="AW51">
    <cfRule type="containsText" dxfId="1097" priority="68" operator="containsText" text=" ">
      <formula>NOT(ISERROR(SEARCH(" ",AW51)))</formula>
    </cfRule>
    <cfRule type="containsText" dxfId="1096" priority="69" operator="containsText" text=" ">
      <formula>NOT(ISERROR(SEARCH(" ",AW51)))</formula>
    </cfRule>
  </conditionalFormatting>
  <conditionalFormatting sqref="AX51:AZ51">
    <cfRule type="containsText" dxfId="1095" priority="968" operator="containsText" text=" ">
      <formula>NOT(ISERROR(SEARCH(" ",AX51)))</formula>
    </cfRule>
    <cfRule type="containsText" dxfId="1094" priority="969" operator="containsText" text=" ">
      <formula>NOT(ISERROR(SEARCH(" ",AX51)))</formula>
    </cfRule>
  </conditionalFormatting>
  <conditionalFormatting sqref="D52">
    <cfRule type="containsText" dxfId="1093" priority="1303" operator="containsText" text=" ">
      <formula>NOT(ISERROR(SEARCH(" ",D52)))</formula>
    </cfRule>
    <cfRule type="containsText" dxfId="1092" priority="1304" operator="containsText" text=" ">
      <formula>NOT(ISERROR(SEARCH(" ",D52)))</formula>
    </cfRule>
  </conditionalFormatting>
  <conditionalFormatting sqref="E52">
    <cfRule type="containsText" dxfId="1091" priority="1207" operator="containsText" text=" ">
      <formula>NOT(ISERROR(SEARCH(" ",E52)))</formula>
    </cfRule>
    <cfRule type="containsText" dxfId="1090" priority="1208" operator="containsText" text=" ">
      <formula>NOT(ISERROR(SEARCH(" ",E52)))</formula>
    </cfRule>
  </conditionalFormatting>
  <conditionalFormatting sqref="AW52">
    <cfRule type="containsText" dxfId="1089" priority="74" operator="containsText" text=" ">
      <formula>NOT(ISERROR(SEARCH(" ",AW52)))</formula>
    </cfRule>
    <cfRule type="containsText" dxfId="1088" priority="75" operator="containsText" text=" ">
      <formula>NOT(ISERROR(SEARCH(" ",AW52)))</formula>
    </cfRule>
  </conditionalFormatting>
  <conditionalFormatting sqref="AX52:AZ52">
    <cfRule type="containsText" dxfId="1087" priority="974" operator="containsText" text=" ">
      <formula>NOT(ISERROR(SEARCH(" ",AX52)))</formula>
    </cfRule>
    <cfRule type="containsText" dxfId="1086" priority="975" operator="containsText" text=" ">
      <formula>NOT(ISERROR(SEARCH(" ",AX52)))</formula>
    </cfRule>
  </conditionalFormatting>
  <conditionalFormatting sqref="D53">
    <cfRule type="containsText" dxfId="1085" priority="1301" operator="containsText" text=" ">
      <formula>NOT(ISERROR(SEARCH(" ",D53)))</formula>
    </cfRule>
    <cfRule type="containsText" dxfId="1084" priority="1302" operator="containsText" text=" ">
      <formula>NOT(ISERROR(SEARCH(" ",D53)))</formula>
    </cfRule>
  </conditionalFormatting>
  <conditionalFormatting sqref="E53">
    <cfRule type="containsText" dxfId="1083" priority="1205" operator="containsText" text=" ">
      <formula>NOT(ISERROR(SEARCH(" ",E53)))</formula>
    </cfRule>
    <cfRule type="containsText" dxfId="1082" priority="1206" operator="containsText" text=" ">
      <formula>NOT(ISERROR(SEARCH(" ",E53)))</formula>
    </cfRule>
  </conditionalFormatting>
  <conditionalFormatting sqref="D54">
    <cfRule type="containsText" dxfId="1081" priority="1299" operator="containsText" text=" ">
      <formula>NOT(ISERROR(SEARCH(" ",D54)))</formula>
    </cfRule>
    <cfRule type="containsText" dxfId="1080" priority="1300" operator="containsText" text=" ">
      <formula>NOT(ISERROR(SEARCH(" ",D54)))</formula>
    </cfRule>
  </conditionalFormatting>
  <conditionalFormatting sqref="E54">
    <cfRule type="containsText" dxfId="1079" priority="1203" operator="containsText" text=" ">
      <formula>NOT(ISERROR(SEARCH(" ",E54)))</formula>
    </cfRule>
    <cfRule type="containsText" dxfId="1078" priority="1204" operator="containsText" text=" ">
      <formula>NOT(ISERROR(SEARCH(" ",E54)))</formula>
    </cfRule>
  </conditionalFormatting>
  <conditionalFormatting sqref="AW54">
    <cfRule type="containsText" dxfId="1077" priority="72" operator="containsText" text=" ">
      <formula>NOT(ISERROR(SEARCH(" ",AW54)))</formula>
    </cfRule>
    <cfRule type="containsText" dxfId="1076" priority="73" operator="containsText" text=" ">
      <formula>NOT(ISERROR(SEARCH(" ",AW54)))</formula>
    </cfRule>
  </conditionalFormatting>
  <conditionalFormatting sqref="AX54:AZ54">
    <cfRule type="containsText" dxfId="1075" priority="972" operator="containsText" text=" ">
      <formula>NOT(ISERROR(SEARCH(" ",AX54)))</formula>
    </cfRule>
    <cfRule type="containsText" dxfId="1074" priority="973" operator="containsText" text=" ">
      <formula>NOT(ISERROR(SEARCH(" ",AX54)))</formula>
    </cfRule>
  </conditionalFormatting>
  <conditionalFormatting sqref="C55">
    <cfRule type="containsText" dxfId="1073" priority="1283" operator="containsText" text=" ">
      <formula>NOT(ISERROR(SEARCH(" ",C55)))</formula>
    </cfRule>
    <cfRule type="containsText" dxfId="1072" priority="1284" operator="containsText" text=" ">
      <formula>NOT(ISERROR(SEARCH(" ",C55)))</formula>
    </cfRule>
  </conditionalFormatting>
  <conditionalFormatting sqref="D55">
    <cfRule type="containsText" dxfId="1071" priority="1281" operator="containsText" text=" ">
      <formula>NOT(ISERROR(SEARCH(" ",D55)))</formula>
    </cfRule>
    <cfRule type="containsText" dxfId="1070" priority="1282" operator="containsText" text=" ">
      <formula>NOT(ISERROR(SEARCH(" ",D55)))</formula>
    </cfRule>
  </conditionalFormatting>
  <conditionalFormatting sqref="E55">
    <cfRule type="containsText" dxfId="1069" priority="1197" operator="containsText" text=" ">
      <formula>NOT(ISERROR(SEARCH(" ",E55)))</formula>
    </cfRule>
    <cfRule type="containsText" dxfId="1068" priority="1198" operator="containsText" text=" ">
      <formula>NOT(ISERROR(SEARCH(" ",E55)))</formula>
    </cfRule>
  </conditionalFormatting>
  <conditionalFormatting sqref="AW55">
    <cfRule type="containsText" dxfId="1067" priority="64" operator="containsText" text=" ">
      <formula>NOT(ISERROR(SEARCH(" ",AW55)))</formula>
    </cfRule>
    <cfRule type="containsText" dxfId="1066" priority="65" operator="containsText" text=" ">
      <formula>NOT(ISERROR(SEARCH(" ",AW55)))</formula>
    </cfRule>
  </conditionalFormatting>
  <conditionalFormatting sqref="AX55:AZ55">
    <cfRule type="containsText" dxfId="1065" priority="964" operator="containsText" text=" ">
      <formula>NOT(ISERROR(SEARCH(" ",AX55)))</formula>
    </cfRule>
    <cfRule type="containsText" dxfId="1064" priority="965" operator="containsText" text=" ">
      <formula>NOT(ISERROR(SEARCH(" ",AX55)))</formula>
    </cfRule>
  </conditionalFormatting>
  <conditionalFormatting sqref="AH56">
    <cfRule type="containsText" dxfId="1063" priority="1062" operator="containsText" text=" ">
      <formula>NOT(ISERROR(SEARCH(" ",AH56)))</formula>
    </cfRule>
    <cfRule type="containsText" dxfId="1062" priority="1063" operator="containsText" text=" ">
      <formula>NOT(ISERROR(SEARCH(" ",AH56)))</formula>
    </cfRule>
  </conditionalFormatting>
  <conditionalFormatting sqref="AX56:AZ56">
    <cfRule type="containsText" dxfId="1061" priority="950" operator="containsText" text=" ">
      <formula>NOT(ISERROR(SEARCH(" ",AX56)))</formula>
    </cfRule>
    <cfRule type="containsText" dxfId="1060" priority="951" operator="containsText" text=" ">
      <formula>NOT(ISERROR(SEARCH(" ",AX56)))</formula>
    </cfRule>
  </conditionalFormatting>
  <conditionalFormatting sqref="AH57">
    <cfRule type="containsText" dxfId="1059" priority="1068" operator="containsText" text=" ">
      <formula>NOT(ISERROR(SEARCH(" ",AH57)))</formula>
    </cfRule>
    <cfRule type="containsText" dxfId="1058" priority="1069" operator="containsText" text=" ">
      <formula>NOT(ISERROR(SEARCH(" ",AH57)))</formula>
    </cfRule>
  </conditionalFormatting>
  <conditionalFormatting sqref="AX57:AZ57">
    <cfRule type="containsText" dxfId="1057" priority="948" operator="containsText" text=" ">
      <formula>NOT(ISERROR(SEARCH(" ",AX57)))</formula>
    </cfRule>
    <cfRule type="containsText" dxfId="1056" priority="949" operator="containsText" text=" ">
      <formula>NOT(ISERROR(SEARCH(" ",AX57)))</formula>
    </cfRule>
  </conditionalFormatting>
  <conditionalFormatting sqref="AH58">
    <cfRule type="containsText" dxfId="1055" priority="1066" operator="containsText" text=" ">
      <formula>NOT(ISERROR(SEARCH(" ",AH58)))</formula>
    </cfRule>
    <cfRule type="containsText" dxfId="1054" priority="1067" operator="containsText" text=" ">
      <formula>NOT(ISERROR(SEARCH(" ",AH58)))</formula>
    </cfRule>
  </conditionalFormatting>
  <conditionalFormatting sqref="AV58">
    <cfRule type="containsText" dxfId="1053" priority="38" operator="containsText" text=" ">
      <formula>NOT(ISERROR(SEARCH(" ",AV58)))</formula>
    </cfRule>
    <cfRule type="containsText" dxfId="1052" priority="39" operator="containsText" text=" ">
      <formula>NOT(ISERROR(SEARCH(" ",AV58)))</formula>
    </cfRule>
  </conditionalFormatting>
  <conditionalFormatting sqref="AX58:AZ58">
    <cfRule type="containsText" dxfId="1051" priority="946" operator="containsText" text=" ">
      <formula>NOT(ISERROR(SEARCH(" ",AX58)))</formula>
    </cfRule>
    <cfRule type="containsText" dxfId="1050" priority="947" operator="containsText" text=" ">
      <formula>NOT(ISERROR(SEARCH(" ",AX58)))</formula>
    </cfRule>
  </conditionalFormatting>
  <conditionalFormatting sqref="AH59">
    <cfRule type="containsText" dxfId="1049" priority="1064" operator="containsText" text=" ">
      <formula>NOT(ISERROR(SEARCH(" ",AH59)))</formula>
    </cfRule>
    <cfRule type="containsText" dxfId="1048" priority="1065" operator="containsText" text=" ">
      <formula>NOT(ISERROR(SEARCH(" ",AH59)))</formula>
    </cfRule>
  </conditionalFormatting>
  <conditionalFormatting sqref="AV59">
    <cfRule type="containsText" dxfId="1047" priority="44" operator="containsText" text=" ">
      <formula>NOT(ISERROR(SEARCH(" ",AV59)))</formula>
    </cfRule>
    <cfRule type="containsText" dxfId="1046" priority="45" operator="containsText" text=" ">
      <formula>NOT(ISERROR(SEARCH(" ",AV59)))</formula>
    </cfRule>
  </conditionalFormatting>
  <conditionalFormatting sqref="AX59:AZ59">
    <cfRule type="containsText" dxfId="1045" priority="944" operator="containsText" text=" ">
      <formula>NOT(ISERROR(SEARCH(" ",AX59)))</formula>
    </cfRule>
    <cfRule type="containsText" dxfId="1044" priority="945" operator="containsText" text=" ">
      <formula>NOT(ISERROR(SEARCH(" ",AX59)))</formula>
    </cfRule>
  </conditionalFormatting>
  <conditionalFormatting sqref="AH60">
    <cfRule type="containsText" dxfId="1043" priority="345" operator="containsText" text=" ">
      <formula>NOT(ISERROR(SEARCH(" ",AH60)))</formula>
    </cfRule>
    <cfRule type="containsText" dxfId="1042" priority="346" operator="containsText" text=" ">
      <formula>NOT(ISERROR(SEARCH(" ",AH60)))</formula>
    </cfRule>
  </conditionalFormatting>
  <conditionalFormatting sqref="AV60">
    <cfRule type="containsText" dxfId="1041" priority="40" operator="containsText" text=" ">
      <formula>NOT(ISERROR(SEARCH(" ",AV60)))</formula>
    </cfRule>
    <cfRule type="containsText" dxfId="1040" priority="41" operator="containsText" text=" ">
      <formula>NOT(ISERROR(SEARCH(" ",AV60)))</formula>
    </cfRule>
  </conditionalFormatting>
  <conditionalFormatting sqref="AX60:AZ60">
    <cfRule type="containsText" dxfId="1039" priority="321" operator="containsText" text=" ">
      <formula>NOT(ISERROR(SEARCH(" ",AX60)))</formula>
    </cfRule>
    <cfRule type="containsText" dxfId="1038" priority="322" operator="containsText" text=" ">
      <formula>NOT(ISERROR(SEARCH(" ",AX60)))</formula>
    </cfRule>
  </conditionalFormatting>
  <conditionalFormatting sqref="AH61">
    <cfRule type="containsText" dxfId="1037" priority="343" operator="containsText" text=" ">
      <formula>NOT(ISERROR(SEARCH(" ",AH61)))</formula>
    </cfRule>
    <cfRule type="containsText" dxfId="1036" priority="344" operator="containsText" text=" ">
      <formula>NOT(ISERROR(SEARCH(" ",AH61)))</formula>
    </cfRule>
  </conditionalFormatting>
  <conditionalFormatting sqref="AV61">
    <cfRule type="containsText" dxfId="1035" priority="42" operator="containsText" text=" ">
      <formula>NOT(ISERROR(SEARCH(" ",AV61)))</formula>
    </cfRule>
    <cfRule type="containsText" dxfId="1034" priority="43" operator="containsText" text=" ">
      <formula>NOT(ISERROR(SEARCH(" ",AV61)))</formula>
    </cfRule>
  </conditionalFormatting>
  <conditionalFormatting sqref="AX61:AZ61">
    <cfRule type="containsText" dxfId="1033" priority="319" operator="containsText" text=" ">
      <formula>NOT(ISERROR(SEARCH(" ",AX61)))</formula>
    </cfRule>
    <cfRule type="containsText" dxfId="1032" priority="320" operator="containsText" text=" ">
      <formula>NOT(ISERROR(SEARCH(" ",AX61)))</formula>
    </cfRule>
  </conditionalFormatting>
  <conditionalFormatting sqref="AH62">
    <cfRule type="containsText" dxfId="1031" priority="341" operator="containsText" text=" ">
      <formula>NOT(ISERROR(SEARCH(" ",AH62)))</formula>
    </cfRule>
    <cfRule type="containsText" dxfId="1030" priority="342" operator="containsText" text=" ">
      <formula>NOT(ISERROR(SEARCH(" ",AH62)))</formula>
    </cfRule>
  </conditionalFormatting>
  <conditionalFormatting sqref="AV62">
    <cfRule type="containsText" dxfId="1029" priority="136" operator="containsText" text=" ">
      <formula>NOT(ISERROR(SEARCH(" ",AV62)))</formula>
    </cfRule>
    <cfRule type="containsText" dxfId="1028" priority="137" operator="containsText" text=" ">
      <formula>NOT(ISERROR(SEARCH(" ",AV62)))</formula>
    </cfRule>
  </conditionalFormatting>
  <conditionalFormatting sqref="AX62:AZ62">
    <cfRule type="containsText" dxfId="1027" priority="317" operator="containsText" text=" ">
      <formula>NOT(ISERROR(SEARCH(" ",AX62)))</formula>
    </cfRule>
    <cfRule type="containsText" dxfId="1026" priority="318" operator="containsText" text=" ">
      <formula>NOT(ISERROR(SEARCH(" ",AX62)))</formula>
    </cfRule>
  </conditionalFormatting>
  <conditionalFormatting sqref="B13:B14">
    <cfRule type="containsText" dxfId="1025" priority="1297" operator="containsText" text=" ">
      <formula>NOT(ISERROR(SEARCH(" ",B13)))</formula>
    </cfRule>
    <cfRule type="containsText" dxfId="1024" priority="1298" operator="containsText" text=" ">
      <formula>NOT(ISERROR(SEARCH(" ",B13)))</formula>
    </cfRule>
  </conditionalFormatting>
  <conditionalFormatting sqref="B34:B38">
    <cfRule type="cellIs" dxfId="1023" priority="804" operator="equal">
      <formula>" "</formula>
    </cfRule>
    <cfRule type="containsText" dxfId="1022" priority="805" operator="containsText" text=" ">
      <formula>NOT(ISERROR(SEARCH(" ",B34)))</formula>
    </cfRule>
    <cfRule type="containsText" dxfId="1021" priority="806" operator="containsText" text=" ">
      <formula>NOT(ISERROR(SEARCH(" ",B34)))</formula>
    </cfRule>
  </conditionalFormatting>
  <conditionalFormatting sqref="B60:B62">
    <cfRule type="cellIs" dxfId="1020" priority="287" operator="equal">
      <formula>" "</formula>
    </cfRule>
  </conditionalFormatting>
  <conditionalFormatting sqref="E56:E59">
    <cfRule type="containsText" dxfId="1019" priority="1114" operator="containsText" text=" ">
      <formula>NOT(ISERROR(SEARCH(" ",E56)))</formula>
    </cfRule>
    <cfRule type="containsText" dxfId="1018" priority="1115" operator="containsText" text=" ">
      <formula>NOT(ISERROR(SEARCH(" ",E56)))</formula>
    </cfRule>
  </conditionalFormatting>
  <conditionalFormatting sqref="E60:E62">
    <cfRule type="containsText" dxfId="1017" priority="355" operator="containsText" text=" ">
      <formula>NOT(ISERROR(SEARCH(" ",E60)))</formula>
    </cfRule>
    <cfRule type="containsText" dxfId="1016" priority="356" operator="containsText" text=" ">
      <formula>NOT(ISERROR(SEARCH(" ",E60)))</formula>
    </cfRule>
  </conditionalFormatting>
  <conditionalFormatting sqref="F60:F62">
    <cfRule type="containsText" dxfId="1015" priority="327" operator="containsText" text=" ">
      <formula>NOT(ISERROR(SEARCH(" ",F60)))</formula>
    </cfRule>
    <cfRule type="containsText" dxfId="1014" priority="328" operator="containsText" text=" ">
      <formula>NOT(ISERROR(SEARCH(" ",F60)))</formula>
    </cfRule>
  </conditionalFormatting>
  <conditionalFormatting sqref="M60:M62">
    <cfRule type="containsText" dxfId="1013" priority="367" operator="containsText" text=" ">
      <formula>NOT(ISERROR(SEARCH(" ",M60)))</formula>
    </cfRule>
    <cfRule type="containsText" dxfId="1012" priority="368" operator="containsText" text=" ">
      <formula>NOT(ISERROR(SEARCH(" ",M60)))</formula>
    </cfRule>
  </conditionalFormatting>
  <conditionalFormatting sqref="Q60:Q62">
    <cfRule type="colorScale" priority="291">
      <colorScale>
        <cfvo type="min"/>
        <cfvo type="max"/>
        <color rgb="FFFCFCFF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:S2">
    <cfRule type="containsText" dxfId="1011" priority="382" operator="containsText" text=" ">
      <formula>NOT(ISERROR(SEARCH(" ",S1)))</formula>
    </cfRule>
    <cfRule type="containsText" dxfId="1010" priority="383" operator="containsText" text=" ">
      <formula>NOT(ISERROR(SEARCH(" ",S1)))</formula>
    </cfRule>
  </conditionalFormatting>
  <conditionalFormatting sqref="U60:U62">
    <cfRule type="cellIs" dxfId="1009" priority="333" operator="greaterThan">
      <formula>1</formula>
    </cfRule>
    <cfRule type="containsText" dxfId="1008" priority="334" operator="containsText" text=" ">
      <formula>NOT(ISERROR(SEARCH(" ",U60)))</formula>
    </cfRule>
    <cfRule type="containsText" dxfId="1007" priority="335" operator="containsText" text=" ">
      <formula>NOT(ISERROR(SEARCH(" ",U60)))</formula>
    </cfRule>
  </conditionalFormatting>
  <conditionalFormatting sqref="Z1:Z2">
    <cfRule type="containsText" dxfId="1006" priority="872" operator="containsText" text=" ">
      <formula>NOT(ISERROR(SEARCH(" ",Z1)))</formula>
    </cfRule>
    <cfRule type="containsText" dxfId="1005" priority="873" operator="containsText" text=" ">
      <formula>NOT(ISERROR(SEARCH(" ",Z1)))</formula>
    </cfRule>
  </conditionalFormatting>
  <conditionalFormatting sqref="AD1:AD3">
    <cfRule type="containsText" dxfId="1004" priority="1023" operator="containsText" text=" ">
      <formula>NOT(ISERROR(SEARCH(" ",AD1)))</formula>
    </cfRule>
    <cfRule type="containsText" dxfId="1003" priority="1024" operator="containsText" text=" ">
      <formula>NOT(ISERROR(SEARCH(" ",AD1)))</formula>
    </cfRule>
  </conditionalFormatting>
  <conditionalFormatting sqref="AD60:AD62">
    <cfRule type="cellIs" dxfId="1002" priority="336" operator="greaterThan">
      <formula>1</formula>
    </cfRule>
    <cfRule type="containsText" dxfId="1001" priority="337" operator="containsText" text=" ">
      <formula>NOT(ISERROR(SEARCH(" ",AD60)))</formula>
    </cfRule>
    <cfRule type="containsText" dxfId="1000" priority="338" operator="containsText" text=" ">
      <formula>NOT(ISERROR(SEARCH(" ",AD60)))</formula>
    </cfRule>
  </conditionalFormatting>
  <conditionalFormatting sqref="AI60:AI62">
    <cfRule type="containsText" dxfId="999" priority="373" operator="containsText" text=" ">
      <formula>NOT(ISERROR(SEARCH(" ",AI60)))</formula>
    </cfRule>
    <cfRule type="containsText" dxfId="998" priority="374" operator="containsText" text=" ">
      <formula>NOT(ISERROR(SEARCH(" ",AI60)))</formula>
    </cfRule>
  </conditionalFormatting>
  <conditionalFormatting sqref="AJ59:AJ60">
    <cfRule type="containsText" dxfId="997" priority="144" operator="containsText" text=" ">
      <formula>NOT(ISERROR(SEARCH(" ",AJ59)))</formula>
    </cfRule>
    <cfRule type="containsText" dxfId="996" priority="145" operator="containsText" text=" ">
      <formula>NOT(ISERROR(SEARCH(" ",AJ59)))</formula>
    </cfRule>
  </conditionalFormatting>
  <conditionalFormatting sqref="AJ61:AJ62">
    <cfRule type="containsText" dxfId="995" priority="142" operator="containsText" text=" ">
      <formula>NOT(ISERROR(SEARCH(" ",AJ61)))</formula>
    </cfRule>
    <cfRule type="containsText" dxfId="994" priority="143" operator="containsText" text=" ">
      <formula>NOT(ISERROR(SEARCH(" ",AJ61)))</formula>
    </cfRule>
  </conditionalFormatting>
  <conditionalFormatting sqref="AK60:AK62">
    <cfRule type="containsText" dxfId="993" priority="325" operator="containsText" text=" ">
      <formula>NOT(ISERROR(SEARCH(" ",AK60)))</formula>
    </cfRule>
    <cfRule type="containsText" dxfId="992" priority="326" operator="containsText" text=" ">
      <formula>NOT(ISERROR(SEARCH(" ",AK60)))</formula>
    </cfRule>
  </conditionalFormatting>
  <conditionalFormatting sqref="AK63:AK1048576">
    <cfRule type="containsText" dxfId="991" priority="992" operator="containsText" text=" ">
      <formula>NOT(ISERROR(SEARCH(" ",AK63)))</formula>
    </cfRule>
    <cfRule type="containsText" dxfId="990" priority="993" operator="containsText" text=" ">
      <formula>NOT(ISERROR(SEARCH(" ",AK63)))</formula>
    </cfRule>
  </conditionalFormatting>
  <conditionalFormatting sqref="AL60:AL62">
    <cfRule type="containsText" dxfId="989" priority="339" operator="containsText" text=" ">
      <formula>NOT(ISERROR(SEARCH(" ",AL60)))</formula>
    </cfRule>
    <cfRule type="containsText" dxfId="988" priority="340" operator="containsText" text=" ">
      <formula>NOT(ISERROR(SEARCH(" ",AL60)))</formula>
    </cfRule>
  </conditionalFormatting>
  <conditionalFormatting sqref="AP5:AP39">
    <cfRule type="containsText" dxfId="987" priority="28" operator="containsText" text=" ">
      <formula>NOT(ISERROR(SEARCH(" ",AP5)))</formula>
    </cfRule>
    <cfRule type="containsText" dxfId="986" priority="29" operator="containsText" text=" ">
      <formula>NOT(ISERROR(SEARCH(" ",AP5)))</formula>
    </cfRule>
  </conditionalFormatting>
  <conditionalFormatting sqref="AQ60:AQ62">
    <cfRule type="containsText" dxfId="985" priority="371" operator="containsText" text=" ">
      <formula>NOT(ISERROR(SEARCH(" ",AQ60)))</formula>
    </cfRule>
    <cfRule type="containsText" dxfId="984" priority="372" operator="containsText" text=" ">
      <formula>NOT(ISERROR(SEARCH(" ",AQ60)))</formula>
    </cfRule>
  </conditionalFormatting>
  <conditionalFormatting sqref="AR60:AR62">
    <cfRule type="containsText" dxfId="983" priority="351" operator="containsText" text=" ">
      <formula>NOT(ISERROR(SEARCH(" ",AR60)))</formula>
    </cfRule>
    <cfRule type="containsText" dxfId="982" priority="352" operator="containsText" text=" ">
      <formula>NOT(ISERROR(SEARCH(" ",AR60)))</formula>
    </cfRule>
  </conditionalFormatting>
  <conditionalFormatting sqref="AW56:AW62">
    <cfRule type="containsText" dxfId="981" priority="50" operator="containsText" text=" ">
      <formula>NOT(ISERROR(SEARCH(" ",AW56)))</formula>
    </cfRule>
    <cfRule type="containsText" dxfId="980" priority="51" operator="containsText" text=" ">
      <formula>NOT(ISERROR(SEARCH(" ",AW56)))</formula>
    </cfRule>
  </conditionalFormatting>
  <conditionalFormatting sqref="BC56:BC59">
    <cfRule type="cellIs" dxfId="979" priority="1120" operator="equal">
      <formula>"是"</formula>
    </cfRule>
    <cfRule type="cellIs" dxfId="978" priority="1121" operator="equal">
      <formula>"否"</formula>
    </cfRule>
  </conditionalFormatting>
  <conditionalFormatting sqref="BC60:BC62">
    <cfRule type="cellIs" dxfId="977" priority="361" operator="equal">
      <formula>"是"</formula>
    </cfRule>
    <cfRule type="cellIs" dxfId="976" priority="362" operator="equal">
      <formula>"否"</formula>
    </cfRule>
  </conditionalFormatting>
  <conditionalFormatting sqref="BJ30:BJ38">
    <cfRule type="cellIs" dxfId="975" priority="763" operator="greaterThan">
      <formula>1</formula>
    </cfRule>
    <cfRule type="containsText" dxfId="974" priority="764" operator="containsText" text=" ">
      <formula>NOT(ISERROR(SEARCH(" ",BJ30)))</formula>
    </cfRule>
    <cfRule type="containsText" dxfId="973" priority="765" operator="containsText" text=" ">
      <formula>NOT(ISERROR(SEARCH(" ",BJ30)))</formula>
    </cfRule>
  </conditionalFormatting>
  <conditionalFormatting sqref="BR30:BR38">
    <cfRule type="containsText" dxfId="972" priority="766" operator="containsText" text=" ">
      <formula>NOT(ISERROR(SEARCH(" ",BR30)))</formula>
    </cfRule>
    <cfRule type="containsText" dxfId="971" priority="767" operator="containsText" text=" ">
      <formula>NOT(ISERROR(SEARCH(" ",BR30)))</formula>
    </cfRule>
  </conditionalFormatting>
  <conditionalFormatting sqref="BU60:BU62">
    <cfRule type="cellIs" dxfId="970" priority="288" operator="equal">
      <formula>0</formula>
    </cfRule>
  </conditionalFormatting>
  <conditionalFormatting sqref="CF60:CF62">
    <cfRule type="containsText" dxfId="969" priority="310" operator="containsText" text=" ">
      <formula>NOT(ISERROR(SEARCH(" ",CF60)))</formula>
    </cfRule>
    <cfRule type="containsText" dxfId="968" priority="311" operator="containsText" text=" ">
      <formula>NOT(ISERROR(SEARCH(" ",CF60)))</formula>
    </cfRule>
  </conditionalFormatting>
  <conditionalFormatting sqref="CH5:CH59">
    <cfRule type="containsText" dxfId="967" priority="876" operator="containsText" text=" ">
      <formula>NOT(ISERROR(SEARCH(" ",CH5)))</formula>
    </cfRule>
    <cfRule type="containsText" dxfId="966" priority="877" operator="containsText" text=" ">
      <formula>NOT(ISERROR(SEARCH(" ",CH5)))</formula>
    </cfRule>
  </conditionalFormatting>
  <conditionalFormatting sqref="CH60:CH62">
    <cfRule type="containsText" dxfId="965" priority="308" operator="containsText" text=" ">
      <formula>NOT(ISERROR(SEARCH(" ",CH60)))</formula>
    </cfRule>
    <cfRule type="containsText" dxfId="964" priority="309" operator="containsText" text=" ">
      <formula>NOT(ISERROR(SEARCH(" ",CH60)))</formula>
    </cfRule>
  </conditionalFormatting>
  <conditionalFormatting sqref="CK6:CK59">
    <cfRule type="colorScale" priority="8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K60:CK62">
    <cfRule type="colorScale" priority="3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M5:CM59">
    <cfRule type="cellIs" dxfId="963" priority="848" operator="greaterThan">
      <formula>1</formula>
    </cfRule>
    <cfRule type="containsText" dxfId="962" priority="849" operator="containsText" text=" ">
      <formula>NOT(ISERROR(SEARCH(" ",CM5)))</formula>
    </cfRule>
    <cfRule type="containsText" dxfId="961" priority="850" operator="containsText" text=" ">
      <formula>NOT(ISERROR(SEARCH(" ",CM5)))</formula>
    </cfRule>
  </conditionalFormatting>
  <conditionalFormatting sqref="CM60:CM62">
    <cfRule type="cellIs" dxfId="960" priority="304" operator="greaterThan">
      <formula>1</formula>
    </cfRule>
    <cfRule type="containsText" dxfId="959" priority="305" operator="containsText" text=" ">
      <formula>NOT(ISERROR(SEARCH(" ",CM60)))</formula>
    </cfRule>
    <cfRule type="containsText" dxfId="958" priority="306" operator="containsText" text=" ">
      <formula>NOT(ISERROR(SEARCH(" ",CM60)))</formula>
    </cfRule>
  </conditionalFormatting>
  <conditionalFormatting sqref="CN5:CN59">
    <cfRule type="cellIs" dxfId="957" priority="841" operator="greaterThan">
      <formula>$CO$3</formula>
    </cfRule>
    <cfRule type="cellIs" dxfId="956" priority="842" operator="greaterThan">
      <formula>"&gt;$Z$3"</formula>
    </cfRule>
  </conditionalFormatting>
  <conditionalFormatting sqref="CN60:CN62">
    <cfRule type="cellIs" dxfId="955" priority="297" operator="greaterThan">
      <formula>$CO$3</formula>
    </cfRule>
    <cfRule type="cellIs" dxfId="954" priority="298" operator="greaterThan">
      <formula>"&gt;$Z$3"</formula>
    </cfRule>
  </conditionalFormatting>
  <conditionalFormatting sqref="CP5:CP59">
    <cfRule type="cellIs" dxfId="953" priority="843" operator="greaterThan">
      <formula>1</formula>
    </cfRule>
    <cfRule type="containsText" dxfId="952" priority="844" operator="containsText" text=" ">
      <formula>NOT(ISERROR(SEARCH(" ",CP5)))</formula>
    </cfRule>
    <cfRule type="containsText" dxfId="951" priority="845" operator="containsText" text=" ">
      <formula>NOT(ISERROR(SEARCH(" ",CP5)))</formula>
    </cfRule>
  </conditionalFormatting>
  <conditionalFormatting sqref="CP60:CP62">
    <cfRule type="cellIs" dxfId="950" priority="299" operator="greaterThan">
      <formula>1</formula>
    </cfRule>
    <cfRule type="containsText" dxfId="949" priority="300" operator="containsText" text=" ">
      <formula>NOT(ISERROR(SEARCH(" ",CP60)))</formula>
    </cfRule>
    <cfRule type="containsText" dxfId="948" priority="301" operator="containsText" text=" ">
      <formula>NOT(ISERROR(SEARCH(" ",CP60)))</formula>
    </cfRule>
  </conditionalFormatting>
  <conditionalFormatting sqref="CS5:CS59">
    <cfRule type="colorScale" priority="839">
      <colorScale>
        <cfvo type="min"/>
        <cfvo type="max"/>
        <color rgb="FFFCFCFF"/>
        <color rgb="FF63BE7B"/>
      </colorScale>
    </cfRule>
    <cfRule type="colorScale" priority="8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S60:CS62">
    <cfRule type="colorScale" priority="295">
      <colorScale>
        <cfvo type="min"/>
        <cfvo type="max"/>
        <color rgb="FFFCFCFF"/>
        <color rgb="FF63BE7B"/>
      </colorScale>
    </cfRule>
    <cfRule type="colorScale" priority="2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V5:CV59">
    <cfRule type="colorScale" priority="837">
      <colorScale>
        <cfvo type="min"/>
        <cfvo type="max"/>
        <color rgb="FFFCFCFF"/>
        <color rgb="FF63BE7B"/>
      </colorScale>
    </cfRule>
    <cfRule type="colorScale" priority="8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V60:CV62">
    <cfRule type="colorScale" priority="293">
      <colorScale>
        <cfvo type="min"/>
        <cfvo type="max"/>
        <color rgb="FFFCFCFF"/>
        <color rgb="FF63BE7B"/>
      </colorScale>
    </cfRule>
    <cfRule type="colorScale" priority="2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D5:DD59">
    <cfRule type="cellIs" dxfId="947" priority="379" operator="greaterThan">
      <formula>1</formula>
    </cfRule>
    <cfRule type="colorScale" priority="380">
      <colorScale>
        <cfvo type="min"/>
        <cfvo type="max"/>
        <color rgb="FFFCFCFF"/>
        <color rgb="FF63BE7B"/>
      </colorScale>
    </cfRule>
    <cfRule type="colorScale" priority="3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D60:DD62">
    <cfRule type="cellIs" dxfId="946" priority="146" operator="greaterThan">
      <formula>1</formula>
    </cfRule>
    <cfRule type="colorScale" priority="147">
      <colorScale>
        <cfvo type="min"/>
        <cfvo type="max"/>
        <color rgb="FFFCFCFF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E5:DE62">
    <cfRule type="colorScale" priority="275">
      <colorScale>
        <cfvo type="min"/>
        <cfvo type="max"/>
        <color rgb="FFFCFCFF"/>
        <color rgb="FF63BE7B"/>
      </colorScale>
    </cfRule>
    <cfRule type="colorScale" priority="2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G60:DG62">
    <cfRule type="cellIs" dxfId="945" priority="280" operator="greaterThan">
      <formula>1</formula>
    </cfRule>
  </conditionalFormatting>
  <conditionalFormatting sqref="DH5:DH59">
    <cfRule type="colorScale" priority="756">
      <colorScale>
        <cfvo type="min"/>
        <cfvo type="max"/>
        <color rgb="FFFCFCFF"/>
        <color rgb="FF63BE7B"/>
      </colorScale>
    </cfRule>
    <cfRule type="colorScale" priority="7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H60:DH62">
    <cfRule type="colorScale" priority="283">
      <colorScale>
        <cfvo type="min"/>
        <cfvo type="max"/>
        <color rgb="FFFCFCFF"/>
        <color rgb="FF63BE7B"/>
      </colorScale>
    </cfRule>
    <cfRule type="colorScale" priority="2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2:DI3">
    <cfRule type="containsText" dxfId="944" priority="615" operator="containsText" text=" ">
      <formula>NOT(ISERROR(SEARCH(" ",DI2)))</formula>
    </cfRule>
    <cfRule type="containsText" dxfId="943" priority="616" operator="containsText" text=" ">
      <formula>NOT(ISERROR(SEARCH(" ",DI2)))</formula>
    </cfRule>
  </conditionalFormatting>
  <conditionalFormatting sqref="DI7:DI59">
    <cfRule type="colorScale" priority="610">
      <colorScale>
        <cfvo type="min"/>
        <cfvo type="max"/>
        <color rgb="FFFCFCFF"/>
        <color rgb="FF63BE7B"/>
      </colorScale>
    </cfRule>
    <cfRule type="colorScale" priority="6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60:DI62">
    <cfRule type="colorScale" priority="255">
      <colorScale>
        <cfvo type="min"/>
        <cfvo type="max"/>
        <color rgb="FFFCFCFF"/>
        <color rgb="FF63BE7B"/>
      </colorScale>
    </cfRule>
    <cfRule type="colorScale" priority="2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63:DI1048576">
    <cfRule type="containsText" dxfId="942" priority="613" operator="containsText" text=" ">
      <formula>NOT(ISERROR(SEARCH(" ",DI63)))</formula>
    </cfRule>
    <cfRule type="containsText" dxfId="941" priority="614" operator="containsText" text=" ">
      <formula>NOT(ISERROR(SEARCH(" ",DI63)))</formula>
    </cfRule>
  </conditionalFormatting>
  <conditionalFormatting sqref="DJ60:DJ62">
    <cfRule type="cellIs" dxfId="940" priority="232" operator="greaterThan">
      <formula>1</formula>
    </cfRule>
    <cfRule type="colorScale" priority="233">
      <colorScale>
        <cfvo type="min"/>
        <cfvo type="max"/>
        <color rgb="FFFCFCFF"/>
        <color rgb="FF63BE7B"/>
      </colorScale>
    </cfRule>
    <cfRule type="colorScale" priority="2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K5:DK59">
    <cfRule type="colorScale" priority="428">
      <colorScale>
        <cfvo type="min"/>
        <cfvo type="max"/>
        <color rgb="FFFCFCFF"/>
        <color rgb="FF63BE7B"/>
      </colorScale>
    </cfRule>
    <cfRule type="colorScale" priority="4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K60:DK62">
    <cfRule type="colorScale" priority="179">
      <colorScale>
        <cfvo type="min"/>
        <cfvo type="max"/>
        <color rgb="FFFCFCFF"/>
        <color rgb="FF63BE7B"/>
      </colorScale>
    </cfRule>
    <cfRule type="colorScale" priority="1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L2:DL3">
    <cfRule type="containsText" dxfId="939" priority="608" operator="containsText" text=" ">
      <formula>NOT(ISERROR(SEARCH(" ",DL2)))</formula>
    </cfRule>
    <cfRule type="containsText" dxfId="938" priority="609" operator="containsText" text=" ">
      <formula>NOT(ISERROR(SEARCH(" ",DL2)))</formula>
    </cfRule>
  </conditionalFormatting>
  <conditionalFormatting sqref="DL6:DL59">
    <cfRule type="colorScale" priority="426">
      <colorScale>
        <cfvo type="min"/>
        <cfvo type="max"/>
        <color rgb="FFFCFCFF"/>
        <color rgb="FF63BE7B"/>
      </colorScale>
    </cfRule>
    <cfRule type="colorScale" priority="4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L60:DL62">
    <cfRule type="colorScale" priority="177">
      <colorScale>
        <cfvo type="min"/>
        <cfvo type="max"/>
        <color rgb="FFFCFCFF"/>
        <color rgb="FF63BE7B"/>
      </colorScale>
    </cfRule>
    <cfRule type="colorScale" priority="1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L63:DL1048576">
    <cfRule type="containsText" dxfId="937" priority="606" operator="containsText" text=" ">
      <formula>NOT(ISERROR(SEARCH(" ",DL63)))</formula>
    </cfRule>
    <cfRule type="containsText" dxfId="936" priority="607" operator="containsText" text=" ">
      <formula>NOT(ISERROR(SEARCH(" ",DL63)))</formula>
    </cfRule>
  </conditionalFormatting>
  <conditionalFormatting sqref="DM60:DM62">
    <cfRule type="cellIs" dxfId="935" priority="229" operator="greaterThan">
      <formula>1</formula>
    </cfRule>
    <cfRule type="colorScale" priority="230">
      <colorScale>
        <cfvo type="min"/>
        <cfvo type="max"/>
        <color rgb="FFFCFCFF"/>
        <color rgb="FF63BE7B"/>
      </colorScale>
    </cfRule>
    <cfRule type="colorScale" priority="2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N5:DN59">
    <cfRule type="colorScale" priority="424">
      <colorScale>
        <cfvo type="min"/>
        <cfvo type="max"/>
        <color rgb="FFFCFCFF"/>
        <color rgb="FF63BE7B"/>
      </colorScale>
    </cfRule>
    <cfRule type="colorScale" priority="4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N60:DN62">
    <cfRule type="colorScale" priority="175">
      <colorScale>
        <cfvo type="min"/>
        <cfvo type="max"/>
        <color rgb="FFFCFCFF"/>
        <color rgb="FF63BE7B"/>
      </colorScale>
    </cfRule>
    <cfRule type="colorScale" priority="1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O2:DO3">
    <cfRule type="containsText" dxfId="934" priority="601" operator="containsText" text=" ">
      <formula>NOT(ISERROR(SEARCH(" ",DO2)))</formula>
    </cfRule>
    <cfRule type="containsText" dxfId="933" priority="602" operator="containsText" text=" ">
      <formula>NOT(ISERROR(SEARCH(" ",DO2)))</formula>
    </cfRule>
  </conditionalFormatting>
  <conditionalFormatting sqref="DO5:DO59">
    <cfRule type="colorScale" priority="422">
      <colorScale>
        <cfvo type="min"/>
        <cfvo type="max"/>
        <color rgb="FFFCFCFF"/>
        <color rgb="FF63BE7B"/>
      </colorScale>
    </cfRule>
    <cfRule type="colorScale" priority="4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O60:DO62">
    <cfRule type="colorScale" priority="173">
      <colorScale>
        <cfvo type="min"/>
        <cfvo type="max"/>
        <color rgb="FFFCFCFF"/>
        <color rgb="FF63BE7B"/>
      </colorScale>
    </cfRule>
    <cfRule type="colorScale" priority="1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O63:DO1048576">
    <cfRule type="containsText" dxfId="932" priority="599" operator="containsText" text=" ">
      <formula>NOT(ISERROR(SEARCH(" ",DO63)))</formula>
    </cfRule>
    <cfRule type="containsText" dxfId="931" priority="600" operator="containsText" text=" ">
      <formula>NOT(ISERROR(SEARCH(" ",DO63)))</formula>
    </cfRule>
  </conditionalFormatting>
  <conditionalFormatting sqref="DP60:DP62">
    <cfRule type="cellIs" dxfId="930" priority="226" operator="greaterThan">
      <formula>1</formula>
    </cfRule>
    <cfRule type="colorScale" priority="227">
      <colorScale>
        <cfvo type="min"/>
        <cfvo type="max"/>
        <color rgb="FFFCFCFF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Q5:DQ59">
    <cfRule type="colorScale" priority="420">
      <colorScale>
        <cfvo type="min"/>
        <cfvo type="max"/>
        <color rgb="FFFCFCFF"/>
        <color rgb="FF63BE7B"/>
      </colorScale>
    </cfRule>
    <cfRule type="colorScale" priority="4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Q60:DQ62">
    <cfRule type="colorScale" priority="171">
      <colorScale>
        <cfvo type="min"/>
        <cfvo type="max"/>
        <color rgb="FFFCFCFF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2:DR3">
    <cfRule type="containsText" dxfId="929" priority="594" operator="containsText" text=" ">
      <formula>NOT(ISERROR(SEARCH(" ",DR2)))</formula>
    </cfRule>
    <cfRule type="containsText" dxfId="928" priority="595" operator="containsText" text=" ">
      <formula>NOT(ISERROR(SEARCH(" ",DR2)))</formula>
    </cfRule>
  </conditionalFormatting>
  <conditionalFormatting sqref="DR5:DR59">
    <cfRule type="colorScale" priority="418">
      <colorScale>
        <cfvo type="min"/>
        <cfvo type="max"/>
        <color rgb="FFFCFCFF"/>
        <color rgb="FF63BE7B"/>
      </colorScale>
    </cfRule>
    <cfRule type="colorScale" priority="4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60:DR62">
    <cfRule type="colorScale" priority="169">
      <colorScale>
        <cfvo type="min"/>
        <cfvo type="max"/>
        <color rgb="FFFCFCFF"/>
        <color rgb="FF63BE7B"/>
      </colorScale>
    </cfRule>
    <cfRule type="colorScale" priority="1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63:DR1048576">
    <cfRule type="containsText" dxfId="927" priority="592" operator="containsText" text=" ">
      <formula>NOT(ISERROR(SEARCH(" ",DR63)))</formula>
    </cfRule>
    <cfRule type="containsText" dxfId="926" priority="593" operator="containsText" text=" ">
      <formula>NOT(ISERROR(SEARCH(" ",DR63)))</formula>
    </cfRule>
  </conditionalFormatting>
  <conditionalFormatting sqref="DS60:DS62">
    <cfRule type="cellIs" dxfId="925" priority="223" operator="greaterThan">
      <formula>1</formula>
    </cfRule>
    <cfRule type="colorScale" priority="224">
      <colorScale>
        <cfvo type="min"/>
        <cfvo type="max"/>
        <color rgb="FFFCFCFF"/>
        <color rgb="FF63BE7B"/>
      </colorScale>
    </cfRule>
    <cfRule type="colorScale" priority="2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T5:DT59">
    <cfRule type="colorScale" priority="416">
      <colorScale>
        <cfvo type="min"/>
        <cfvo type="max"/>
        <color rgb="FFFCFCFF"/>
        <color rgb="FF63BE7B"/>
      </colorScale>
    </cfRule>
    <cfRule type="colorScale" priority="4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T60:DT62">
    <cfRule type="colorScale" priority="167">
      <colorScale>
        <cfvo type="min"/>
        <cfvo type="max"/>
        <color rgb="FFFCFCFF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U2:DU3">
    <cfRule type="containsText" dxfId="924" priority="587" operator="containsText" text=" ">
      <formula>NOT(ISERROR(SEARCH(" ",DU2)))</formula>
    </cfRule>
    <cfRule type="containsText" dxfId="923" priority="588" operator="containsText" text=" ">
      <formula>NOT(ISERROR(SEARCH(" ",DU2)))</formula>
    </cfRule>
  </conditionalFormatting>
  <conditionalFormatting sqref="DU5:DU59">
    <cfRule type="colorScale" priority="414">
      <colorScale>
        <cfvo type="min"/>
        <cfvo type="max"/>
        <color rgb="FFFCFCFF"/>
        <color rgb="FF63BE7B"/>
      </colorScale>
    </cfRule>
    <cfRule type="colorScale" priority="4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U60:DU62">
    <cfRule type="colorScale" priority="165">
      <colorScale>
        <cfvo type="min"/>
        <cfvo type="max"/>
        <color rgb="FFFCFCFF"/>
        <color rgb="FF63BE7B"/>
      </colorScale>
    </cfRule>
    <cfRule type="colorScale" priority="1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U63:DU1048576">
    <cfRule type="containsText" dxfId="922" priority="585" operator="containsText" text=" ">
      <formula>NOT(ISERROR(SEARCH(" ",DU63)))</formula>
    </cfRule>
    <cfRule type="containsText" dxfId="921" priority="586" operator="containsText" text=" ">
      <formula>NOT(ISERROR(SEARCH(" ",DU63)))</formula>
    </cfRule>
  </conditionalFormatting>
  <conditionalFormatting sqref="DV60:DV62">
    <cfRule type="cellIs" dxfId="920" priority="220" operator="greaterThan">
      <formula>1</formula>
    </cfRule>
    <cfRule type="colorScale" priority="221">
      <colorScale>
        <cfvo type="min"/>
        <cfvo type="max"/>
        <color rgb="FFFCFCFF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W5:DW59">
    <cfRule type="colorScale" priority="412">
      <colorScale>
        <cfvo type="min"/>
        <cfvo type="max"/>
        <color rgb="FFFCFCFF"/>
        <color rgb="FF63BE7B"/>
      </colorScale>
    </cfRule>
    <cfRule type="colorScale" priority="4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W60:DW62">
    <cfRule type="colorScale" priority="163">
      <colorScale>
        <cfvo type="min"/>
        <cfvo type="max"/>
        <color rgb="FFFCFCFF"/>
        <color rgb="FF63BE7B"/>
      </colorScale>
    </cfRule>
    <cfRule type="colorScale" priority="1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2:DX3">
    <cfRule type="containsText" dxfId="919" priority="580" operator="containsText" text=" ">
      <formula>NOT(ISERROR(SEARCH(" ",DX2)))</formula>
    </cfRule>
    <cfRule type="containsText" dxfId="918" priority="581" operator="containsText" text=" ">
      <formula>NOT(ISERROR(SEARCH(" ",DX2)))</formula>
    </cfRule>
  </conditionalFormatting>
  <conditionalFormatting sqref="DX5:DX59">
    <cfRule type="colorScale" priority="410">
      <colorScale>
        <cfvo type="min"/>
        <cfvo type="max"/>
        <color rgb="FFFCFCFF"/>
        <color rgb="FF63BE7B"/>
      </colorScale>
    </cfRule>
    <cfRule type="colorScale" priority="4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60:DX62">
    <cfRule type="colorScale" priority="161">
      <colorScale>
        <cfvo type="min"/>
        <cfvo type="max"/>
        <color rgb="FFFCFCFF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63:DX1048576">
    <cfRule type="containsText" dxfId="917" priority="578" operator="containsText" text=" ">
      <formula>NOT(ISERROR(SEARCH(" ",DX63)))</formula>
    </cfRule>
    <cfRule type="containsText" dxfId="916" priority="579" operator="containsText" text=" ">
      <formula>NOT(ISERROR(SEARCH(" ",DX63)))</formula>
    </cfRule>
  </conditionalFormatting>
  <conditionalFormatting sqref="DY60:DY62">
    <cfRule type="cellIs" dxfId="915" priority="217" operator="greaterThan">
      <formula>1</formula>
    </cfRule>
    <cfRule type="colorScale" priority="218">
      <colorScale>
        <cfvo type="min"/>
        <cfvo type="max"/>
        <color rgb="FFFCFCFF"/>
        <color rgb="FF63BE7B"/>
      </colorScale>
    </cfRule>
    <cfRule type="colorScale" priority="2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Z5:DZ59">
    <cfRule type="colorScale" priority="408">
      <colorScale>
        <cfvo type="min"/>
        <cfvo type="max"/>
        <color rgb="FFFCFCFF"/>
        <color rgb="FF63BE7B"/>
      </colorScale>
    </cfRule>
    <cfRule type="colorScale" priority="4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Z60:DZ62">
    <cfRule type="colorScale" priority="159">
      <colorScale>
        <cfvo type="min"/>
        <cfvo type="max"/>
        <color rgb="FFFCFCFF"/>
        <color rgb="FF63BE7B"/>
      </colorScale>
    </cfRule>
    <cfRule type="colorScale" priority="1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A2:EA3">
    <cfRule type="containsText" dxfId="914" priority="573" operator="containsText" text=" ">
      <formula>NOT(ISERROR(SEARCH(" ",EA2)))</formula>
    </cfRule>
    <cfRule type="containsText" dxfId="913" priority="574" operator="containsText" text=" ">
      <formula>NOT(ISERROR(SEARCH(" ",EA2)))</formula>
    </cfRule>
  </conditionalFormatting>
  <conditionalFormatting sqref="EA5:EA59">
    <cfRule type="colorScale" priority="406">
      <colorScale>
        <cfvo type="min"/>
        <cfvo type="max"/>
        <color rgb="FFFCFCFF"/>
        <color rgb="FF63BE7B"/>
      </colorScale>
    </cfRule>
    <cfRule type="colorScale" priority="4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A60:EA62">
    <cfRule type="colorScale" priority="157">
      <colorScale>
        <cfvo type="min"/>
        <cfvo type="max"/>
        <color rgb="FFFCFCFF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A63:EA1048576">
    <cfRule type="containsText" dxfId="912" priority="571" operator="containsText" text=" ">
      <formula>NOT(ISERROR(SEARCH(" ",EA63)))</formula>
    </cfRule>
    <cfRule type="containsText" dxfId="911" priority="572" operator="containsText" text=" ">
      <formula>NOT(ISERROR(SEARCH(" ",EA63)))</formula>
    </cfRule>
  </conditionalFormatting>
  <conditionalFormatting sqref="EB60:EB62">
    <cfRule type="cellIs" dxfId="910" priority="214" operator="greaterThan">
      <formula>1</formula>
    </cfRule>
    <cfRule type="colorScale" priority="215">
      <colorScale>
        <cfvo type="min"/>
        <cfvo type="max"/>
        <color rgb="FFFCFCFF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C5:EC59">
    <cfRule type="colorScale" priority="404">
      <colorScale>
        <cfvo type="min"/>
        <cfvo type="max"/>
        <color rgb="FFFCFCFF"/>
        <color rgb="FF63BE7B"/>
      </colorScale>
    </cfRule>
    <cfRule type="colorScale" priority="4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C60:EC62">
    <cfRule type="colorScale" priority="155">
      <colorScale>
        <cfvo type="min"/>
        <cfvo type="max"/>
        <color rgb="FFFCFCFF"/>
        <color rgb="FF63BE7B"/>
      </colorScale>
    </cfRule>
    <cfRule type="colorScale" priority="1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2:ED3">
    <cfRule type="containsText" dxfId="909" priority="566" operator="containsText" text=" ">
      <formula>NOT(ISERROR(SEARCH(" ",ED2)))</formula>
    </cfRule>
    <cfRule type="containsText" dxfId="908" priority="567" operator="containsText" text=" ">
      <formula>NOT(ISERROR(SEARCH(" ",ED2)))</formula>
    </cfRule>
  </conditionalFormatting>
  <conditionalFormatting sqref="ED5:ED59">
    <cfRule type="colorScale" priority="402">
      <colorScale>
        <cfvo type="min"/>
        <cfvo type="max"/>
        <color rgb="FFFCFCFF"/>
        <color rgb="FF63BE7B"/>
      </colorScale>
    </cfRule>
    <cfRule type="colorScale" priority="4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60:ED62">
    <cfRule type="colorScale" priority="153">
      <colorScale>
        <cfvo type="min"/>
        <cfvo type="max"/>
        <color rgb="FFFCFCFF"/>
        <color rgb="FF63BE7B"/>
      </colorScale>
    </cfRule>
    <cfRule type="colorScale" priority="1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63:ED1048576">
    <cfRule type="containsText" dxfId="907" priority="564" operator="containsText" text=" ">
      <formula>NOT(ISERROR(SEARCH(" ",ED63)))</formula>
    </cfRule>
    <cfRule type="containsText" dxfId="906" priority="565" operator="containsText" text=" ">
      <formula>NOT(ISERROR(SEARCH(" ",ED63)))</formula>
    </cfRule>
  </conditionalFormatting>
  <conditionalFormatting sqref="EE60:EE62">
    <cfRule type="cellIs" dxfId="905" priority="211" operator="greaterThan">
      <formula>1</formula>
    </cfRule>
    <cfRule type="colorScale" priority="212">
      <colorScale>
        <cfvo type="min"/>
        <cfvo type="max"/>
        <color rgb="FFFCFCFF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F5:EF59">
    <cfRule type="colorScale" priority="400">
      <colorScale>
        <cfvo type="min"/>
        <cfvo type="max"/>
        <color rgb="FFFCFCFF"/>
        <color rgb="FF63BE7B"/>
      </colorScale>
    </cfRule>
    <cfRule type="colorScale" priority="4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F60:EF62">
    <cfRule type="colorScale" priority="151">
      <colorScale>
        <cfvo type="min"/>
        <cfvo type="max"/>
        <color rgb="FFFCFCFF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2:EG3">
    <cfRule type="containsText" dxfId="904" priority="559" operator="containsText" text=" ">
      <formula>NOT(ISERROR(SEARCH(" ",EG2)))</formula>
    </cfRule>
    <cfRule type="containsText" dxfId="903" priority="560" operator="containsText" text=" ">
      <formula>NOT(ISERROR(SEARCH(" ",EG2)))</formula>
    </cfRule>
  </conditionalFormatting>
  <conditionalFormatting sqref="EG5:EG59">
    <cfRule type="colorScale" priority="398">
      <colorScale>
        <cfvo type="min"/>
        <cfvo type="max"/>
        <color rgb="FFFCFCFF"/>
        <color rgb="FF63BE7B"/>
      </colorScale>
    </cfRule>
    <cfRule type="colorScale" priority="3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60:EG62">
    <cfRule type="colorScale" priority="149">
      <colorScale>
        <cfvo type="min"/>
        <cfvo type="max"/>
        <color rgb="FFFCFCFF"/>
        <color rgb="FF63BE7B"/>
      </colorScale>
    </cfRule>
    <cfRule type="colorScale" priority="1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63:EG1048576">
    <cfRule type="containsText" dxfId="902" priority="557" operator="containsText" text=" ">
      <formula>NOT(ISERROR(SEARCH(" ",EG63)))</formula>
    </cfRule>
    <cfRule type="containsText" dxfId="901" priority="558" operator="containsText" text=" ">
      <formula>NOT(ISERROR(SEARCH(" ",EG63)))</formula>
    </cfRule>
  </conditionalFormatting>
  <conditionalFormatting sqref="EH60:EH62">
    <cfRule type="cellIs" dxfId="900" priority="208" operator="greaterThan">
      <formula>1</formula>
    </cfRule>
    <cfRule type="colorScale" priority="209">
      <colorScale>
        <cfvo type="min"/>
        <cfvo type="max"/>
        <color rgb="FFFCFCFF"/>
        <color rgb="FF63BE7B"/>
      </colorScale>
    </cfRule>
    <cfRule type="colorScale" priority="2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I5:EI59">
    <cfRule type="colorScale" priority="740">
      <colorScale>
        <cfvo type="min"/>
        <cfvo type="max"/>
        <color rgb="FFFCFCFF"/>
        <color rgb="FF63BE7B"/>
      </colorScale>
    </cfRule>
    <cfRule type="colorScale" priority="7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I60:EI62">
    <cfRule type="colorScale" priority="281">
      <colorScale>
        <cfvo type="min"/>
        <cfvo type="max"/>
        <color rgb="FFFCFCFF"/>
        <color rgb="FF63BE7B"/>
      </colorScale>
    </cfRule>
    <cfRule type="colorScale" priority="2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2:EJ3">
    <cfRule type="containsText" dxfId="899" priority="552" operator="containsText" text=" ">
      <formula>NOT(ISERROR(SEARCH(" ",EJ2)))</formula>
    </cfRule>
    <cfRule type="containsText" dxfId="898" priority="553" operator="containsText" text=" ">
      <formula>NOT(ISERROR(SEARCH(" ",EJ2)))</formula>
    </cfRule>
  </conditionalFormatting>
  <conditionalFormatting sqref="EJ5:EJ59">
    <cfRule type="colorScale" priority="547">
      <colorScale>
        <cfvo type="min"/>
        <cfvo type="max"/>
        <color rgb="FFFCFCFF"/>
        <color rgb="FF63BE7B"/>
      </colorScale>
    </cfRule>
    <cfRule type="colorScale" priority="5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60:EJ62">
    <cfRule type="colorScale" priority="253">
      <colorScale>
        <cfvo type="min"/>
        <cfvo type="max"/>
        <color rgb="FFFCFCFF"/>
        <color rgb="FF63BE7B"/>
      </colorScale>
    </cfRule>
    <cfRule type="colorScale" priority="2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63:EJ1048576">
    <cfRule type="containsText" dxfId="897" priority="550" operator="containsText" text=" ">
      <formula>NOT(ISERROR(SEARCH(" ",EJ63)))</formula>
    </cfRule>
    <cfRule type="containsText" dxfId="896" priority="551" operator="containsText" text=" ">
      <formula>NOT(ISERROR(SEARCH(" ",EJ63)))</formula>
    </cfRule>
  </conditionalFormatting>
  <conditionalFormatting sqref="EK60:EK62">
    <cfRule type="cellIs" dxfId="895" priority="277" operator="greaterThan">
      <formula>1</formula>
    </cfRule>
    <cfRule type="colorScale" priority="278">
      <colorScale>
        <cfvo type="min"/>
        <cfvo type="max"/>
        <color rgb="FFFCFCFF"/>
        <color rgb="FF63BE7B"/>
      </colorScale>
    </cfRule>
    <cfRule type="colorScale" priority="2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L5:EL59">
    <cfRule type="colorScale" priority="633">
      <colorScale>
        <cfvo type="min"/>
        <cfvo type="max"/>
        <color rgb="FFFCFCFF"/>
        <color rgb="FF63BE7B"/>
      </colorScale>
    </cfRule>
    <cfRule type="colorScale" priority="6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L60:EL62">
    <cfRule type="colorScale" priority="273">
      <colorScale>
        <cfvo type="min"/>
        <cfvo type="max"/>
        <color rgb="FFFCFCFF"/>
        <color rgb="FF63BE7B"/>
      </colorScale>
    </cfRule>
    <cfRule type="colorScale" priority="2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2:EM3">
    <cfRule type="containsText" dxfId="894" priority="545" operator="containsText" text=" ">
      <formula>NOT(ISERROR(SEARCH(" ",EM2)))</formula>
    </cfRule>
    <cfRule type="containsText" dxfId="893" priority="546" operator="containsText" text=" ">
      <formula>NOT(ISERROR(SEARCH(" ",EM2)))</formula>
    </cfRule>
  </conditionalFormatting>
  <conditionalFormatting sqref="EM5:EM59">
    <cfRule type="colorScale" priority="540">
      <colorScale>
        <cfvo type="min"/>
        <cfvo type="max"/>
        <color rgb="FFFCFCFF"/>
        <color rgb="FF63BE7B"/>
      </colorScale>
    </cfRule>
    <cfRule type="colorScale" priority="5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60:EM62">
    <cfRule type="colorScale" priority="251">
      <colorScale>
        <cfvo type="min"/>
        <cfvo type="max"/>
        <color rgb="FFFCFCFF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63:EM1048576">
    <cfRule type="containsText" dxfId="892" priority="543" operator="containsText" text=" ">
      <formula>NOT(ISERROR(SEARCH(" ",EM63)))</formula>
    </cfRule>
    <cfRule type="containsText" dxfId="891" priority="544" operator="containsText" text=" ">
      <formula>NOT(ISERROR(SEARCH(" ",EM63)))</formula>
    </cfRule>
  </conditionalFormatting>
  <conditionalFormatting sqref="EN60:EN62">
    <cfRule type="cellIs" dxfId="890" priority="205" operator="greaterThan">
      <formula>1</formula>
    </cfRule>
    <cfRule type="colorScale" priority="206">
      <colorScale>
        <cfvo type="min"/>
        <cfvo type="max"/>
        <color rgb="FFFCFCFF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O5:EO59">
    <cfRule type="colorScale" priority="631">
      <colorScale>
        <cfvo type="min"/>
        <cfvo type="max"/>
        <color rgb="FFFCFCFF"/>
        <color rgb="FF63BE7B"/>
      </colorScale>
    </cfRule>
    <cfRule type="colorScale" priority="6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O60:EO62">
    <cfRule type="colorScale" priority="271">
      <colorScale>
        <cfvo type="min"/>
        <cfvo type="max"/>
        <color rgb="FFFCFCFF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P2:EP3">
    <cfRule type="containsText" dxfId="889" priority="538" operator="containsText" text=" ">
      <formula>NOT(ISERROR(SEARCH(" ",EP2)))</formula>
    </cfRule>
    <cfRule type="containsText" dxfId="888" priority="539" operator="containsText" text=" ">
      <formula>NOT(ISERROR(SEARCH(" ",EP2)))</formula>
    </cfRule>
  </conditionalFormatting>
  <conditionalFormatting sqref="EP5:EP59">
    <cfRule type="colorScale" priority="533">
      <colorScale>
        <cfvo type="min"/>
        <cfvo type="max"/>
        <color rgb="FFFCFCFF"/>
        <color rgb="FF63BE7B"/>
      </colorScale>
    </cfRule>
    <cfRule type="colorScale" priority="5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P60:EP62">
    <cfRule type="colorScale" priority="249">
      <colorScale>
        <cfvo type="min"/>
        <cfvo type="max"/>
        <color rgb="FFFCFCFF"/>
        <color rgb="FF63BE7B"/>
      </colorScale>
    </cfRule>
    <cfRule type="colorScale" priority="2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P63:EP1048576">
    <cfRule type="containsText" dxfId="887" priority="536" operator="containsText" text=" ">
      <formula>NOT(ISERROR(SEARCH(" ",EP63)))</formula>
    </cfRule>
    <cfRule type="containsText" dxfId="886" priority="537" operator="containsText" text=" ">
      <formula>NOT(ISERROR(SEARCH(" ",EP63)))</formula>
    </cfRule>
  </conditionalFormatting>
  <conditionalFormatting sqref="EQ60:EQ62">
    <cfRule type="cellIs" dxfId="885" priority="202" operator="greaterThan">
      <formula>1</formula>
    </cfRule>
    <cfRule type="colorScale" priority="203">
      <colorScale>
        <cfvo type="min"/>
        <cfvo type="max"/>
        <color rgb="FFFCFCFF"/>
        <color rgb="FF63BE7B"/>
      </colorScale>
    </cfRule>
    <cfRule type="colorScale" priority="2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R5:ER59">
    <cfRule type="colorScale" priority="629">
      <colorScale>
        <cfvo type="min"/>
        <cfvo type="max"/>
        <color rgb="FFFCFCFF"/>
        <color rgb="FF63BE7B"/>
      </colorScale>
    </cfRule>
    <cfRule type="colorScale" priority="6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R60:ER62">
    <cfRule type="colorScale" priority="269">
      <colorScale>
        <cfvo type="min"/>
        <cfvo type="max"/>
        <color rgb="FFFCFCFF"/>
        <color rgb="FF63BE7B"/>
      </colorScale>
    </cfRule>
    <cfRule type="colorScale" priority="2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2:ES3">
    <cfRule type="containsText" dxfId="884" priority="531" operator="containsText" text=" ">
      <formula>NOT(ISERROR(SEARCH(" ",ES2)))</formula>
    </cfRule>
    <cfRule type="containsText" dxfId="883" priority="532" operator="containsText" text=" ">
      <formula>NOT(ISERROR(SEARCH(" ",ES2)))</formula>
    </cfRule>
  </conditionalFormatting>
  <conditionalFormatting sqref="ES5:ES59">
    <cfRule type="colorScale" priority="526">
      <colorScale>
        <cfvo type="min"/>
        <cfvo type="max"/>
        <color rgb="FFFCFCFF"/>
        <color rgb="FF63BE7B"/>
      </colorScale>
    </cfRule>
    <cfRule type="colorScale" priority="5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60:ES62">
    <cfRule type="colorScale" priority="247">
      <colorScale>
        <cfvo type="min"/>
        <cfvo type="max"/>
        <color rgb="FFFCFCFF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63:ES1048576">
    <cfRule type="containsText" dxfId="882" priority="529" operator="containsText" text=" ">
      <formula>NOT(ISERROR(SEARCH(" ",ES63)))</formula>
    </cfRule>
    <cfRule type="containsText" dxfId="881" priority="530" operator="containsText" text=" ">
      <formula>NOT(ISERROR(SEARCH(" ",ES63)))</formula>
    </cfRule>
  </conditionalFormatting>
  <conditionalFormatting sqref="ET60:ET62">
    <cfRule type="cellIs" dxfId="880" priority="199" operator="greaterThan">
      <formula>1</formula>
    </cfRule>
    <cfRule type="colorScale" priority="200">
      <colorScale>
        <cfvo type="min"/>
        <cfvo type="max"/>
        <color rgb="FFFCFCFF"/>
        <color rgb="FF63BE7B"/>
      </colorScale>
    </cfRule>
    <cfRule type="colorScale" priority="2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U5:EU59">
    <cfRule type="colorScale" priority="627">
      <colorScale>
        <cfvo type="min"/>
        <cfvo type="max"/>
        <color rgb="FFFCFCFF"/>
        <color rgb="FF63BE7B"/>
      </colorScale>
    </cfRule>
    <cfRule type="colorScale" priority="6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U60:EU62">
    <cfRule type="colorScale" priority="267">
      <colorScale>
        <cfvo type="min"/>
        <cfvo type="max"/>
        <color rgb="FFFCFCFF"/>
        <color rgb="FF63BE7B"/>
      </colorScale>
    </cfRule>
    <cfRule type="colorScale" priority="2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2:EV3">
    <cfRule type="containsText" dxfId="879" priority="524" operator="containsText" text=" ">
      <formula>NOT(ISERROR(SEARCH(" ",EV2)))</formula>
    </cfRule>
    <cfRule type="containsText" dxfId="878" priority="525" operator="containsText" text=" ">
      <formula>NOT(ISERROR(SEARCH(" ",EV2)))</formula>
    </cfRule>
  </conditionalFormatting>
  <conditionalFormatting sqref="EV5:EV59">
    <cfRule type="colorScale" priority="519">
      <colorScale>
        <cfvo type="min"/>
        <cfvo type="max"/>
        <color rgb="FFFCFCFF"/>
        <color rgb="FF63BE7B"/>
      </colorScale>
    </cfRule>
    <cfRule type="colorScale" priority="5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60:EV62">
    <cfRule type="colorScale" priority="245">
      <colorScale>
        <cfvo type="min"/>
        <cfvo type="max"/>
        <color rgb="FFFCFCFF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63:EV1048576">
    <cfRule type="containsText" dxfId="877" priority="522" operator="containsText" text=" ">
      <formula>NOT(ISERROR(SEARCH(" ",EV63)))</formula>
    </cfRule>
    <cfRule type="containsText" dxfId="876" priority="523" operator="containsText" text=" ">
      <formula>NOT(ISERROR(SEARCH(" ",EV63)))</formula>
    </cfRule>
  </conditionalFormatting>
  <conditionalFormatting sqref="EW60:EW62">
    <cfRule type="cellIs" dxfId="875" priority="196" operator="greaterThan">
      <formula>1</formula>
    </cfRule>
    <cfRule type="colorScale" priority="197">
      <colorScale>
        <cfvo type="min"/>
        <cfvo type="max"/>
        <color rgb="FFFCFCFF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X5:EX59">
    <cfRule type="colorScale" priority="625">
      <colorScale>
        <cfvo type="min"/>
        <cfvo type="max"/>
        <color rgb="FFFCFCFF"/>
        <color rgb="FF63BE7B"/>
      </colorScale>
    </cfRule>
    <cfRule type="colorScale" priority="6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X60:EX62">
    <cfRule type="colorScale" priority="265">
      <colorScale>
        <cfvo type="min"/>
        <cfvo type="max"/>
        <color rgb="FFFCFCFF"/>
        <color rgb="FF63BE7B"/>
      </colorScale>
    </cfRule>
    <cfRule type="colorScale" priority="2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2:EY3">
    <cfRule type="containsText" dxfId="874" priority="517" operator="containsText" text=" ">
      <formula>NOT(ISERROR(SEARCH(" ",EY2)))</formula>
    </cfRule>
    <cfRule type="containsText" dxfId="873" priority="518" operator="containsText" text=" ">
      <formula>NOT(ISERROR(SEARCH(" ",EY2)))</formula>
    </cfRule>
  </conditionalFormatting>
  <conditionalFormatting sqref="EY5:EY59">
    <cfRule type="colorScale" priority="512">
      <colorScale>
        <cfvo type="min"/>
        <cfvo type="max"/>
        <color rgb="FFFCFCFF"/>
        <color rgb="FF63BE7B"/>
      </colorScale>
    </cfRule>
    <cfRule type="colorScale" priority="5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60:EY62">
    <cfRule type="colorScale" priority="243">
      <colorScale>
        <cfvo type="min"/>
        <cfvo type="max"/>
        <color rgb="FFFCFCFF"/>
        <color rgb="FF63BE7B"/>
      </colorScale>
    </cfRule>
    <cfRule type="colorScale" priority="2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63:EY1048576">
    <cfRule type="containsText" dxfId="872" priority="515" operator="containsText" text=" ">
      <formula>NOT(ISERROR(SEARCH(" ",EY63)))</formula>
    </cfRule>
    <cfRule type="containsText" dxfId="871" priority="516" operator="containsText" text=" ">
      <formula>NOT(ISERROR(SEARCH(" ",EY63)))</formula>
    </cfRule>
  </conditionalFormatting>
  <conditionalFormatting sqref="EZ60:EZ62">
    <cfRule type="cellIs" dxfId="870" priority="193" operator="greaterThan">
      <formula>1</formula>
    </cfRule>
    <cfRule type="colorScale" priority="194">
      <colorScale>
        <cfvo type="min"/>
        <cfvo type="max"/>
        <color rgb="FFFCFCFF"/>
        <color rgb="FF63BE7B"/>
      </colorScale>
    </cfRule>
    <cfRule type="colorScale" priority="1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A5:FA59">
    <cfRule type="colorScale" priority="623">
      <colorScale>
        <cfvo type="min"/>
        <cfvo type="max"/>
        <color rgb="FFFCFCFF"/>
        <color rgb="FF63BE7B"/>
      </colorScale>
    </cfRule>
    <cfRule type="colorScale" priority="6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A60:FA62">
    <cfRule type="colorScale" priority="263">
      <colorScale>
        <cfvo type="min"/>
        <cfvo type="max"/>
        <color rgb="FFFCFCFF"/>
        <color rgb="FF63BE7B"/>
      </colorScale>
    </cfRule>
    <cfRule type="colorScale" priority="2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2:FB3">
    <cfRule type="containsText" dxfId="869" priority="510" operator="containsText" text=" ">
      <formula>NOT(ISERROR(SEARCH(" ",FB2)))</formula>
    </cfRule>
    <cfRule type="containsText" dxfId="868" priority="511" operator="containsText" text=" ">
      <formula>NOT(ISERROR(SEARCH(" ",FB2)))</formula>
    </cfRule>
  </conditionalFormatting>
  <conditionalFormatting sqref="FB5:FB59">
    <cfRule type="colorScale" priority="505">
      <colorScale>
        <cfvo type="min"/>
        <cfvo type="max"/>
        <color rgb="FFFCFCFF"/>
        <color rgb="FF63BE7B"/>
      </colorScale>
    </cfRule>
    <cfRule type="colorScale" priority="5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60:FB62">
    <cfRule type="colorScale" priority="241">
      <colorScale>
        <cfvo type="min"/>
        <cfvo type="max"/>
        <color rgb="FFFCFCFF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63:FB1048576">
    <cfRule type="containsText" dxfId="867" priority="508" operator="containsText" text=" ">
      <formula>NOT(ISERROR(SEARCH(" ",FB63)))</formula>
    </cfRule>
    <cfRule type="containsText" dxfId="866" priority="509" operator="containsText" text=" ">
      <formula>NOT(ISERROR(SEARCH(" ",FB63)))</formula>
    </cfRule>
  </conditionalFormatting>
  <conditionalFormatting sqref="FC60:FC62">
    <cfRule type="cellIs" dxfId="865" priority="190" operator="greaterThan">
      <formula>1</formula>
    </cfRule>
    <cfRule type="colorScale" priority="191">
      <colorScale>
        <cfvo type="min"/>
        <cfvo type="max"/>
        <color rgb="FFFCFCFF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D5:FD59">
    <cfRule type="colorScale" priority="621">
      <colorScale>
        <cfvo type="min"/>
        <cfvo type="max"/>
        <color rgb="FFFCFCFF"/>
        <color rgb="FF63BE7B"/>
      </colorScale>
    </cfRule>
    <cfRule type="colorScale" priority="6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D60:FD62">
    <cfRule type="colorScale" priority="261">
      <colorScale>
        <cfvo type="min"/>
        <cfvo type="max"/>
        <color rgb="FFFCFCFF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2:FE3">
    <cfRule type="containsText" dxfId="864" priority="503" operator="containsText" text=" ">
      <formula>NOT(ISERROR(SEARCH(" ",FE2)))</formula>
    </cfRule>
    <cfRule type="containsText" dxfId="863" priority="504" operator="containsText" text=" ">
      <formula>NOT(ISERROR(SEARCH(" ",FE2)))</formula>
    </cfRule>
  </conditionalFormatting>
  <conditionalFormatting sqref="FE5:FE59">
    <cfRule type="colorScale" priority="498">
      <colorScale>
        <cfvo type="min"/>
        <cfvo type="max"/>
        <color rgb="FFFCFCFF"/>
        <color rgb="FF63BE7B"/>
      </colorScale>
    </cfRule>
    <cfRule type="colorScale" priority="4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60:FE62">
    <cfRule type="colorScale" priority="239">
      <colorScale>
        <cfvo type="min"/>
        <cfvo type="max"/>
        <color rgb="FFFCFCFF"/>
        <color rgb="FF63BE7B"/>
      </colorScale>
    </cfRule>
    <cfRule type="colorScale" priority="2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63:FE1048576">
    <cfRule type="containsText" dxfId="862" priority="501" operator="containsText" text=" ">
      <formula>NOT(ISERROR(SEARCH(" ",FE63)))</formula>
    </cfRule>
    <cfRule type="containsText" dxfId="861" priority="502" operator="containsText" text=" ">
      <formula>NOT(ISERROR(SEARCH(" ",FE63)))</formula>
    </cfRule>
  </conditionalFormatting>
  <conditionalFormatting sqref="FF60:FF62">
    <cfRule type="cellIs" dxfId="860" priority="187" operator="greaterThan">
      <formula>1</formula>
    </cfRule>
    <cfRule type="colorScale" priority="188">
      <colorScale>
        <cfvo type="min"/>
        <cfvo type="max"/>
        <color rgb="FFFCFCFF"/>
        <color rgb="FF63BE7B"/>
      </colorScale>
    </cfRule>
    <cfRule type="colorScale" priority="1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G5:FG59">
    <cfRule type="colorScale" priority="619">
      <colorScale>
        <cfvo type="min"/>
        <cfvo type="max"/>
        <color rgb="FFFCFCFF"/>
        <color rgb="FF63BE7B"/>
      </colorScale>
    </cfRule>
    <cfRule type="colorScale" priority="6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G60:FG62">
    <cfRule type="colorScale" priority="259">
      <colorScale>
        <cfvo type="min"/>
        <cfvo type="max"/>
        <color rgb="FFFCFCFF"/>
        <color rgb="FF63BE7B"/>
      </colorScale>
    </cfRule>
    <cfRule type="colorScale" priority="2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2:FH3">
    <cfRule type="containsText" dxfId="859" priority="496" operator="containsText" text=" ">
      <formula>NOT(ISERROR(SEARCH(" ",FH2)))</formula>
    </cfRule>
    <cfRule type="containsText" dxfId="858" priority="497" operator="containsText" text=" ">
      <formula>NOT(ISERROR(SEARCH(" ",FH2)))</formula>
    </cfRule>
  </conditionalFormatting>
  <conditionalFormatting sqref="FH5:FH59">
    <cfRule type="colorScale" priority="491">
      <colorScale>
        <cfvo type="min"/>
        <cfvo type="max"/>
        <color rgb="FFFCFCFF"/>
        <color rgb="FF63BE7B"/>
      </colorScale>
    </cfRule>
    <cfRule type="colorScale" priority="4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60:FH62">
    <cfRule type="colorScale" priority="237">
      <colorScale>
        <cfvo type="min"/>
        <cfvo type="max"/>
        <color rgb="FFFCFCFF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63:FH1048576">
    <cfRule type="containsText" dxfId="857" priority="494" operator="containsText" text=" ">
      <formula>NOT(ISERROR(SEARCH(" ",FH63)))</formula>
    </cfRule>
    <cfRule type="containsText" dxfId="856" priority="495" operator="containsText" text=" ">
      <formula>NOT(ISERROR(SEARCH(" ",FH63)))</formula>
    </cfRule>
  </conditionalFormatting>
  <conditionalFormatting sqref="FI60:FI62">
    <cfRule type="cellIs" dxfId="855" priority="184" operator="greaterThan">
      <formula>1</formula>
    </cfRule>
    <cfRule type="colorScale" priority="185">
      <colorScale>
        <cfvo type="min"/>
        <cfvo type="max"/>
        <color rgb="FFFCFCFF"/>
        <color rgb="FF63BE7B"/>
      </colorScale>
    </cfRule>
    <cfRule type="colorScale" priority="1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J5:FJ59">
    <cfRule type="colorScale" priority="617">
      <colorScale>
        <cfvo type="min"/>
        <cfvo type="max"/>
        <color rgb="FFFCFCFF"/>
        <color rgb="FF63BE7B"/>
      </colorScale>
    </cfRule>
    <cfRule type="colorScale" priority="6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J60:FJ62">
    <cfRule type="colorScale" priority="257">
      <colorScale>
        <cfvo type="min"/>
        <cfvo type="max"/>
        <color rgb="FFFCFCFF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2:FK3">
    <cfRule type="containsText" dxfId="854" priority="489" operator="containsText" text=" ">
      <formula>NOT(ISERROR(SEARCH(" ",FK2)))</formula>
    </cfRule>
    <cfRule type="containsText" dxfId="853" priority="490" operator="containsText" text=" ">
      <formula>NOT(ISERROR(SEARCH(" ",FK2)))</formula>
    </cfRule>
  </conditionalFormatting>
  <conditionalFormatting sqref="FK5:FK59">
    <cfRule type="colorScale" priority="484">
      <colorScale>
        <cfvo type="min"/>
        <cfvo type="max"/>
        <color rgb="FFFCFCFF"/>
        <color rgb="FF63BE7B"/>
      </colorScale>
    </cfRule>
    <cfRule type="colorScale" priority="4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60:FK62">
    <cfRule type="colorScale" priority="235">
      <colorScale>
        <cfvo type="min"/>
        <cfvo type="max"/>
        <color rgb="FFFCFCFF"/>
        <color rgb="FF63BE7B"/>
      </colorScale>
    </cfRule>
    <cfRule type="colorScale" priority="2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63:FK1048576">
    <cfRule type="containsText" dxfId="852" priority="487" operator="containsText" text=" ">
      <formula>NOT(ISERROR(SEARCH(" ",FK63)))</formula>
    </cfRule>
    <cfRule type="containsText" dxfId="851" priority="488" operator="containsText" text=" ">
      <formula>NOT(ISERROR(SEARCH(" ",FK63)))</formula>
    </cfRule>
  </conditionalFormatting>
  <conditionalFormatting sqref="FL60:FL62">
    <cfRule type="cellIs" dxfId="850" priority="181" operator="greaterThan">
      <formula>1</formula>
    </cfRule>
    <cfRule type="colorScale" priority="182">
      <colorScale>
        <cfvo type="min"/>
        <cfvo type="max"/>
        <color rgb="FFFCFCFF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6:GK14">
    <cfRule type="containsText" dxfId="849" priority="3" operator="containsText" text=" ">
      <formula>NOT(ISERROR(SEARCH(" ",GK6)))</formula>
    </cfRule>
  </conditionalFormatting>
  <conditionalFormatting sqref="GL5:GL15">
    <cfRule type="containsText" dxfId="848" priority="1" operator="containsText" text=" ">
      <formula>NOT(ISERROR(SEARCH(" ",GL5)))</formula>
    </cfRule>
  </conditionalFormatting>
  <conditionalFormatting sqref="AM1:AN1 Z3 A63:G1048576 BF63:BG1048576 A1:E1 BF1:BG4 I2:J3 I4:K4 I1:K1 I63:K1048576 A4:G4 A2 C2:E2 A3:E3 Z63:AC1048576 Z4:AC25 AC27:AC62 Z27:AB59">
    <cfRule type="containsText" dxfId="847" priority="1012" operator="containsText" text=" ">
      <formula>NOT(ISERROR(SEARCH(" ",A1)))</formula>
    </cfRule>
    <cfRule type="containsText" dxfId="846" priority="1013" operator="containsText" text=" ">
      <formula>NOT(ISERROR(SEARCH(" ",A1)))</formula>
    </cfRule>
  </conditionalFormatting>
  <conditionalFormatting sqref="B16:B19 C48:D48 A6:A54 B6:B12 BH51:BH54 D6:D25 C39:C47 C52 BH6:BH11 BH21:BH29 BH13:BH19 BH31:BH49 AH1 BI6:BI55 B52:B54 B21:B25 B27:B33 A5:D5 BL1:BP1 BK6:BO6 BJ15:BN15 C6:C29 BE6:BE59 AE1:AE3 BJ7:BP9 AE63:AE1048576 AE48:AE54 BC48:BD55 BB48:BB54 CE6:CE59 CG6:CG59 BA6:BD25 BZ6:CC59 BV6:BX59 D27:D46 AE27:AE46 BA27:BA59 BB27:BD46 AE5:AE25 D26:F26 H26:O26 Q26:S26 U26:X26 T5:T56 Z26:AN26">
    <cfRule type="containsText" dxfId="845" priority="1323" operator="containsText" text=" ">
      <formula>NOT(ISERROR(SEARCH(" ",A1)))</formula>
    </cfRule>
    <cfRule type="containsText" dxfId="844" priority="1324" operator="containsText" text=" ">
      <formula>NOT(ISERROR(SEARCH(" ",A1)))</formula>
    </cfRule>
  </conditionalFormatting>
  <conditionalFormatting sqref="F1 F3">
    <cfRule type="containsText" dxfId="843" priority="774" operator="containsText" text=" ">
      <formula>NOT(ISERROR(SEARCH(" ",F1)))</formula>
    </cfRule>
    <cfRule type="containsText" dxfId="842" priority="775" operator="containsText" text=" ">
      <formula>NOT(ISERROR(SEARCH(" ",F1)))</formula>
    </cfRule>
  </conditionalFormatting>
  <conditionalFormatting sqref="G1 G3">
    <cfRule type="containsText" dxfId="841" priority="26" operator="containsText" text=" ">
      <formula>NOT(ISERROR(SEARCH(" ",G1)))</formula>
    </cfRule>
    <cfRule type="containsText" dxfId="840" priority="27" operator="containsText" text=" ">
      <formula>NOT(ISERROR(SEARCH(" ",G1)))</formula>
    </cfRule>
  </conditionalFormatting>
  <conditionalFormatting sqref="AL1 BP15 BQ1:BS2 BQ4:CB4 BQ3:BU3 BQ5:CC5 BA63:BE1048576 BJ10:BP14 BJ16:BP22 BQ6:BS22 M63:Y1048576 M2:O2 Q2:R2 M1:R1 BH63:CC1048576 BQ39:BS59 BJ39:BP55 BJ23:BJ29 BR23:BS29 DJ63:DK1048576 DM63:DN1048576 DP63:DQ1048576 DS63:DT1048576 DV63:DW1048576 DY63:DZ1048576 EB63:EC1048576 EE63:EF1048576 EH63:EI1048576 EK63:EL1048576 EN63:EO1048576 EQ63:ER1048576 ET63:EU1048576 EW63:EX1048576 EZ63:FA1048576 FC63:FD1048576 FF63:FG1048576 FI63:FJ1048576 T1:T2 M3:T4 BS30:BS38">
    <cfRule type="containsText" dxfId="839" priority="940" operator="containsText" text=" ">
      <formula>NOT(ISERROR(SEARCH(" ",M1)))</formula>
    </cfRule>
    <cfRule type="containsText" dxfId="838" priority="941" operator="containsText" text=" ">
      <formula>NOT(ISERROR(SEARCH(" ",M1)))</formula>
    </cfRule>
  </conditionalFormatting>
  <conditionalFormatting sqref="AA1:AC2">
    <cfRule type="containsText" dxfId="837" priority="868" operator="containsText" text=" ">
      <formula>NOT(ISERROR(SEARCH(" ",AA1)))</formula>
    </cfRule>
    <cfRule type="containsText" dxfId="836" priority="869" operator="containsText" text=" ">
      <formula>NOT(ISERROR(SEARCH(" ",AA1)))</formula>
    </cfRule>
  </conditionalFormatting>
  <conditionalFormatting sqref="AH3 AF1:AF2 AF3:AG25 AH6:AH25 AF48:AH55 AF27:AH46 AU27:AU62 AU4:AV25 AV27:AV57">
    <cfRule type="containsText" dxfId="835" priority="1321" operator="containsText" text=" ">
      <formula>NOT(ISERROR(SEARCH(" ",AF1)))</formula>
    </cfRule>
    <cfRule type="containsText" dxfId="834" priority="1322" operator="containsText" text=" ">
      <formula>NOT(ISERROR(SEARCH(" ",AF1)))</formula>
    </cfRule>
  </conditionalFormatting>
  <conditionalFormatting sqref="AG1 FW1:FX1 FQ1 FL63:XFD1048576 FL3:XFD3 FM16:XFD62 FM5:GJ15 GM5:XFD15">
    <cfRule type="containsText" dxfId="833" priority="1255" operator="containsText" text=" ">
      <formula>NOT(ISERROR(SEARCH(" ",AG1)))</formula>
    </cfRule>
    <cfRule type="containsText" dxfId="832" priority="1256" operator="containsText" text=" ">
      <formula>NOT(ISERROR(SEARCH(" ",AG1)))</formula>
    </cfRule>
  </conditionalFormatting>
  <conditionalFormatting sqref="AI1 AL4:AL25 AL48:AL59 AJ1:AJ25 AL27:AL46 AJ63:AJ1048576 AL63:AL1048576 AJ27:AJ58">
    <cfRule type="containsText" dxfId="831" priority="1044" operator="containsText" text=" ">
      <formula>NOT(ISERROR(SEARCH(" ",AI1)))</formula>
    </cfRule>
    <cfRule type="containsText" dxfId="830" priority="1045" operator="containsText" text=" ">
      <formula>NOT(ISERROR(SEARCH(" ",AI1)))</formula>
    </cfRule>
  </conditionalFormatting>
  <conditionalFormatting sqref="AK1 BT1:BU1 BW3:CC3 BW1:BZ1 BX2:BY2 CE5 CE1:CE3 CG1:CG3 CG63:CG1048576 CG5 BY6:BY59 BA1:BE5 CD3:CD59 CI1:CJ59 CX8:DC59 BT6:BU59 BH1:BJ1 BH2:BP5 CX1:CX7 DC4:DD4 DC1:DD1 DG1:DH1 DJ1:DK3 DM1:DN3 DP1:DQ3 DS1:DT3 DV1:DW3 DY1:DZ3 EB1:EC3 EE1:EF3 EH1:EI3 EK1:EL3 EN1:EO3 EQ1:ER3 ET1:EU3 EW1:EX3 EZ1:FA3 FC1:FD3 FF1:FG3 FI1:FJ3 DC5:DC7 CD63:CE1048576 FM4:FO4 GI4:GJ4 FV1 FL1:FN2 GM4:XFD4 FY1:XFD1 FP2:XFD2">
    <cfRule type="containsText" dxfId="829" priority="996" operator="containsText" text=" ">
      <formula>NOT(ISERROR(SEARCH(" ",AK1)))</formula>
    </cfRule>
    <cfRule type="containsText" dxfId="828" priority="997" operator="containsText" text=" ">
      <formula>NOT(ISERROR(SEARCH(" ",AK1)))</formula>
    </cfRule>
  </conditionalFormatting>
  <conditionalFormatting sqref="AQ1 AQ26:BD26 AQ63:AV1048576 AQ4:AQ25 AQ27:AQ47 AO4:AP4 AO41:AP1048576 AO5:AO39">
    <cfRule type="containsText" dxfId="827" priority="1030" operator="containsText" text=" ">
      <formula>NOT(ISERROR(SEARCH(" ",AO1)))</formula>
    </cfRule>
    <cfRule type="containsText" dxfId="826" priority="1031" operator="containsText" text=" ">
      <formula>NOT(ISERROR(SEARCH(" ",AO1)))</formula>
    </cfRule>
  </conditionalFormatting>
  <conditionalFormatting sqref="AP1 CI63:DH1048576 DC2:DH3">
    <cfRule type="containsText" dxfId="825" priority="1235" operator="containsText" text=" ">
      <formula>NOT(ISERROR(SEARCH(" ",AP1)))</formula>
    </cfRule>
    <cfRule type="containsText" dxfId="824" priority="1236" operator="containsText" text=" ">
      <formula>NOT(ISERROR(SEARCH(" ",AP1)))</formula>
    </cfRule>
  </conditionalFormatting>
  <conditionalFormatting sqref="BC1:BC25 BC63:BC1048576 BC48:BC55 BC27:BC46">
    <cfRule type="cellIs" dxfId="823" priority="1295" operator="equal">
      <formula>"是"</formula>
    </cfRule>
    <cfRule type="cellIs" dxfId="822" priority="1296" operator="equal">
      <formula>"否"</formula>
    </cfRule>
  </conditionalFormatting>
  <conditionalFormatting sqref="BU1:BU59 BU63:BU1048576">
    <cfRule type="cellIs" dxfId="821" priority="832" operator="equal">
      <formula>0</formula>
    </cfRule>
  </conditionalFormatting>
  <conditionalFormatting sqref="CF1:CF59 CF63:CF1048576">
    <cfRule type="containsText" dxfId="820" priority="880" operator="containsText" text=" ">
      <formula>NOT(ISERROR(SEARCH(" ",CF1)))</formula>
    </cfRule>
    <cfRule type="containsText" dxfId="819" priority="881" operator="containsText" text=" ">
      <formula>NOT(ISERROR(SEARCH(" ",CF1)))</formula>
    </cfRule>
  </conditionalFormatting>
  <conditionalFormatting sqref="CH1:CH4 CH63:CH1048576">
    <cfRule type="containsText" dxfId="818" priority="878" operator="containsText" text=" ">
      <formula>NOT(ISERROR(SEARCH(" ",CH1)))</formula>
    </cfRule>
    <cfRule type="containsText" dxfId="817" priority="879" operator="containsText" text=" ">
      <formula>NOT(ISERROR(SEARCH(" ",CH1)))</formula>
    </cfRule>
  </conditionalFormatting>
  <conditionalFormatting sqref="AS2 AS3:AT3">
    <cfRule type="containsText" dxfId="816" priority="1054" operator="containsText" text=" ">
      <formula>NOT(ISERROR(SEARCH(" ",AS2)))</formula>
    </cfRule>
    <cfRule type="containsText" dxfId="815" priority="1055" operator="containsText" text=" ">
      <formula>NOT(ISERROR(SEARCH(" ",AS2)))</formula>
    </cfRule>
  </conditionalFormatting>
  <conditionalFormatting sqref="AW63:AW1048576 AW15:AW19 AW31:AW32 AW2:AW11 AW42:AW43 AW34:AW38 AW40 AW21:AW25 AW27:AW29">
    <cfRule type="containsText" dxfId="814" priority="86" operator="containsText" text=" ">
      <formula>NOT(ISERROR(SEARCH(" ",AW2)))</formula>
    </cfRule>
    <cfRule type="containsText" dxfId="813" priority="87" operator="containsText" text=" ">
      <formula>NOT(ISERROR(SEARCH(" ",AW2)))</formula>
    </cfRule>
  </conditionalFormatting>
  <conditionalFormatting sqref="AX63:AZ1048576 AX21:AX25 AX15:AX19 AX31:AX32 AX42:AX43 AX34:AX38 AX40:AZ40 AX6:AX11 AY42 AY44 AY46 AX2 AX3:AZ5 AY29 AZ29:AZ38 AY27:AZ28 AX27:AX29 AY6:AZ25">
    <cfRule type="containsText" dxfId="812" priority="990" operator="containsText" text=" ">
      <formula>NOT(ISERROR(SEARCH(" ",AX2)))</formula>
    </cfRule>
    <cfRule type="containsText" dxfId="811" priority="991" operator="containsText" text=" ">
      <formula>NOT(ISERROR(SEARCH(" ",AX2)))</formula>
    </cfRule>
  </conditionalFormatting>
  <conditionalFormatting sqref="AH4:AH5 AF63:AI1048576 AI3:AI25 AI27:AI59">
    <cfRule type="containsText" dxfId="810" priority="1259" operator="containsText" text=" ">
      <formula>NOT(ISERROR(SEARCH(" ",AF3)))</formula>
    </cfRule>
    <cfRule type="containsText" dxfId="809" priority="1260" operator="containsText" text=" ">
      <formula>NOT(ISERROR(SEARCH(" ",AF3)))</formula>
    </cfRule>
  </conditionalFormatting>
  <conditionalFormatting sqref="AK3:AK25 AK48:AK59 AK27:AK46">
    <cfRule type="containsText" dxfId="808" priority="998" operator="containsText" text=" ">
      <formula>NOT(ISERROR(SEARCH(" ",AK3)))</formula>
    </cfRule>
    <cfRule type="containsText" dxfId="807" priority="999" operator="containsText" text=" ">
      <formula>NOT(ISERROR(SEARCH(" ",AK3)))</formula>
    </cfRule>
  </conditionalFormatting>
  <conditionalFormatting sqref="AM3:AN4">
    <cfRule type="containsText" dxfId="806" priority="1018" operator="containsText" text=" ">
      <formula>NOT(ISERROR(SEARCH(" ",AM3)))</formula>
    </cfRule>
    <cfRule type="containsText" dxfId="805" priority="1019" operator="containsText" text=" ">
      <formula>NOT(ISERROR(SEARCH(" ",AM3)))</formula>
    </cfRule>
  </conditionalFormatting>
  <conditionalFormatting sqref="AQ48:AQ59 AP3:AQ3">
    <cfRule type="containsText" dxfId="804" priority="1237" operator="containsText" text=" ">
      <formula>NOT(ISERROR(SEARCH(" ",AP3)))</formula>
    </cfRule>
    <cfRule type="containsText" dxfId="803" priority="1238" operator="containsText" text=" ">
      <formula>NOT(ISERROR(SEARCH(" ",AP3)))</formula>
    </cfRule>
  </conditionalFormatting>
  <conditionalFormatting sqref="CC4 CE4 CG4">
    <cfRule type="containsText" dxfId="802" priority="882" operator="containsText" text=" ">
      <formula>NOT(ISERROR(SEARCH(" ",CC4)))</formula>
    </cfRule>
    <cfRule type="containsText" dxfId="801" priority="883" operator="containsText" text=" ">
      <formula>NOT(ISERROR(SEARCH(" ",CC4)))</formula>
    </cfRule>
  </conditionalFormatting>
  <conditionalFormatting sqref="DE4:DH4 DK4 DN4 DQ4 DT4 DW4 DZ4 EC4 EF4 EI4 EL4 EO4 ER4 EU4 EX4 FA4 FD4 FG4 FJ4">
    <cfRule type="containsText" dxfId="800" priority="760" operator="containsText" text=" ">
      <formula>NOT(ISERROR(SEARCH(" ",DE4)))</formula>
    </cfRule>
  </conditionalFormatting>
  <conditionalFormatting sqref="DG4:DG52 DG54:DG59">
    <cfRule type="cellIs" dxfId="799" priority="737" operator="greaterThan">
      <formula>1</formula>
    </cfRule>
  </conditionalFormatting>
  <conditionalFormatting sqref="DJ4 DM4 DP4 DS4 DV4 DY4 EB4 EE4 EH4 EK4 EN4 EQ4 ET4 EW4 EZ4 FC4 FF4 FI4">
    <cfRule type="cellIs" dxfId="798" priority="735" operator="greaterThan">
      <formula>1</formula>
    </cfRule>
  </conditionalFormatting>
  <conditionalFormatting sqref="B5:B33 B39:B59">
    <cfRule type="cellIs" dxfId="797" priority="807" operator="equal">
      <formula>" "</formula>
    </cfRule>
  </conditionalFormatting>
  <conditionalFormatting sqref="E21:E25 E14:E19 E5:G5 E6:E11 F6:F25 F27:F59 E27:E29 G6:G62">
    <cfRule type="containsText" dxfId="796" priority="1008" operator="containsText" text=" ">
      <formula>NOT(ISERROR(SEARCH(" ",E5)))</formula>
    </cfRule>
    <cfRule type="containsText" dxfId="795" priority="1009" operator="containsText" text=" ">
      <formula>NOT(ISERROR(SEARCH(" ",E5)))</formula>
    </cfRule>
  </conditionalFormatting>
  <conditionalFormatting sqref="K48:K59 I48:J55 BF5:BG45 BF46 BF48:BG55 N5:O25 I5:K25 I27:K46 N27:O59">
    <cfRule type="containsText" dxfId="794" priority="1213" operator="containsText" text=" ">
      <formula>NOT(ISERROR(SEARCH(" ",I5)))</formula>
    </cfRule>
    <cfRule type="containsText" dxfId="793" priority="1214" operator="containsText" text=" ">
      <formula>NOT(ISERROR(SEARCH(" ",I5)))</formula>
    </cfRule>
  </conditionalFormatting>
  <conditionalFormatting sqref="M5:M25 M48:M59 M27:M46">
    <cfRule type="containsText" dxfId="792" priority="1177" operator="containsText" text=" ">
      <formula>NOT(ISERROR(SEARCH(" ",M5)))</formula>
    </cfRule>
    <cfRule type="containsText" dxfId="791" priority="1178" operator="containsText" text=" ">
      <formula>NOT(ISERROR(SEARCH(" ",M5)))</formula>
    </cfRule>
  </conditionalFormatting>
  <conditionalFormatting sqref="Q5:Q25 Q27:Q59">
    <cfRule type="colorScale" priority="835">
      <colorScale>
        <cfvo type="min"/>
        <cfvo type="max"/>
        <color rgb="FFFCFCFF"/>
        <color rgb="FF63BE7B"/>
      </colorScale>
    </cfRule>
    <cfRule type="colorScale" priority="8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U47 U5:Y5 V6:X25 V27:X59 Y6:Y62">
    <cfRule type="cellIs" dxfId="790" priority="906" operator="greaterThan">
      <formula>1</formula>
    </cfRule>
    <cfRule type="containsText" dxfId="789" priority="907" operator="containsText" text=" ">
      <formula>NOT(ISERROR(SEARCH(" ",U5)))</formula>
    </cfRule>
    <cfRule type="containsText" dxfId="788" priority="908" operator="containsText" text=" ">
      <formula>NOT(ISERROR(SEARCH(" ",U5)))</formula>
    </cfRule>
  </conditionalFormatting>
  <conditionalFormatting sqref="V5:Y5 V27:X59 V6:X25 Y6:Y62">
    <cfRule type="cellIs" dxfId="787" priority="867" operator="equal">
      <formula>0</formula>
    </cfRule>
  </conditionalFormatting>
  <conditionalFormatting sqref="V5:AC5 AC27:AC62 V27:X59 Z27:AB59 V6:X25 Z6:AC25 Y6:Y62">
    <cfRule type="cellIs" dxfId="786" priority="834" operator="equal">
      <formula>0</formula>
    </cfRule>
  </conditionalFormatting>
  <conditionalFormatting sqref="AD5:AD25 AD48:AD59 AD27:AD46 AD63:AD1048576">
    <cfRule type="cellIs" dxfId="785" priority="1025" operator="greaterThan">
      <formula>1</formula>
    </cfRule>
    <cfRule type="containsText" dxfId="784" priority="1026" operator="containsText" text=" ">
      <formula>NOT(ISERROR(SEARCH(" ",AD5)))</formula>
    </cfRule>
    <cfRule type="containsText" dxfId="783" priority="1027" operator="containsText" text=" ">
      <formula>NOT(ISERROR(SEARCH(" ",AD5)))</formula>
    </cfRule>
  </conditionalFormatting>
  <conditionalFormatting sqref="AM53:AN59 AM48:AM52 AM32:AM46 AM5:AN25 AN32:AN52 AM27:AN31">
    <cfRule type="containsText" dxfId="782" priority="1016" operator="containsText" text=" ">
      <formula>NOT(ISERROR(SEARCH(" ",AM5)))</formula>
    </cfRule>
    <cfRule type="containsText" dxfId="781" priority="1017" operator="containsText" text=" ">
      <formula>NOT(ISERROR(SEARCH(" ",AM5)))</formula>
    </cfRule>
  </conditionalFormatting>
  <conditionalFormatting sqref="AR48:AR59 AR27:AR46 AR5:AT25 AS27:AT62">
    <cfRule type="containsText" dxfId="780" priority="1076" operator="containsText" text=" ">
      <formula>NOT(ISERROR(SEARCH(" ",AR5)))</formula>
    </cfRule>
    <cfRule type="containsText" dxfId="779" priority="1077" operator="containsText" text=" ">
      <formula>NOT(ISERROR(SEARCH(" ",AR5)))</formula>
    </cfRule>
  </conditionalFormatting>
  <conditionalFormatting sqref="CQ5:CQ59 CN5:CO59">
    <cfRule type="cellIs" dxfId="778" priority="846" operator="greaterThan">
      <formula>1</formula>
    </cfRule>
  </conditionalFormatting>
  <conditionalFormatting sqref="DF54:DG59 DF53 DF5:DG52">
    <cfRule type="colorScale" priority="758">
      <colorScale>
        <cfvo type="min"/>
        <cfvo type="max"/>
        <color rgb="FFFCFCFF"/>
        <color rgb="FF63BE7B"/>
      </colorScale>
    </cfRule>
    <cfRule type="colorScale" priority="7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J5:DJ52 DJ54:DJ59">
    <cfRule type="cellIs" dxfId="777" priority="481" operator="greaterThan">
      <formula>1</formula>
    </cfRule>
    <cfRule type="colorScale" priority="482">
      <colorScale>
        <cfvo type="min"/>
        <cfvo type="max"/>
        <color rgb="FFFCFCFF"/>
        <color rgb="FF63BE7B"/>
      </colorScale>
    </cfRule>
    <cfRule type="colorScale" priority="4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M5:DM52 DM54:DM59">
    <cfRule type="cellIs" dxfId="776" priority="478" operator="greaterThan">
      <formula>1</formula>
    </cfRule>
    <cfRule type="colorScale" priority="479">
      <colorScale>
        <cfvo type="min"/>
        <cfvo type="max"/>
        <color rgb="FFFCFCFF"/>
        <color rgb="FF63BE7B"/>
      </colorScale>
    </cfRule>
    <cfRule type="colorScale" priority="4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P5:DP52 DP54:DP59">
    <cfRule type="cellIs" dxfId="775" priority="475" operator="greaterThan">
      <formula>1</formula>
    </cfRule>
    <cfRule type="colorScale" priority="476">
      <colorScale>
        <cfvo type="min"/>
        <cfvo type="max"/>
        <color rgb="FFFCFCFF"/>
        <color rgb="FF63BE7B"/>
      </colorScale>
    </cfRule>
    <cfRule type="colorScale" priority="4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S5:DS52 DS54:DS59">
    <cfRule type="cellIs" dxfId="774" priority="472" operator="greaterThan">
      <formula>1</formula>
    </cfRule>
    <cfRule type="colorScale" priority="473">
      <colorScale>
        <cfvo type="min"/>
        <cfvo type="max"/>
        <color rgb="FFFCFCFF"/>
        <color rgb="FF63BE7B"/>
      </colorScale>
    </cfRule>
    <cfRule type="colorScale" priority="4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5:DV52 DV54:DV59">
    <cfRule type="cellIs" dxfId="773" priority="469" operator="greaterThan">
      <formula>1</formula>
    </cfRule>
    <cfRule type="colorScale" priority="470">
      <colorScale>
        <cfvo type="min"/>
        <cfvo type="max"/>
        <color rgb="FFFCFCFF"/>
        <color rgb="FF63BE7B"/>
      </colorScale>
    </cfRule>
    <cfRule type="colorScale" priority="4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5:DY52 DY54:DY59">
    <cfRule type="cellIs" dxfId="772" priority="466" operator="greaterThan">
      <formula>1</formula>
    </cfRule>
    <cfRule type="colorScale" priority="467">
      <colorScale>
        <cfvo type="min"/>
        <cfvo type="max"/>
        <color rgb="FFFCFCFF"/>
        <color rgb="FF63BE7B"/>
      </colorScale>
    </cfRule>
    <cfRule type="colorScale" priority="4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5:EB52 EB54:EB59">
    <cfRule type="cellIs" dxfId="771" priority="463" operator="greaterThan">
      <formula>1</formula>
    </cfRule>
    <cfRule type="colorScale" priority="464">
      <colorScale>
        <cfvo type="min"/>
        <cfvo type="max"/>
        <color rgb="FFFCFCFF"/>
        <color rgb="FF63BE7B"/>
      </colorScale>
    </cfRule>
    <cfRule type="colorScale" priority="4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5:EE52 EE54:EE59">
    <cfRule type="cellIs" dxfId="770" priority="460" operator="greaterThan">
      <formula>1</formula>
    </cfRule>
    <cfRule type="colorScale" priority="461">
      <colorScale>
        <cfvo type="min"/>
        <cfvo type="max"/>
        <color rgb="FFFCFCFF"/>
        <color rgb="FF63BE7B"/>
      </colorScale>
    </cfRule>
    <cfRule type="colorScale" priority="4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5:EH52 EH54:EH59">
    <cfRule type="cellIs" dxfId="769" priority="457" operator="greaterThan">
      <formula>1</formula>
    </cfRule>
    <cfRule type="colorScale" priority="458">
      <colorScale>
        <cfvo type="min"/>
        <cfvo type="max"/>
        <color rgb="FFFCFCFF"/>
        <color rgb="FF63BE7B"/>
      </colorScale>
    </cfRule>
    <cfRule type="colorScale" priority="4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5:EK52 EK54:EK59">
    <cfRule type="cellIs" dxfId="768" priority="686" operator="greaterThan">
      <formula>1</formula>
    </cfRule>
    <cfRule type="colorScale" priority="687">
      <colorScale>
        <cfvo type="min"/>
        <cfvo type="max"/>
        <color rgb="FFFCFCFF"/>
        <color rgb="FF63BE7B"/>
      </colorScale>
    </cfRule>
    <cfRule type="colorScale" priority="6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5:EN52 EN54:EN59">
    <cfRule type="cellIs" dxfId="767" priority="454" operator="greaterThan">
      <formula>1</formula>
    </cfRule>
    <cfRule type="colorScale" priority="455">
      <colorScale>
        <cfvo type="min"/>
        <cfvo type="max"/>
        <color rgb="FFFCFCFF"/>
        <color rgb="FF63BE7B"/>
      </colorScale>
    </cfRule>
    <cfRule type="colorScale" priority="4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5:EQ52 EQ54:EQ59">
    <cfRule type="cellIs" dxfId="766" priority="451" operator="greaterThan">
      <formula>1</formula>
    </cfRule>
    <cfRule type="colorScale" priority="452">
      <colorScale>
        <cfvo type="min"/>
        <cfvo type="max"/>
        <color rgb="FFFCFCFF"/>
        <color rgb="FF63BE7B"/>
      </colorScale>
    </cfRule>
    <cfRule type="colorScale" priority="4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5:ET52 ET54:ET59">
    <cfRule type="cellIs" dxfId="765" priority="448" operator="greaterThan">
      <formula>1</formula>
    </cfRule>
    <cfRule type="colorScale" priority="449">
      <colorScale>
        <cfvo type="min"/>
        <cfvo type="max"/>
        <color rgb="FFFCFCFF"/>
        <color rgb="FF63BE7B"/>
      </colorScale>
    </cfRule>
    <cfRule type="colorScale" priority="4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5:EW52 EW54:EW59">
    <cfRule type="cellIs" dxfId="764" priority="445" operator="greaterThan">
      <formula>1</formula>
    </cfRule>
    <cfRule type="colorScale" priority="446">
      <colorScale>
        <cfvo type="min"/>
        <cfvo type="max"/>
        <color rgb="FFFCFCFF"/>
        <color rgb="FF63BE7B"/>
      </colorScale>
    </cfRule>
    <cfRule type="colorScale" priority="4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5:EZ52 EZ54:EZ59">
    <cfRule type="cellIs" dxfId="763" priority="442" operator="greaterThan">
      <formula>1</formula>
    </cfRule>
    <cfRule type="colorScale" priority="443">
      <colorScale>
        <cfvo type="min"/>
        <cfvo type="max"/>
        <color rgb="FFFCFCFF"/>
        <color rgb="FF63BE7B"/>
      </colorScale>
    </cfRule>
    <cfRule type="colorScale" priority="4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5:FC52 FC54:FC59">
    <cfRule type="cellIs" dxfId="762" priority="439" operator="greaterThan">
      <formula>1</formula>
    </cfRule>
    <cfRule type="colorScale" priority="440">
      <colorScale>
        <cfvo type="min"/>
        <cfvo type="max"/>
        <color rgb="FFFCFCFF"/>
        <color rgb="FF63BE7B"/>
      </colorScale>
    </cfRule>
    <cfRule type="colorScale" priority="4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5:FF52 FF54:FF59">
    <cfRule type="cellIs" dxfId="761" priority="436" operator="greaterThan">
      <formula>1</formula>
    </cfRule>
    <cfRule type="colorScale" priority="437">
      <colorScale>
        <cfvo type="min"/>
        <cfvo type="max"/>
        <color rgb="FFFCFCFF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5:FI52 FI54:FI59">
    <cfRule type="cellIs" dxfId="760" priority="433" operator="greaterThan">
      <formula>1</formula>
    </cfRule>
    <cfRule type="colorScale" priority="434">
      <colorScale>
        <cfvo type="min"/>
        <cfvo type="max"/>
        <color rgb="FFFCFCFF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5:FL52 FL54:FL59">
    <cfRule type="cellIs" dxfId="759" priority="430" operator="greaterThan">
      <formula>1</formula>
    </cfRule>
    <cfRule type="colorScale" priority="431">
      <colorScale>
        <cfvo type="min"/>
        <cfvo type="max"/>
        <color rgb="FFFCFCFF"/>
        <color rgb="FF63BE7B"/>
      </colorScale>
    </cfRule>
    <cfRule type="colorScale" priority="4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5:GI62">
    <cfRule type="cellIs" dxfId="758" priority="9" operator="equal">
      <formula>0</formula>
    </cfRule>
  </conditionalFormatting>
  <conditionalFormatting sqref="U48:U59 U6:U25 U27:U46">
    <cfRule type="cellIs" dxfId="757" priority="1020" operator="greaterThan">
      <formula>1</formula>
    </cfRule>
    <cfRule type="containsText" dxfId="756" priority="1021" operator="containsText" text=" ">
      <formula>NOT(ISERROR(SEARCH(" ",U6)))</formula>
    </cfRule>
    <cfRule type="containsText" dxfId="755" priority="1022" operator="containsText" text=" ">
      <formula>NOT(ISERROR(SEARCH(" ",U6)))</formula>
    </cfRule>
  </conditionalFormatting>
  <conditionalFormatting sqref="B20 BH20">
    <cfRule type="containsText" dxfId="754" priority="1293" operator="containsText" text=" ">
      <formula>NOT(ISERROR(SEARCH(" ",B20)))</formula>
    </cfRule>
    <cfRule type="containsText" dxfId="753" priority="1294" operator="containsText" text=" ">
      <formula>NOT(ISERROR(SEARCH(" ",B20)))</formula>
    </cfRule>
  </conditionalFormatting>
  <conditionalFormatting sqref="BL29 BP29:BQ29 BK27:BQ27 BN29 BK28 BM28 BO28 BQ28 BK30:BQ30 BL31:BL38 BN31:BN38 BP31:BQ38 BK31:BK35 BO31:BO35 BM31:BM35">
    <cfRule type="containsText" dxfId="752" priority="782" operator="containsText" text=" ">
      <formula>NOT(ISERROR(SEARCH(" ",BK27)))</formula>
    </cfRule>
    <cfRule type="containsText" dxfId="751" priority="783" operator="containsText" text=" ">
      <formula>NOT(ISERROR(SEARCH(" ",BK27)))</formula>
    </cfRule>
  </conditionalFormatting>
  <conditionalFormatting sqref="C30:C38 BH30">
    <cfRule type="containsText" dxfId="750" priority="1317" operator="containsText" text=" ">
      <formula>NOT(ISERROR(SEARCH(" ",C30)))</formula>
    </cfRule>
    <cfRule type="containsText" dxfId="749" priority="1318" operator="containsText" text=" ">
      <formula>NOT(ISERROR(SEARCH(" ",C30)))</formula>
    </cfRule>
  </conditionalFormatting>
  <conditionalFormatting sqref="AX30:AY30 AY31:AY38">
    <cfRule type="containsText" dxfId="748" priority="986" operator="containsText" text=" ">
      <formula>NOT(ISERROR(SEARCH(" ",AX30)))</formula>
    </cfRule>
    <cfRule type="containsText" dxfId="747" priority="987" operator="containsText" text=" ">
      <formula>NOT(ISERROR(SEARCH(" ",AX30)))</formula>
    </cfRule>
  </conditionalFormatting>
  <conditionalFormatting sqref="BK36:BK38 BM36:BM37 BO38">
    <cfRule type="containsText" dxfId="746" priority="780" operator="containsText" text=" ">
      <formula>NOT(ISERROR(SEARCH(" ",BK36)))</formula>
    </cfRule>
    <cfRule type="containsText" dxfId="745" priority="781" operator="containsText" text=" ">
      <formula>NOT(ISERROR(SEARCH(" ",BK36)))</formula>
    </cfRule>
  </conditionalFormatting>
  <conditionalFormatting sqref="AX41:AZ41 AY43 AY45 AY47 AZ42:AZ46">
    <cfRule type="containsText" dxfId="744" priority="954" operator="containsText" text=" ">
      <formula>NOT(ISERROR(SEARCH(" ",AX41)))</formula>
    </cfRule>
    <cfRule type="containsText" dxfId="743" priority="955" operator="containsText" text=" ">
      <formula>NOT(ISERROR(SEARCH(" ",AX41)))</formula>
    </cfRule>
  </conditionalFormatting>
  <conditionalFormatting sqref="BF47:BG47 I47:K47 BG46">
    <cfRule type="containsText" dxfId="742" priority="918" operator="containsText" text=" ">
      <formula>NOT(ISERROR(SEARCH(" ",I46)))</formula>
    </cfRule>
    <cfRule type="containsText" dxfId="741" priority="919" operator="containsText" text=" ">
      <formula>NOT(ISERROR(SEARCH(" ",I46)))</formula>
    </cfRule>
  </conditionalFormatting>
  <conditionalFormatting sqref="D47 BB47:BD47 AE47">
    <cfRule type="containsText" dxfId="740" priority="930" operator="containsText" text=" ">
      <formula>NOT(ISERROR(SEARCH(" ",D47)))</formula>
    </cfRule>
    <cfRule type="containsText" dxfId="739" priority="931" operator="containsText" text=" ">
      <formula>NOT(ISERROR(SEARCH(" ",D47)))</formula>
    </cfRule>
  </conditionalFormatting>
  <conditionalFormatting sqref="AX47 AZ47">
    <cfRule type="containsText" dxfId="738" priority="896" operator="containsText" text=" ">
      <formula>NOT(ISERROR(SEARCH(" ",AX47)))</formula>
    </cfRule>
    <cfRule type="containsText" dxfId="737" priority="897" operator="containsText" text=" ">
      <formula>NOT(ISERROR(SEARCH(" ",AX47)))</formula>
    </cfRule>
  </conditionalFormatting>
  <conditionalFormatting sqref="C49:D49 C53">
    <cfRule type="containsText" dxfId="736" priority="1305" operator="containsText" text=" ">
      <formula>NOT(ISERROR(SEARCH(" ",C49)))</formula>
    </cfRule>
    <cfRule type="containsText" dxfId="735" priority="1306" operator="containsText" text=" ">
      <formula>NOT(ISERROR(SEARCH(" ",C49)))</formula>
    </cfRule>
  </conditionalFormatting>
  <conditionalFormatting sqref="C50:D50 C54 BH50">
    <cfRule type="containsText" dxfId="734" priority="1315" operator="containsText" text=" ">
      <formula>NOT(ISERROR(SEARCH(" ",C50)))</formula>
    </cfRule>
    <cfRule type="containsText" dxfId="733" priority="1316" operator="containsText" text=" ">
      <formula>NOT(ISERROR(SEARCH(" ",C50)))</formula>
    </cfRule>
  </conditionalFormatting>
  <conditionalFormatting sqref="A55:B55 BB55 BH55 AE55">
    <cfRule type="containsText" dxfId="732" priority="1285" operator="containsText" text=" ">
      <formula>NOT(ISERROR(SEARCH(" ",A55)))</formula>
    </cfRule>
    <cfRule type="containsText" dxfId="731" priority="1286" operator="containsText" text=" ">
      <formula>NOT(ISERROR(SEARCH(" ",A55)))</formula>
    </cfRule>
  </conditionalFormatting>
  <conditionalFormatting sqref="T57:T59 BB56:BD59 BH58:BP59 BH57:BO57 BH56:BP56 AE56:AE59 A56:D59 A60:A62">
    <cfRule type="containsText" dxfId="730" priority="1124" operator="containsText" text=" ">
      <formula>NOT(ISERROR(SEARCH(" ",A56)))</formula>
    </cfRule>
    <cfRule type="containsText" dxfId="729" priority="1125" operator="containsText" text=" ">
      <formula>NOT(ISERROR(SEARCH(" ",A56)))</formula>
    </cfRule>
  </conditionalFormatting>
  <conditionalFormatting sqref="I56:J59 BF56:BG59">
    <cfRule type="containsText" dxfId="728" priority="1116" operator="containsText" text=" ">
      <formula>NOT(ISERROR(SEARCH(" ",I56)))</formula>
    </cfRule>
    <cfRule type="containsText" dxfId="727" priority="1117" operator="containsText" text=" ">
      <formula>NOT(ISERROR(SEARCH(" ",I56)))</formula>
    </cfRule>
  </conditionalFormatting>
  <conditionalFormatting sqref="AF56:AG59">
    <cfRule type="containsText" dxfId="726" priority="1122" operator="containsText" text=" ">
      <formula>NOT(ISERROR(SEARCH(" ",AF56)))</formula>
    </cfRule>
    <cfRule type="containsText" dxfId="725" priority="1123" operator="containsText" text=" ">
      <formula>NOT(ISERROR(SEARCH(" ",AF56)))</formula>
    </cfRule>
  </conditionalFormatting>
  <conditionalFormatting sqref="T60:T62 BB60:BD62 BH61:BP62 BH60:BO60 AE60:AE62 B60:D62">
    <cfRule type="containsText" dxfId="724" priority="365" operator="containsText" text=" ">
      <formula>NOT(ISERROR(SEARCH(" ",B60)))</formula>
    </cfRule>
    <cfRule type="containsText" dxfId="723" priority="366" operator="containsText" text=" ">
      <formula>NOT(ISERROR(SEARCH(" ",B60)))</formula>
    </cfRule>
  </conditionalFormatting>
  <conditionalFormatting sqref="I60:J62 BF60:BG62">
    <cfRule type="containsText" dxfId="722" priority="357" operator="containsText" text=" ">
      <formula>NOT(ISERROR(SEARCH(" ",I60)))</formula>
    </cfRule>
    <cfRule type="containsText" dxfId="721" priority="358" operator="containsText" text=" ">
      <formula>NOT(ISERROR(SEARCH(" ",I60)))</formula>
    </cfRule>
  </conditionalFormatting>
  <conditionalFormatting sqref="K60:K62 N60:O62">
    <cfRule type="containsText" dxfId="720" priority="369" operator="containsText" text=" ">
      <formula>NOT(ISERROR(SEARCH(" ",K60)))</formula>
    </cfRule>
    <cfRule type="containsText" dxfId="719" priority="370" operator="containsText" text=" ">
      <formula>NOT(ISERROR(SEARCH(" ",K60)))</formula>
    </cfRule>
  </conditionalFormatting>
  <conditionalFormatting sqref="V60:X62">
    <cfRule type="cellIs" dxfId="718" priority="307" operator="equal">
      <formula>0</formula>
    </cfRule>
    <cfRule type="cellIs" dxfId="717" priority="312" operator="greaterThan">
      <formula>1</formula>
    </cfRule>
    <cfRule type="containsText" dxfId="716" priority="313" operator="containsText" text=" ">
      <formula>NOT(ISERROR(SEARCH(" ",V60)))</formula>
    </cfRule>
    <cfRule type="containsText" dxfId="715" priority="314" operator="containsText" text=" ">
      <formula>NOT(ISERROR(SEARCH(" ",V60)))</formula>
    </cfRule>
  </conditionalFormatting>
  <conditionalFormatting sqref="V60:X62 Z60:AB62">
    <cfRule type="cellIs" dxfId="714" priority="290" operator="equal">
      <formula>0</formula>
    </cfRule>
  </conditionalFormatting>
  <conditionalFormatting sqref="Z60:AB62">
    <cfRule type="containsText" dxfId="713" priority="329" operator="containsText" text=" ">
      <formula>NOT(ISERROR(SEARCH(" ",Z60)))</formula>
    </cfRule>
    <cfRule type="containsText" dxfId="712" priority="330" operator="containsText" text=" ">
      <formula>NOT(ISERROR(SEARCH(" ",Z60)))</formula>
    </cfRule>
  </conditionalFormatting>
  <conditionalFormatting sqref="AF60:AG62">
    <cfRule type="containsText" dxfId="711" priority="363" operator="containsText" text=" ">
      <formula>NOT(ISERROR(SEARCH(" ",AF60)))</formula>
    </cfRule>
    <cfRule type="containsText" dxfId="710" priority="364" operator="containsText" text=" ">
      <formula>NOT(ISERROR(SEARCH(" ",AF60)))</formula>
    </cfRule>
  </conditionalFormatting>
  <conditionalFormatting sqref="AM60:AN62">
    <cfRule type="containsText" dxfId="709" priority="331" operator="containsText" text=" ">
      <formula>NOT(ISERROR(SEARCH(" ",AM60)))</formula>
    </cfRule>
    <cfRule type="containsText" dxfId="708" priority="332" operator="containsText" text=" ">
      <formula>NOT(ISERROR(SEARCH(" ",AM60)))</formula>
    </cfRule>
  </conditionalFormatting>
  <conditionalFormatting sqref="BE60:BE62 CE60:CE62 CG60:CG62 BZ60:CC62 BV60:BX62 BA60:BA62">
    <cfRule type="containsText" dxfId="707" priority="377" operator="containsText" text=" ">
      <formula>NOT(ISERROR(SEARCH(" ",BA60)))</formula>
    </cfRule>
    <cfRule type="containsText" dxfId="706" priority="378" operator="containsText" text=" ">
      <formula>NOT(ISERROR(SEARCH(" ",BA60)))</formula>
    </cfRule>
  </conditionalFormatting>
  <conditionalFormatting sqref="BQ60:BS62">
    <cfRule type="containsText" dxfId="705" priority="315" operator="containsText" text=" ">
      <formula>NOT(ISERROR(SEARCH(" ",BQ60)))</formula>
    </cfRule>
    <cfRule type="containsText" dxfId="704" priority="316" operator="containsText" text=" ">
      <formula>NOT(ISERROR(SEARCH(" ",BQ60)))</formula>
    </cfRule>
  </conditionalFormatting>
  <conditionalFormatting sqref="BY60:BY62 CD60:CD62 CI60:CJ62 CX60:DC62 BT60:BU62">
    <cfRule type="containsText" dxfId="703" priority="323" operator="containsText" text=" ">
      <formula>NOT(ISERROR(SEARCH(" ",BT60)))</formula>
    </cfRule>
    <cfRule type="containsText" dxfId="702" priority="324" operator="containsText" text=" ">
      <formula>NOT(ISERROR(SEARCH(" ",BT60)))</formula>
    </cfRule>
  </conditionalFormatting>
  <conditionalFormatting sqref="CQ60:CQ62 CN60:CO62">
    <cfRule type="cellIs" dxfId="701" priority="302" operator="greaterThan">
      <formula>1</formula>
    </cfRule>
  </conditionalFormatting>
  <conditionalFormatting sqref="DF60:DG62">
    <cfRule type="colorScale" priority="285">
      <colorScale>
        <cfvo type="min"/>
        <cfvo type="max"/>
        <color rgb="FFFCFCFF"/>
        <color rgb="FF63BE7B"/>
      </colorScale>
    </cfRule>
    <cfRule type="colorScale" priority="2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M63:AN1048576">
    <cfRule type="containsText" dxfId="700" priority="1034" operator="containsText" text=" ">
      <formula>NOT(ISERROR(SEARCH(" ",AM63)))</formula>
    </cfRule>
    <cfRule type="containsText" dxfId="699" priority="1035" operator="containsText" text=" ">
      <formula>NOT(ISERROR(SEARCH(" ",AM63)))</formula>
    </cfRule>
  </conditionalFormatting>
  <dataValidations count="2">
    <dataValidation type="list" allowBlank="1" showInputMessage="1" showErrorMessage="1" sqref="BC5:BC25 BC27:BC62">
      <formula1>"是,否"</formula1>
    </dataValidation>
    <dataValidation type="custom" allowBlank="1" showInputMessage="1" showErrorMessage="1" sqref="BM23:BM25">
      <formula1>"MOD(BF23,1)=0"</formula1>
    </dataValidation>
  </dataValidations>
  <pageMargins left="0.69930555555555596" right="0.69930555555555596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6" sqref="C6"/>
    </sheetView>
  </sheetViews>
  <sheetFormatPr defaultColWidth="9" defaultRowHeight="15.6" x14ac:dyDescent="0.35"/>
  <cols>
    <col min="1" max="1" width="9" style="229"/>
    <col min="2" max="2" width="12.21875" style="229" customWidth="1"/>
    <col min="3" max="3" width="25.109375" style="229" customWidth="1"/>
    <col min="4" max="4" width="12.88671875" style="229" customWidth="1"/>
  </cols>
  <sheetData>
    <row r="1" spans="1:8" x14ac:dyDescent="0.35">
      <c r="A1" s="2" t="s">
        <v>1</v>
      </c>
      <c r="B1" s="2" t="s">
        <v>1</v>
      </c>
      <c r="C1" s="2" t="s">
        <v>1</v>
      </c>
    </row>
    <row r="2" spans="1:8" x14ac:dyDescent="0.35">
      <c r="A2" s="2" t="s">
        <v>11</v>
      </c>
      <c r="B2" s="2" t="s">
        <v>11</v>
      </c>
      <c r="C2" s="2" t="s">
        <v>11</v>
      </c>
    </row>
    <row r="3" spans="1:8" x14ac:dyDescent="0.35">
      <c r="A3" s="2" t="s">
        <v>98</v>
      </c>
      <c r="B3" s="2" t="s">
        <v>135</v>
      </c>
      <c r="C3" s="2" t="s">
        <v>1498</v>
      </c>
    </row>
    <row r="4" spans="1:8" ht="39.6" x14ac:dyDescent="0.35">
      <c r="A4" s="76" t="s">
        <v>119</v>
      </c>
      <c r="B4" s="76" t="s">
        <v>1499</v>
      </c>
      <c r="C4" s="76" t="s">
        <v>1500</v>
      </c>
      <c r="G4">
        <v>1000</v>
      </c>
      <c r="H4">
        <v>10000</v>
      </c>
    </row>
    <row r="5" spans="1:8" x14ac:dyDescent="0.35">
      <c r="A5" s="1">
        <v>1005</v>
      </c>
      <c r="B5" s="229" t="str">
        <f>RIGHT('道具|Item'!T17,LEN('道具|Item'!T17)-4)</f>
        <v>1000000</v>
      </c>
      <c r="C5" s="229" t="str">
        <f>B5</f>
        <v>1000000</v>
      </c>
      <c r="D5" s="229">
        <f>B5*5</f>
        <v>5000000</v>
      </c>
      <c r="F5" s="5" t="str">
        <f>C5</f>
        <v>1000000</v>
      </c>
      <c r="G5">
        <f>150*1000</f>
        <v>150000</v>
      </c>
    </row>
    <row r="6" spans="1:8" x14ac:dyDescent="0.35">
      <c r="A6" s="1">
        <v>1006</v>
      </c>
      <c r="B6" s="229" t="str">
        <f>RIGHT('道具|Item'!T18,LEN('道具|Item'!T18)-4)</f>
        <v>2000000</v>
      </c>
      <c r="C6" s="39">
        <f>D5</f>
        <v>5000000</v>
      </c>
      <c r="D6" s="229">
        <f t="shared" ref="D6:D7" si="0">B6*5</f>
        <v>10000000</v>
      </c>
      <c r="F6" s="5">
        <f>B5*5</f>
        <v>5000000</v>
      </c>
    </row>
    <row r="7" spans="1:8" x14ac:dyDescent="0.35">
      <c r="A7" s="1">
        <v>1007</v>
      </c>
      <c r="B7" s="229" t="str">
        <f>RIGHT('道具|Item'!T19,LEN('道具|Item'!T19)-4)</f>
        <v>5000000</v>
      </c>
      <c r="C7" s="39">
        <f t="shared" ref="C7:C8" si="1">D6</f>
        <v>10000000</v>
      </c>
      <c r="D7" s="229">
        <f t="shared" si="0"/>
        <v>25000000</v>
      </c>
      <c r="F7" s="5">
        <f>B6*5</f>
        <v>10000000</v>
      </c>
      <c r="H7">
        <f>150*10000</f>
        <v>1500000</v>
      </c>
    </row>
    <row r="8" spans="1:8" x14ac:dyDescent="0.35">
      <c r="A8" s="1">
        <v>1008</v>
      </c>
      <c r="B8" s="229" t="str">
        <f>RIGHT('道具|Item'!T20,LEN('道具|Item'!T20)-4)</f>
        <v>10000000</v>
      </c>
      <c r="C8" s="39">
        <f t="shared" si="1"/>
        <v>25000000</v>
      </c>
      <c r="F8" s="5">
        <f>B7*5</f>
        <v>25000000</v>
      </c>
    </row>
  </sheetData>
  <phoneticPr fontId="57" type="noConversion"/>
  <conditionalFormatting sqref="A5:A8">
    <cfRule type="containsText" dxfId="698" priority="1" operator="containsText" text=" ">
      <formula>NOT(ISERROR(SEARCH(" ",A5)))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Z84"/>
  <sheetViews>
    <sheetView workbookViewId="0">
      <pane xSplit="6" ySplit="4" topLeftCell="CS5" activePane="bottomRight" state="frozen"/>
      <selection pane="topRight"/>
      <selection pane="bottomLeft"/>
      <selection pane="bottomRight" activeCell="CU5" sqref="CU5"/>
    </sheetView>
  </sheetViews>
  <sheetFormatPr defaultColWidth="9" defaultRowHeight="15.6" x14ac:dyDescent="0.25"/>
  <cols>
    <col min="1" max="1" width="15.33203125" style="1" customWidth="1"/>
    <col min="2" max="2" width="15.88671875" style="1" customWidth="1"/>
    <col min="3" max="3" width="15.77734375" style="1" customWidth="1"/>
    <col min="4" max="4" width="10.77734375" style="1" customWidth="1"/>
    <col min="5" max="5" width="11.77734375" style="1" customWidth="1"/>
    <col min="6" max="6" width="14.33203125" style="1" customWidth="1"/>
    <col min="7" max="7" width="29.6640625" style="1" customWidth="1"/>
    <col min="8" max="8" width="11.5546875" style="171" customWidth="1"/>
    <col min="9" max="9" width="15.21875" style="171" customWidth="1"/>
    <col min="10" max="10" width="11.5546875" style="171" customWidth="1"/>
    <col min="11" max="11" width="9.77734375" style="1" customWidth="1"/>
    <col min="12" max="12" width="9.21875" style="171" customWidth="1"/>
    <col min="13" max="13" width="9.5546875" style="171" customWidth="1"/>
    <col min="14" max="15" width="9.109375" style="1" customWidth="1"/>
    <col min="16" max="16" width="14.21875" style="1" customWidth="1"/>
    <col min="17" max="17" width="14.21875" style="171" customWidth="1"/>
    <col min="18" max="18" width="16.21875" style="171" customWidth="1"/>
    <col min="19" max="19" width="10.21875" style="171" customWidth="1"/>
    <col min="20" max="20" width="9" style="1" customWidth="1"/>
    <col min="21" max="21" width="9.21875" style="171" customWidth="1"/>
    <col min="22" max="22" width="9.5546875" style="171" customWidth="1"/>
    <col min="23" max="23" width="6.6640625" style="1" customWidth="1"/>
    <col min="24" max="24" width="9.109375" style="1" customWidth="1"/>
    <col min="25" max="25" width="14.21875" style="1" customWidth="1"/>
    <col min="26" max="26" width="14.21875" style="171" customWidth="1"/>
    <col min="27" max="27" width="16.21875" style="171" customWidth="1"/>
    <col min="28" max="28" width="10.21875" style="171" customWidth="1"/>
    <col min="29" max="29" width="9.88671875" style="1" customWidth="1"/>
    <col min="30" max="30" width="9.21875" style="171" customWidth="1"/>
    <col min="31" max="31" width="9.5546875" style="171" customWidth="1"/>
    <col min="32" max="32" width="8.109375" style="1" customWidth="1"/>
    <col min="33" max="33" width="9.109375" style="1" customWidth="1"/>
    <col min="34" max="34" width="14.21875" style="1" customWidth="1"/>
    <col min="35" max="35" width="12.88671875" style="171" customWidth="1"/>
    <col min="36" max="36" width="16.21875" style="171" customWidth="1"/>
    <col min="37" max="37" width="10.21875" style="171" customWidth="1"/>
    <col min="38" max="38" width="9.33203125" style="1" customWidth="1"/>
    <col min="39" max="39" width="9.21875" style="171" customWidth="1"/>
    <col min="40" max="40" width="9.5546875" style="171" customWidth="1"/>
    <col min="41" max="41" width="4.5546875" style="1" customWidth="1"/>
    <col min="42" max="42" width="9.109375" style="1" customWidth="1"/>
    <col min="43" max="43" width="11.5546875" style="1" customWidth="1"/>
    <col min="44" max="44" width="11.5546875" style="171" customWidth="1"/>
    <col min="45" max="45" width="16.21875" style="171" customWidth="1"/>
    <col min="46" max="46" width="10.21875" style="171" customWidth="1"/>
    <col min="47" max="47" width="10.109375" style="1" customWidth="1"/>
    <col min="48" max="48" width="9.21875" style="171" customWidth="1"/>
    <col min="49" max="49" width="9.5546875" style="171" customWidth="1"/>
    <col min="50" max="50" width="4.21875" style="1" customWidth="1"/>
    <col min="51" max="51" width="9.109375" style="1" customWidth="1"/>
    <col min="52" max="52" width="12.88671875" style="1" customWidth="1"/>
    <col min="53" max="53" width="11.5546875" style="171" customWidth="1"/>
    <col min="54" max="54" width="15.88671875" style="171" customWidth="1"/>
    <col min="55" max="55" width="11.5546875" style="171" customWidth="1"/>
    <col min="56" max="56" width="9.44140625" style="1" customWidth="1"/>
    <col min="57" max="57" width="8.88671875" style="171" customWidth="1"/>
    <col min="58" max="58" width="9.44140625" style="171" customWidth="1"/>
    <col min="59" max="59" width="7.33203125" style="1" customWidth="1"/>
    <col min="60" max="60" width="9.109375" style="1" customWidth="1"/>
    <col min="61" max="61" width="29.6640625" style="1" customWidth="1"/>
    <col min="62" max="62" width="11.5546875" style="171" customWidth="1"/>
    <col min="63" max="63" width="15.21875" style="171" customWidth="1"/>
    <col min="64" max="64" width="11.5546875" style="171" customWidth="1"/>
    <col min="65" max="65" width="9.77734375" style="1" customWidth="1"/>
    <col min="66" max="66" width="9.21875" style="171" customWidth="1"/>
    <col min="67" max="67" width="9.5546875" style="171" customWidth="1"/>
    <col min="68" max="68" width="4.21875" style="1" customWidth="1"/>
    <col min="69" max="69" width="9.109375" style="1" customWidth="1"/>
    <col min="70" max="70" width="29.6640625" style="1" customWidth="1"/>
    <col min="71" max="71" width="11.5546875" style="171" customWidth="1"/>
    <col min="72" max="72" width="15.21875" style="171" customWidth="1"/>
    <col min="73" max="73" width="11.5546875" style="171" customWidth="1"/>
    <col min="74" max="74" width="9.44140625" style="1" customWidth="1"/>
    <col min="75" max="75" width="9.21875" style="171" customWidth="1"/>
    <col min="76" max="76" width="9.5546875" style="171" customWidth="1"/>
    <col min="77" max="77" width="4.6640625" style="1" customWidth="1"/>
    <col min="78" max="78" width="9.109375" style="1" customWidth="1"/>
    <col min="79" max="79" width="29.6640625" style="1" customWidth="1"/>
    <col min="80" max="80" width="11.5546875" style="171" customWidth="1"/>
    <col min="81" max="81" width="15.21875" style="171" customWidth="1"/>
    <col min="82" max="82" width="11.5546875" style="171" customWidth="1"/>
    <col min="83" max="83" width="10" style="1" customWidth="1"/>
    <col min="84" max="84" width="9.21875" style="171" customWidth="1"/>
    <col min="85" max="85" width="9.5546875" style="171" customWidth="1"/>
    <col min="86" max="86" width="4.6640625" style="1" customWidth="1"/>
    <col min="87" max="87" width="9.109375" style="1" customWidth="1"/>
    <col min="88" max="88" width="29.6640625" style="1" customWidth="1"/>
    <col min="89" max="89" width="11.5546875" style="171" customWidth="1"/>
    <col min="90" max="90" width="15.21875" style="171" customWidth="1"/>
    <col min="91" max="91" width="11.5546875" style="171" customWidth="1"/>
    <col min="92" max="92" width="10.88671875" style="1" customWidth="1"/>
    <col min="93" max="93" width="9.21875" style="171" customWidth="1"/>
    <col min="94" max="94" width="9.5546875" style="171" customWidth="1"/>
    <col min="95" max="95" width="4.77734375" style="1" customWidth="1"/>
    <col min="96" max="96" width="9.109375" style="1" customWidth="1"/>
    <col min="97" max="97" width="9" style="1"/>
    <col min="98" max="98" width="11.5546875" style="170" customWidth="1"/>
    <col min="99" max="99" width="10.44140625" style="59" customWidth="1"/>
    <col min="100" max="101" width="6.44140625" style="1" customWidth="1"/>
    <col min="102" max="102" width="12.33203125" style="59" customWidth="1"/>
    <col min="103" max="103" width="10.44140625" style="59" hidden="1" customWidth="1"/>
    <col min="104" max="104" width="6.44140625" style="59" hidden="1" customWidth="1"/>
    <col min="105" max="105" width="6.109375" style="59" hidden="1" customWidth="1"/>
    <col min="106" max="106" width="10.44140625" style="59" hidden="1" customWidth="1"/>
    <col min="107" max="107" width="13.109375" style="83" hidden="1" customWidth="1"/>
    <col min="108" max="108" width="12.5546875" style="83" hidden="1" customWidth="1"/>
    <col min="109" max="109" width="11.6640625" style="1" customWidth="1"/>
    <col min="110" max="110" width="8.33203125" style="1" hidden="1" customWidth="1"/>
    <col min="111" max="111" width="9.33203125" style="1" hidden="1" customWidth="1"/>
    <col min="112" max="112" width="9.21875" style="1" hidden="1" customWidth="1"/>
    <col min="113" max="113" width="9" style="1"/>
    <col min="114" max="114" width="11.6640625" style="1" customWidth="1"/>
    <col min="115" max="115" width="9" style="1"/>
    <col min="116" max="116" width="11.5546875" style="1" customWidth="1"/>
    <col min="117" max="117" width="9" style="1"/>
    <col min="118" max="118" width="12.44140625" style="1" customWidth="1"/>
    <col min="119" max="119" width="14.44140625" style="1" customWidth="1"/>
    <col min="120" max="121" width="8.77734375" style="1" customWidth="1"/>
    <col min="122" max="122" width="6.5546875" style="1" customWidth="1"/>
    <col min="123" max="123" width="8.77734375" style="1" customWidth="1"/>
    <col min="124" max="16384" width="9" style="1"/>
  </cols>
  <sheetData>
    <row r="1" spans="1:123" s="56" customFormat="1" x14ac:dyDescent="0.35">
      <c r="A1" s="3" t="s">
        <v>0</v>
      </c>
      <c r="B1" s="3" t="s">
        <v>0</v>
      </c>
      <c r="C1" s="3" t="s">
        <v>796</v>
      </c>
      <c r="D1" s="3" t="s">
        <v>0</v>
      </c>
      <c r="E1" s="3" t="s">
        <v>0</v>
      </c>
      <c r="F1" s="172" t="s">
        <v>1</v>
      </c>
      <c r="G1" s="74" t="s">
        <v>0</v>
      </c>
      <c r="H1" s="173" t="s">
        <v>0</v>
      </c>
      <c r="I1" s="173" t="s">
        <v>0</v>
      </c>
      <c r="J1" s="173" t="s">
        <v>0</v>
      </c>
      <c r="K1" s="74" t="s">
        <v>0</v>
      </c>
      <c r="L1" s="173" t="s">
        <v>796</v>
      </c>
      <c r="M1" s="173" t="s">
        <v>1</v>
      </c>
      <c r="N1" s="74" t="s">
        <v>0</v>
      </c>
      <c r="O1" s="74" t="s">
        <v>0</v>
      </c>
      <c r="P1" s="181" t="s">
        <v>0</v>
      </c>
      <c r="Q1" s="173" t="s">
        <v>0</v>
      </c>
      <c r="R1" s="173" t="s">
        <v>0</v>
      </c>
      <c r="S1" s="173" t="s">
        <v>0</v>
      </c>
      <c r="T1" s="181" t="s">
        <v>0</v>
      </c>
      <c r="U1" s="173" t="s">
        <v>796</v>
      </c>
      <c r="V1" s="173" t="s">
        <v>1</v>
      </c>
      <c r="W1" s="181" t="s">
        <v>0</v>
      </c>
      <c r="X1" s="181" t="s">
        <v>0</v>
      </c>
      <c r="Y1" s="74" t="s">
        <v>0</v>
      </c>
      <c r="Z1" s="173" t="s">
        <v>0</v>
      </c>
      <c r="AA1" s="173" t="s">
        <v>0</v>
      </c>
      <c r="AB1" s="173" t="s">
        <v>0</v>
      </c>
      <c r="AC1" s="74" t="s">
        <v>0</v>
      </c>
      <c r="AD1" s="173" t="s">
        <v>796</v>
      </c>
      <c r="AE1" s="173" t="s">
        <v>1</v>
      </c>
      <c r="AF1" s="74" t="s">
        <v>0</v>
      </c>
      <c r="AG1" s="74" t="s">
        <v>0</v>
      </c>
      <c r="AH1" s="181" t="s">
        <v>0</v>
      </c>
      <c r="AI1" s="173" t="s">
        <v>0</v>
      </c>
      <c r="AJ1" s="173" t="s">
        <v>0</v>
      </c>
      <c r="AK1" s="173" t="s">
        <v>0</v>
      </c>
      <c r="AL1" s="181" t="s">
        <v>0</v>
      </c>
      <c r="AM1" s="173" t="s">
        <v>796</v>
      </c>
      <c r="AN1" s="173" t="s">
        <v>1</v>
      </c>
      <c r="AO1" s="181" t="s">
        <v>0</v>
      </c>
      <c r="AP1" s="181" t="s">
        <v>0</v>
      </c>
      <c r="AQ1" s="74" t="s">
        <v>0</v>
      </c>
      <c r="AR1" s="173" t="s">
        <v>0</v>
      </c>
      <c r="AS1" s="173" t="s">
        <v>0</v>
      </c>
      <c r="AT1" s="173" t="s">
        <v>0</v>
      </c>
      <c r="AU1" s="74" t="s">
        <v>0</v>
      </c>
      <c r="AV1" s="173" t="s">
        <v>796</v>
      </c>
      <c r="AW1" s="173" t="s">
        <v>1</v>
      </c>
      <c r="AX1" s="74" t="s">
        <v>0</v>
      </c>
      <c r="AY1" s="74" t="s">
        <v>0</v>
      </c>
      <c r="AZ1" s="181" t="s">
        <v>0</v>
      </c>
      <c r="BA1" s="173" t="s">
        <v>0</v>
      </c>
      <c r="BB1" s="173" t="s">
        <v>0</v>
      </c>
      <c r="BC1" s="173" t="s">
        <v>0</v>
      </c>
      <c r="BD1" s="181" t="s">
        <v>0</v>
      </c>
      <c r="BE1" s="173" t="s">
        <v>796</v>
      </c>
      <c r="BF1" s="173" t="s">
        <v>1</v>
      </c>
      <c r="BG1" s="181" t="s">
        <v>0</v>
      </c>
      <c r="BH1" s="181" t="s">
        <v>0</v>
      </c>
      <c r="BI1" s="74" t="s">
        <v>0</v>
      </c>
      <c r="BJ1" s="173" t="s">
        <v>0</v>
      </c>
      <c r="BK1" s="173" t="s">
        <v>0</v>
      </c>
      <c r="BL1" s="173" t="s">
        <v>0</v>
      </c>
      <c r="BM1" s="74" t="s">
        <v>0</v>
      </c>
      <c r="BN1" s="173" t="s">
        <v>796</v>
      </c>
      <c r="BO1" s="173" t="s">
        <v>1</v>
      </c>
      <c r="BP1" s="74" t="s">
        <v>0</v>
      </c>
      <c r="BQ1" s="74" t="s">
        <v>0</v>
      </c>
      <c r="BR1" s="181" t="s">
        <v>0</v>
      </c>
      <c r="BS1" s="173" t="s">
        <v>0</v>
      </c>
      <c r="BT1" s="173" t="s">
        <v>0</v>
      </c>
      <c r="BU1" s="173" t="s">
        <v>0</v>
      </c>
      <c r="BV1" s="181" t="s">
        <v>0</v>
      </c>
      <c r="BW1" s="173" t="s">
        <v>796</v>
      </c>
      <c r="BX1" s="173" t="s">
        <v>1</v>
      </c>
      <c r="BY1" s="181" t="s">
        <v>0</v>
      </c>
      <c r="BZ1" s="181" t="s">
        <v>0</v>
      </c>
      <c r="CA1" s="74" t="s">
        <v>0</v>
      </c>
      <c r="CB1" s="173" t="s">
        <v>0</v>
      </c>
      <c r="CC1" s="173" t="s">
        <v>0</v>
      </c>
      <c r="CD1" s="173" t="s">
        <v>0</v>
      </c>
      <c r="CE1" s="74" t="s">
        <v>0</v>
      </c>
      <c r="CF1" s="173" t="s">
        <v>796</v>
      </c>
      <c r="CG1" s="173" t="s">
        <v>1</v>
      </c>
      <c r="CH1" s="74" t="s">
        <v>0</v>
      </c>
      <c r="CI1" s="74" t="s">
        <v>0</v>
      </c>
      <c r="CJ1" s="181" t="s">
        <v>0</v>
      </c>
      <c r="CK1" s="173" t="s">
        <v>0</v>
      </c>
      <c r="CL1" s="173" t="s">
        <v>0</v>
      </c>
      <c r="CM1" s="173" t="s">
        <v>0</v>
      </c>
      <c r="CN1" s="181" t="s">
        <v>0</v>
      </c>
      <c r="CO1" s="173" t="s">
        <v>796</v>
      </c>
      <c r="CP1" s="173" t="s">
        <v>1</v>
      </c>
      <c r="CQ1" s="181" t="s">
        <v>0</v>
      </c>
      <c r="CR1" s="181" t="s">
        <v>0</v>
      </c>
      <c r="CT1" s="191"/>
      <c r="CU1" s="12" t="s">
        <v>1501</v>
      </c>
      <c r="DC1" s="208"/>
      <c r="DD1" s="208"/>
      <c r="DN1" s="56" t="s">
        <v>1502</v>
      </c>
    </row>
    <row r="2" spans="1:123" s="56" customFormat="1" ht="16.05" customHeight="1" x14ac:dyDescent="0.35">
      <c r="A2" s="3" t="s">
        <v>11</v>
      </c>
      <c r="B2" s="3" t="s">
        <v>14</v>
      </c>
      <c r="C2" s="3" t="s">
        <v>14</v>
      </c>
      <c r="D2" s="3" t="s">
        <v>11</v>
      </c>
      <c r="E2" s="3" t="s">
        <v>11</v>
      </c>
      <c r="F2" s="172" t="s">
        <v>11</v>
      </c>
      <c r="G2" s="74" t="s">
        <v>14</v>
      </c>
      <c r="H2" s="173" t="s">
        <v>14</v>
      </c>
      <c r="I2" s="173" t="s">
        <v>11</v>
      </c>
      <c r="J2" s="173" t="s">
        <v>11</v>
      </c>
      <c r="K2" s="74" t="s">
        <v>11</v>
      </c>
      <c r="L2" s="173" t="s">
        <v>13</v>
      </c>
      <c r="M2" s="173" t="s">
        <v>13</v>
      </c>
      <c r="N2" s="74" t="s">
        <v>11</v>
      </c>
      <c r="O2" s="74" t="s">
        <v>14</v>
      </c>
      <c r="P2" s="181" t="s">
        <v>14</v>
      </c>
      <c r="Q2" s="173" t="s">
        <v>14</v>
      </c>
      <c r="R2" s="173" t="s">
        <v>11</v>
      </c>
      <c r="S2" s="173" t="s">
        <v>11</v>
      </c>
      <c r="T2" s="181" t="s">
        <v>11</v>
      </c>
      <c r="U2" s="173" t="s">
        <v>13</v>
      </c>
      <c r="V2" s="173" t="s">
        <v>13</v>
      </c>
      <c r="W2" s="181" t="s">
        <v>11</v>
      </c>
      <c r="X2" s="181" t="s">
        <v>14</v>
      </c>
      <c r="Y2" s="74" t="s">
        <v>14</v>
      </c>
      <c r="Z2" s="173" t="s">
        <v>14</v>
      </c>
      <c r="AA2" s="173" t="s">
        <v>11</v>
      </c>
      <c r="AB2" s="173" t="s">
        <v>11</v>
      </c>
      <c r="AC2" s="74" t="s">
        <v>11</v>
      </c>
      <c r="AD2" s="173" t="s">
        <v>13</v>
      </c>
      <c r="AE2" s="173" t="s">
        <v>13</v>
      </c>
      <c r="AF2" s="74" t="s">
        <v>11</v>
      </c>
      <c r="AG2" s="74" t="s">
        <v>14</v>
      </c>
      <c r="AH2" s="181" t="s">
        <v>14</v>
      </c>
      <c r="AI2" s="173" t="s">
        <v>14</v>
      </c>
      <c r="AJ2" s="173" t="s">
        <v>11</v>
      </c>
      <c r="AK2" s="173" t="s">
        <v>11</v>
      </c>
      <c r="AL2" s="181" t="s">
        <v>11</v>
      </c>
      <c r="AM2" s="173" t="s">
        <v>13</v>
      </c>
      <c r="AN2" s="173" t="s">
        <v>13</v>
      </c>
      <c r="AO2" s="181" t="s">
        <v>11</v>
      </c>
      <c r="AP2" s="181" t="s">
        <v>14</v>
      </c>
      <c r="AQ2" s="74" t="s">
        <v>14</v>
      </c>
      <c r="AR2" s="173" t="s">
        <v>14</v>
      </c>
      <c r="AS2" s="173" t="s">
        <v>11</v>
      </c>
      <c r="AT2" s="173" t="s">
        <v>11</v>
      </c>
      <c r="AU2" s="74" t="s">
        <v>11</v>
      </c>
      <c r="AV2" s="173" t="s">
        <v>13</v>
      </c>
      <c r="AW2" s="173" t="s">
        <v>13</v>
      </c>
      <c r="AX2" s="74" t="s">
        <v>11</v>
      </c>
      <c r="AY2" s="74" t="s">
        <v>14</v>
      </c>
      <c r="AZ2" s="181" t="s">
        <v>14</v>
      </c>
      <c r="BA2" s="173" t="s">
        <v>14</v>
      </c>
      <c r="BB2" s="173" t="s">
        <v>11</v>
      </c>
      <c r="BC2" s="173" t="s">
        <v>11</v>
      </c>
      <c r="BD2" s="181" t="s">
        <v>11</v>
      </c>
      <c r="BE2" s="173" t="s">
        <v>13</v>
      </c>
      <c r="BF2" s="173" t="s">
        <v>13</v>
      </c>
      <c r="BG2" s="181" t="s">
        <v>11</v>
      </c>
      <c r="BH2" s="181" t="s">
        <v>14</v>
      </c>
      <c r="BI2" s="74" t="s">
        <v>14</v>
      </c>
      <c r="BJ2" s="173" t="s">
        <v>14</v>
      </c>
      <c r="BK2" s="173" t="s">
        <v>11</v>
      </c>
      <c r="BL2" s="173" t="s">
        <v>11</v>
      </c>
      <c r="BM2" s="74" t="s">
        <v>11</v>
      </c>
      <c r="BN2" s="173" t="s">
        <v>13</v>
      </c>
      <c r="BO2" s="173" t="s">
        <v>13</v>
      </c>
      <c r="BP2" s="74" t="s">
        <v>11</v>
      </c>
      <c r="BQ2" s="74" t="s">
        <v>14</v>
      </c>
      <c r="BR2" s="181" t="s">
        <v>14</v>
      </c>
      <c r="BS2" s="173" t="s">
        <v>14</v>
      </c>
      <c r="BT2" s="173" t="s">
        <v>11</v>
      </c>
      <c r="BU2" s="173" t="s">
        <v>11</v>
      </c>
      <c r="BV2" s="181" t="s">
        <v>11</v>
      </c>
      <c r="BW2" s="173" t="s">
        <v>13</v>
      </c>
      <c r="BX2" s="173" t="s">
        <v>13</v>
      </c>
      <c r="BY2" s="181" t="s">
        <v>11</v>
      </c>
      <c r="BZ2" s="181" t="s">
        <v>14</v>
      </c>
      <c r="CA2" s="74" t="s">
        <v>14</v>
      </c>
      <c r="CB2" s="173" t="s">
        <v>14</v>
      </c>
      <c r="CC2" s="173" t="s">
        <v>11</v>
      </c>
      <c r="CD2" s="173" t="s">
        <v>11</v>
      </c>
      <c r="CE2" s="74" t="s">
        <v>11</v>
      </c>
      <c r="CF2" s="173" t="s">
        <v>13</v>
      </c>
      <c r="CG2" s="173" t="s">
        <v>13</v>
      </c>
      <c r="CH2" s="74" t="s">
        <v>11</v>
      </c>
      <c r="CI2" s="74" t="s">
        <v>14</v>
      </c>
      <c r="CJ2" s="181" t="s">
        <v>14</v>
      </c>
      <c r="CK2" s="173" t="s">
        <v>14</v>
      </c>
      <c r="CL2" s="173" t="s">
        <v>11</v>
      </c>
      <c r="CM2" s="173" t="s">
        <v>11</v>
      </c>
      <c r="CN2" s="181" t="s">
        <v>11</v>
      </c>
      <c r="CO2" s="173" t="s">
        <v>13</v>
      </c>
      <c r="CP2" s="173" t="s">
        <v>13</v>
      </c>
      <c r="CQ2" s="181" t="s">
        <v>11</v>
      </c>
      <c r="CR2" s="181" t="s">
        <v>14</v>
      </c>
      <c r="CT2" s="191"/>
      <c r="CU2" s="1" t="s">
        <v>1503</v>
      </c>
      <c r="DC2" s="208"/>
      <c r="DD2" s="208"/>
      <c r="DN2" s="12" t="s">
        <v>1504</v>
      </c>
    </row>
    <row r="3" spans="1:123" s="56" customFormat="1" ht="16.95" customHeight="1" x14ac:dyDescent="0.25">
      <c r="A3" s="174" t="s">
        <v>1505</v>
      </c>
      <c r="B3" s="174" t="s">
        <v>1506</v>
      </c>
      <c r="C3" s="174" t="s">
        <v>1167</v>
      </c>
      <c r="D3" s="174" t="s">
        <v>1507</v>
      </c>
      <c r="E3" s="174" t="s">
        <v>1508</v>
      </c>
      <c r="F3" s="175" t="s">
        <v>1509</v>
      </c>
      <c r="G3" s="176" t="s">
        <v>1510</v>
      </c>
      <c r="H3" s="177" t="s">
        <v>1511</v>
      </c>
      <c r="I3" s="182" t="s">
        <v>1512</v>
      </c>
      <c r="J3" s="182" t="s">
        <v>1513</v>
      </c>
      <c r="K3" s="75" t="s">
        <v>1514</v>
      </c>
      <c r="L3" s="182" t="s">
        <v>1515</v>
      </c>
      <c r="M3" s="182" t="s">
        <v>1516</v>
      </c>
      <c r="N3" s="75" t="s">
        <v>1517</v>
      </c>
      <c r="O3" s="75" t="s">
        <v>1518</v>
      </c>
      <c r="P3" s="183" t="s">
        <v>1519</v>
      </c>
      <c r="Q3" s="177" t="s">
        <v>1520</v>
      </c>
      <c r="R3" s="182" t="s">
        <v>1521</v>
      </c>
      <c r="S3" s="182" t="s">
        <v>1522</v>
      </c>
      <c r="T3" s="185" t="s">
        <v>1523</v>
      </c>
      <c r="U3" s="182" t="s">
        <v>1524</v>
      </c>
      <c r="V3" s="182" t="s">
        <v>1525</v>
      </c>
      <c r="W3" s="185" t="s">
        <v>1526</v>
      </c>
      <c r="X3" s="185" t="s">
        <v>1527</v>
      </c>
      <c r="Y3" s="186" t="s">
        <v>1528</v>
      </c>
      <c r="Z3" s="177" t="s">
        <v>1529</v>
      </c>
      <c r="AA3" s="182" t="s">
        <v>1530</v>
      </c>
      <c r="AB3" s="182" t="s">
        <v>1531</v>
      </c>
      <c r="AC3" s="75" t="s">
        <v>1532</v>
      </c>
      <c r="AD3" s="182" t="s">
        <v>1533</v>
      </c>
      <c r="AE3" s="182" t="s">
        <v>1534</v>
      </c>
      <c r="AF3" s="75" t="s">
        <v>1535</v>
      </c>
      <c r="AG3" s="75" t="s">
        <v>1536</v>
      </c>
      <c r="AH3" s="183" t="s">
        <v>1537</v>
      </c>
      <c r="AI3" s="177" t="s">
        <v>1538</v>
      </c>
      <c r="AJ3" s="182" t="s">
        <v>1539</v>
      </c>
      <c r="AK3" s="182" t="s">
        <v>1540</v>
      </c>
      <c r="AL3" s="185" t="s">
        <v>1541</v>
      </c>
      <c r="AM3" s="182" t="s">
        <v>1542</v>
      </c>
      <c r="AN3" s="182" t="s">
        <v>1543</v>
      </c>
      <c r="AO3" s="185" t="s">
        <v>1544</v>
      </c>
      <c r="AP3" s="185" t="s">
        <v>1545</v>
      </c>
      <c r="AQ3" s="186" t="s">
        <v>1546</v>
      </c>
      <c r="AR3" s="177" t="s">
        <v>1547</v>
      </c>
      <c r="AS3" s="182" t="s">
        <v>1548</v>
      </c>
      <c r="AT3" s="182" t="s">
        <v>1549</v>
      </c>
      <c r="AU3" s="75" t="s">
        <v>1550</v>
      </c>
      <c r="AV3" s="182" t="s">
        <v>1551</v>
      </c>
      <c r="AW3" s="182" t="s">
        <v>1552</v>
      </c>
      <c r="AX3" s="75" t="s">
        <v>1553</v>
      </c>
      <c r="AY3" s="75" t="s">
        <v>1554</v>
      </c>
      <c r="AZ3" s="183" t="s">
        <v>1555</v>
      </c>
      <c r="BA3" s="177" t="s">
        <v>1556</v>
      </c>
      <c r="BB3" s="177" t="s">
        <v>1557</v>
      </c>
      <c r="BC3" s="182" t="s">
        <v>1558</v>
      </c>
      <c r="BD3" s="183" t="s">
        <v>1559</v>
      </c>
      <c r="BE3" s="177" t="s">
        <v>1560</v>
      </c>
      <c r="BF3" s="177" t="s">
        <v>1561</v>
      </c>
      <c r="BG3" s="183" t="s">
        <v>1562</v>
      </c>
      <c r="BH3" s="185" t="s">
        <v>1563</v>
      </c>
      <c r="BI3" s="186" t="s">
        <v>1564</v>
      </c>
      <c r="BJ3" s="177" t="s">
        <v>1565</v>
      </c>
      <c r="BK3" s="182" t="s">
        <v>1566</v>
      </c>
      <c r="BL3" s="182" t="s">
        <v>1567</v>
      </c>
      <c r="BM3" s="75" t="s">
        <v>1568</v>
      </c>
      <c r="BN3" s="182" t="s">
        <v>1569</v>
      </c>
      <c r="BO3" s="182" t="s">
        <v>1570</v>
      </c>
      <c r="BP3" s="75" t="s">
        <v>1571</v>
      </c>
      <c r="BQ3" s="75" t="s">
        <v>1572</v>
      </c>
      <c r="BR3" s="183" t="s">
        <v>1573</v>
      </c>
      <c r="BS3" s="177" t="s">
        <v>1574</v>
      </c>
      <c r="BT3" s="182" t="s">
        <v>1575</v>
      </c>
      <c r="BU3" s="182" t="s">
        <v>1576</v>
      </c>
      <c r="BV3" s="185" t="s">
        <v>1577</v>
      </c>
      <c r="BW3" s="182" t="s">
        <v>1578</v>
      </c>
      <c r="BX3" s="182" t="s">
        <v>1579</v>
      </c>
      <c r="BY3" s="185" t="s">
        <v>1580</v>
      </c>
      <c r="BZ3" s="185" t="s">
        <v>1581</v>
      </c>
      <c r="CA3" s="186" t="s">
        <v>1582</v>
      </c>
      <c r="CB3" s="177" t="s">
        <v>1583</v>
      </c>
      <c r="CC3" s="182" t="s">
        <v>1584</v>
      </c>
      <c r="CD3" s="182" t="s">
        <v>1585</v>
      </c>
      <c r="CE3" s="75" t="s">
        <v>1586</v>
      </c>
      <c r="CF3" s="182" t="s">
        <v>1587</v>
      </c>
      <c r="CG3" s="182" t="s">
        <v>1588</v>
      </c>
      <c r="CH3" s="75" t="s">
        <v>1589</v>
      </c>
      <c r="CI3" s="75" t="s">
        <v>1590</v>
      </c>
      <c r="CJ3" s="190" t="s">
        <v>1591</v>
      </c>
      <c r="CK3" s="177" t="s">
        <v>1592</v>
      </c>
      <c r="CL3" s="182" t="s">
        <v>1593</v>
      </c>
      <c r="CM3" s="182" t="s">
        <v>1594</v>
      </c>
      <c r="CN3" s="185" t="s">
        <v>1595</v>
      </c>
      <c r="CO3" s="182" t="s">
        <v>1596</v>
      </c>
      <c r="CP3" s="182" t="s">
        <v>1597</v>
      </c>
      <c r="CQ3" s="185" t="s">
        <v>1598</v>
      </c>
      <c r="CR3" s="185" t="s">
        <v>1599</v>
      </c>
      <c r="CT3" s="191"/>
      <c r="CU3" s="668" t="s">
        <v>1600</v>
      </c>
      <c r="CV3" s="669"/>
      <c r="CW3" s="669"/>
      <c r="CX3" s="670"/>
      <c r="CY3" s="671" t="s">
        <v>1601</v>
      </c>
      <c r="CZ3" s="672"/>
      <c r="DA3" s="672"/>
      <c r="DB3" s="673"/>
      <c r="DC3" s="208"/>
      <c r="DD3" s="208"/>
    </row>
    <row r="4" spans="1:123" s="56" customFormat="1" ht="184.8" x14ac:dyDescent="0.35">
      <c r="A4" s="76" t="s">
        <v>1602</v>
      </c>
      <c r="B4" s="76" t="s">
        <v>1603</v>
      </c>
      <c r="C4" s="60" t="s">
        <v>1604</v>
      </c>
      <c r="D4" s="76" t="s">
        <v>1605</v>
      </c>
      <c r="E4" s="76" t="s">
        <v>1606</v>
      </c>
      <c r="F4" s="178" t="s">
        <v>1607</v>
      </c>
      <c r="G4" s="4" t="s">
        <v>1608</v>
      </c>
      <c r="H4" s="179" t="s">
        <v>1609</v>
      </c>
      <c r="I4" s="184" t="s">
        <v>1610</v>
      </c>
      <c r="J4" s="184" t="s">
        <v>1611</v>
      </c>
      <c r="K4" s="75" t="s">
        <v>1612</v>
      </c>
      <c r="L4" s="182" t="s">
        <v>1613</v>
      </c>
      <c r="M4" s="184" t="s">
        <v>1614</v>
      </c>
      <c r="N4" s="75" t="s">
        <v>1615</v>
      </c>
      <c r="O4" s="75" t="s">
        <v>1616</v>
      </c>
      <c r="P4" s="185"/>
      <c r="Q4" s="182"/>
      <c r="R4" s="184" t="s">
        <v>1617</v>
      </c>
      <c r="S4" s="182"/>
      <c r="T4" s="185"/>
      <c r="U4" s="182" t="s">
        <v>1618</v>
      </c>
      <c r="V4" s="182" t="s">
        <v>1614</v>
      </c>
      <c r="W4" s="75" t="s">
        <v>1615</v>
      </c>
      <c r="X4" s="185" t="s">
        <v>1619</v>
      </c>
      <c r="Y4" s="4"/>
      <c r="Z4" s="184"/>
      <c r="AA4" s="184" t="s">
        <v>1620</v>
      </c>
      <c r="AB4" s="184"/>
      <c r="AC4" s="187"/>
      <c r="AD4" s="184"/>
      <c r="AE4" s="184"/>
      <c r="AF4" s="75" t="s">
        <v>1615</v>
      </c>
      <c r="AG4" s="75" t="s">
        <v>1616</v>
      </c>
      <c r="AH4" s="185"/>
      <c r="AI4" s="182"/>
      <c r="AJ4" s="184" t="s">
        <v>1621</v>
      </c>
      <c r="AK4" s="182"/>
      <c r="AL4" s="185"/>
      <c r="AM4" s="182"/>
      <c r="AN4" s="182"/>
      <c r="AO4" s="75" t="s">
        <v>1615</v>
      </c>
      <c r="AP4" s="185" t="s">
        <v>1619</v>
      </c>
      <c r="AQ4" s="4"/>
      <c r="AR4" s="179"/>
      <c r="AS4" s="184" t="s">
        <v>1622</v>
      </c>
      <c r="AT4" s="184"/>
      <c r="AU4" s="187"/>
      <c r="AV4" s="184"/>
      <c r="AW4" s="184"/>
      <c r="AX4" s="75" t="s">
        <v>1615</v>
      </c>
      <c r="AY4" s="75" t="s">
        <v>1616</v>
      </c>
      <c r="AZ4" s="185"/>
      <c r="BA4" s="182"/>
      <c r="BB4" s="188" t="s">
        <v>1623</v>
      </c>
      <c r="BC4" s="182"/>
      <c r="BD4" s="181"/>
      <c r="BE4" s="173"/>
      <c r="BF4" s="173"/>
      <c r="BG4" s="75" t="s">
        <v>1615</v>
      </c>
      <c r="BH4" s="185" t="s">
        <v>1619</v>
      </c>
      <c r="BI4" s="4" t="s">
        <v>1624</v>
      </c>
      <c r="BJ4" s="179" t="s">
        <v>1609</v>
      </c>
      <c r="BK4" s="184" t="s">
        <v>1625</v>
      </c>
      <c r="BL4" s="184" t="s">
        <v>1626</v>
      </c>
      <c r="BM4" s="75" t="s">
        <v>1612</v>
      </c>
      <c r="BN4" s="182" t="s">
        <v>1627</v>
      </c>
      <c r="BO4" s="184" t="s">
        <v>1614</v>
      </c>
      <c r="BP4" s="75" t="s">
        <v>1615</v>
      </c>
      <c r="BQ4" s="75" t="s">
        <v>1616</v>
      </c>
      <c r="BR4" s="189" t="s">
        <v>1628</v>
      </c>
      <c r="BS4" s="179" t="s">
        <v>1609</v>
      </c>
      <c r="BT4" s="184" t="s">
        <v>1629</v>
      </c>
      <c r="BU4" s="184" t="s">
        <v>1630</v>
      </c>
      <c r="BV4" s="185" t="s">
        <v>1612</v>
      </c>
      <c r="BW4" s="182" t="s">
        <v>1627</v>
      </c>
      <c r="BX4" s="184" t="s">
        <v>1614</v>
      </c>
      <c r="BY4" s="75" t="s">
        <v>1615</v>
      </c>
      <c r="BZ4" s="185" t="s">
        <v>1619</v>
      </c>
      <c r="CA4" s="4" t="s">
        <v>1631</v>
      </c>
      <c r="CB4" s="179" t="s">
        <v>1609</v>
      </c>
      <c r="CC4" s="184" t="s">
        <v>1632</v>
      </c>
      <c r="CD4" s="184" t="s">
        <v>1633</v>
      </c>
      <c r="CE4" s="75" t="s">
        <v>1612</v>
      </c>
      <c r="CF4" s="182" t="s">
        <v>1627</v>
      </c>
      <c r="CG4" s="184" t="s">
        <v>1614</v>
      </c>
      <c r="CH4" s="75" t="s">
        <v>1615</v>
      </c>
      <c r="CI4" s="75" t="s">
        <v>1616</v>
      </c>
      <c r="CJ4" s="189" t="s">
        <v>1634</v>
      </c>
      <c r="CK4" s="179" t="s">
        <v>1609</v>
      </c>
      <c r="CL4" s="184" t="s">
        <v>1635</v>
      </c>
      <c r="CM4" s="184" t="s">
        <v>1636</v>
      </c>
      <c r="CN4" s="185" t="s">
        <v>1612</v>
      </c>
      <c r="CO4" s="182" t="s">
        <v>1627</v>
      </c>
      <c r="CP4" s="184" t="s">
        <v>1614</v>
      </c>
      <c r="CQ4" s="75" t="s">
        <v>1615</v>
      </c>
      <c r="CR4" s="185" t="s">
        <v>1637</v>
      </c>
      <c r="CT4" s="191"/>
      <c r="CU4" s="192" t="s">
        <v>1638</v>
      </c>
      <c r="CV4" s="193" t="s">
        <v>1134</v>
      </c>
      <c r="CW4" s="193" t="s">
        <v>1639</v>
      </c>
      <c r="CX4" s="194" t="s">
        <v>99</v>
      </c>
      <c r="CY4" s="195" t="s">
        <v>1638</v>
      </c>
      <c r="CZ4" s="193" t="s">
        <v>1134</v>
      </c>
      <c r="DA4" s="193" t="s">
        <v>1135</v>
      </c>
      <c r="DB4" s="194" t="s">
        <v>1640</v>
      </c>
      <c r="DC4" s="209" t="s">
        <v>1641</v>
      </c>
      <c r="DD4" s="209" t="s">
        <v>1642</v>
      </c>
      <c r="DE4" s="210" t="s">
        <v>1643</v>
      </c>
      <c r="DF4" s="211" t="s">
        <v>1644</v>
      </c>
      <c r="DG4" s="212" t="s">
        <v>1627</v>
      </c>
      <c r="DH4" s="213" t="s">
        <v>1645</v>
      </c>
      <c r="DI4" s="113" t="s">
        <v>1646</v>
      </c>
      <c r="DJ4" s="220"/>
      <c r="DK4" s="113"/>
      <c r="DL4" s="113"/>
      <c r="DM4" s="113"/>
      <c r="DN4" s="221"/>
      <c r="DO4" s="49" t="s">
        <v>1647</v>
      </c>
      <c r="DP4" s="49" t="s">
        <v>1648</v>
      </c>
      <c r="DQ4" s="49" t="s">
        <v>1134</v>
      </c>
      <c r="DR4" s="226" t="s">
        <v>98</v>
      </c>
      <c r="DS4" s="56" t="s">
        <v>1649</v>
      </c>
    </row>
    <row r="5" spans="1:123" x14ac:dyDescent="0.35">
      <c r="A5" s="1">
        <v>1</v>
      </c>
      <c r="B5" s="1" t="s">
        <v>1650</v>
      </c>
      <c r="C5" s="56" t="s">
        <v>1651</v>
      </c>
      <c r="D5" s="96">
        <v>0</v>
      </c>
      <c r="E5" s="6">
        <f>D6</f>
        <v>100000</v>
      </c>
      <c r="F5" s="96">
        <v>5000</v>
      </c>
      <c r="G5" s="39" t="str">
        <f>CV5&amp;"|"&amp;CW5&amp;"|"&amp;CX5</f>
        <v>1|2|150000</v>
      </c>
      <c r="H5" s="180" t="str">
        <f>CZ5&amp;"|"&amp;DA5&amp;"|"&amp;DB5</f>
        <v>1|2|30000</v>
      </c>
      <c r="I5" s="171">
        <f>DC5</f>
        <v>159000</v>
      </c>
      <c r="J5" s="171">
        <f>DE5</f>
        <v>150000</v>
      </c>
      <c r="K5" s="1">
        <f>DF5</f>
        <v>1</v>
      </c>
      <c r="L5" s="171">
        <f t="shared" ref="L5:N5" si="0">DG5</f>
        <v>1</v>
      </c>
      <c r="M5" s="171">
        <f t="shared" si="0"/>
        <v>0.3</v>
      </c>
      <c r="N5" s="1">
        <f t="shared" si="0"/>
        <v>1</v>
      </c>
      <c r="O5" s="1" t="s">
        <v>1471</v>
      </c>
      <c r="P5" s="39" t="str">
        <f>CV6&amp;"|"&amp;CW6&amp;"|"&amp;CX6</f>
        <v>1|2|2000</v>
      </c>
      <c r="Q5" s="180" t="str">
        <f>CZ6&amp;"|"&amp;DA6&amp;"|"&amp;DB6</f>
        <v>1|2|400</v>
      </c>
      <c r="R5" s="171">
        <f>DC6</f>
        <v>2300</v>
      </c>
      <c r="S5" s="171">
        <f>DE6</f>
        <v>2000</v>
      </c>
      <c r="T5" s="1">
        <f>DF6</f>
        <v>0</v>
      </c>
      <c r="U5" s="171">
        <f t="shared" ref="U5:W5" si="1">DG6</f>
        <v>0.5</v>
      </c>
      <c r="V5" s="171">
        <f t="shared" si="1"/>
        <v>0.75</v>
      </c>
      <c r="W5" s="83">
        <f t="shared" si="1"/>
        <v>2</v>
      </c>
      <c r="X5" s="1" t="s">
        <v>1071</v>
      </c>
      <c r="Y5" s="39" t="str">
        <f>CV7&amp;"|"&amp;CW7&amp;"|"&amp;CX7</f>
        <v>1|2|5000</v>
      </c>
      <c r="Z5" s="171" t="str">
        <f>CZ7&amp;"|"&amp;DA7&amp;"|"&amp;DB7</f>
        <v>1|2|1000</v>
      </c>
      <c r="AA5" s="171">
        <f>DC7</f>
        <v>5750</v>
      </c>
      <c r="AB5" s="171">
        <f>DE7</f>
        <v>5000</v>
      </c>
      <c r="AC5" s="1">
        <f>DF7</f>
        <v>0</v>
      </c>
      <c r="AD5" s="171">
        <f t="shared" ref="AD5:AF5" si="2">DG7</f>
        <v>1</v>
      </c>
      <c r="AE5" s="171">
        <f t="shared" si="2"/>
        <v>0.75</v>
      </c>
      <c r="AF5" s="83">
        <f t="shared" si="2"/>
        <v>9</v>
      </c>
      <c r="AG5" s="1" t="s">
        <v>1071</v>
      </c>
      <c r="AH5" s="39" t="str">
        <f>CV8&amp;"|"&amp;CW8&amp;"|"&amp;CX8</f>
        <v>1|2|10000</v>
      </c>
      <c r="AI5" s="180" t="str">
        <f>CZ8&amp;"|"&amp;DA8&amp;"|"&amp;DB8</f>
        <v>1|2|2000</v>
      </c>
      <c r="AJ5" s="171">
        <f>DC8</f>
        <v>11500</v>
      </c>
      <c r="AK5" s="171">
        <f>DE8</f>
        <v>10000</v>
      </c>
      <c r="AL5" s="1">
        <f>DF8</f>
        <v>0</v>
      </c>
      <c r="AM5" s="171">
        <f t="shared" ref="AM5:AO5" si="3">DG8</f>
        <v>0.8</v>
      </c>
      <c r="AN5" s="171">
        <f t="shared" si="3"/>
        <v>0.75</v>
      </c>
      <c r="AO5" s="83">
        <f t="shared" si="3"/>
        <v>4</v>
      </c>
      <c r="AP5" s="1" t="s">
        <v>1071</v>
      </c>
      <c r="AQ5" s="39" t="str">
        <f>CV9&amp;"|"&amp;CW9&amp;"|"&amp;CX9</f>
        <v>1|2|20000</v>
      </c>
      <c r="AR5" s="180" t="str">
        <f>CZ9&amp;"|"&amp;DA9&amp;"|"&amp;DB9</f>
        <v>1|2|4000</v>
      </c>
      <c r="AS5" s="171">
        <f>DC9</f>
        <v>22000</v>
      </c>
      <c r="AT5" s="171">
        <f>DE9</f>
        <v>20000</v>
      </c>
      <c r="AU5" s="1">
        <f>DF9</f>
        <v>0</v>
      </c>
      <c r="AV5" s="171">
        <f t="shared" ref="AV5:AX5" si="4">DG9</f>
        <v>0.5</v>
      </c>
      <c r="AW5" s="171">
        <f t="shared" si="4"/>
        <v>0.5</v>
      </c>
      <c r="AX5" s="83">
        <f t="shared" si="4"/>
        <v>7</v>
      </c>
      <c r="AY5" s="1" t="s">
        <v>1071</v>
      </c>
      <c r="AZ5" s="39" t="str">
        <f>CV10&amp;"|"&amp;CW10&amp;"|"&amp;CX10</f>
        <v>1|2|40000</v>
      </c>
      <c r="BA5" s="180" t="str">
        <f>CZ10&amp;"|"&amp;DA10&amp;"|"&amp;DB10</f>
        <v>1|2|8000</v>
      </c>
      <c r="BB5" s="171">
        <f>DC10</f>
        <v>42400</v>
      </c>
      <c r="BC5" s="171">
        <f>DE10</f>
        <v>40000</v>
      </c>
      <c r="BD5" s="1">
        <f>DF10</f>
        <v>0</v>
      </c>
      <c r="BE5" s="171">
        <f>DG10</f>
        <v>1</v>
      </c>
      <c r="BF5" s="171">
        <f>DH10</f>
        <v>0.3</v>
      </c>
      <c r="BG5" s="83">
        <f>DI10</f>
        <v>10</v>
      </c>
      <c r="BH5" s="1" t="s">
        <v>1071</v>
      </c>
      <c r="BI5" s="39" t="str">
        <f>CV11&amp;"|"&amp;CW11&amp;"|"&amp;CX11</f>
        <v>1|2|60000</v>
      </c>
      <c r="BJ5" s="180" t="str">
        <f>CZ11&amp;"|"&amp;DA11&amp;"|"&amp;DB11</f>
        <v>1|2|250</v>
      </c>
      <c r="BK5" s="171">
        <f>DC11</f>
        <v>60000</v>
      </c>
      <c r="BL5" s="171">
        <f>DE11</f>
        <v>60000</v>
      </c>
      <c r="BM5" s="1">
        <f>DF11</f>
        <v>0</v>
      </c>
      <c r="BN5" s="171">
        <f>DG11</f>
        <v>0</v>
      </c>
      <c r="BO5" s="171">
        <f>DH11</f>
        <v>0</v>
      </c>
      <c r="BP5" s="83">
        <f>DI11</f>
        <v>3</v>
      </c>
      <c r="BQ5" s="1" t="s">
        <v>1071</v>
      </c>
      <c r="BR5" s="39" t="str">
        <f>CV12&amp;"|"&amp;CW12&amp;"|"&amp;CX12</f>
        <v>1|2|80000</v>
      </c>
      <c r="BS5" s="180" t="str">
        <f>CZ12&amp;"|"&amp;DA12&amp;"|"&amp;DB12</f>
        <v>1|2|260</v>
      </c>
      <c r="BT5" s="171">
        <f>DC12</f>
        <v>80000</v>
      </c>
      <c r="BU5" s="171">
        <f>DE12</f>
        <v>80000</v>
      </c>
      <c r="BV5" s="1">
        <f>DF12</f>
        <v>0</v>
      </c>
      <c r="BW5" s="171">
        <f>DG12</f>
        <v>0</v>
      </c>
      <c r="BX5" s="171">
        <f>DH12</f>
        <v>0</v>
      </c>
      <c r="BY5" s="83">
        <f>DI12</f>
        <v>5</v>
      </c>
      <c r="BZ5" s="1" t="s">
        <v>1071</v>
      </c>
      <c r="CA5" s="39" t="str">
        <f>CV13&amp;"|"&amp;CW13&amp;"|"&amp;CX13</f>
        <v>1|2|100000</v>
      </c>
      <c r="CB5" s="180" t="str">
        <f>CZ13&amp;"|"&amp;DA13&amp;"|"&amp;DB13</f>
        <v>1|2|270</v>
      </c>
      <c r="CC5" s="171">
        <f>DC13</f>
        <v>100000</v>
      </c>
      <c r="CD5" s="171">
        <f>DE13</f>
        <v>100000</v>
      </c>
      <c r="CE5" s="1">
        <f>DF13</f>
        <v>0</v>
      </c>
      <c r="CF5" s="171">
        <f>DG13</f>
        <v>0</v>
      </c>
      <c r="CG5" s="171">
        <f>DH13</f>
        <v>0</v>
      </c>
      <c r="CH5" s="83">
        <f>DI13</f>
        <v>8</v>
      </c>
      <c r="CI5" s="1" t="s">
        <v>885</v>
      </c>
      <c r="CJ5" s="39" t="str">
        <f>CV14&amp;"|"&amp;CW14&amp;"|"&amp;CX14</f>
        <v>1|2|120000</v>
      </c>
      <c r="CK5" s="180" t="str">
        <f>CZ14&amp;"|"&amp;DA14&amp;"|"&amp;DB14</f>
        <v>1|2|280</v>
      </c>
      <c r="CL5" s="171">
        <f>DC14</f>
        <v>120000</v>
      </c>
      <c r="CM5" s="171">
        <f>DE14</f>
        <v>120000</v>
      </c>
      <c r="CN5" s="1">
        <f>DF14</f>
        <v>0</v>
      </c>
      <c r="CO5" s="171">
        <f>DG14</f>
        <v>0</v>
      </c>
      <c r="CP5" s="171">
        <f>DH14</f>
        <v>0</v>
      </c>
      <c r="CQ5" s="83">
        <f>DI14</f>
        <v>6</v>
      </c>
      <c r="CR5" s="1" t="s">
        <v>885</v>
      </c>
      <c r="CT5" s="665" t="str">
        <f>"抽奖
第1档
"&amp;D5&amp;"~
"&amp;E5</f>
        <v>抽奖
第1档
0~
100000</v>
      </c>
      <c r="CU5" s="196" t="s">
        <v>169</v>
      </c>
      <c r="CV5" s="197">
        <f t="shared" ref="CV5:CV40" si="5">VLOOKUP(CU5,DN:DR,4,0)</f>
        <v>1</v>
      </c>
      <c r="CW5" s="197">
        <f t="shared" ref="CW5:CW44" si="6">VLOOKUP(CU5,DN:DR,5,0)</f>
        <v>2</v>
      </c>
      <c r="CX5" s="198">
        <v>150000</v>
      </c>
      <c r="CY5" s="196" t="str">
        <f>CU5</f>
        <v>金币</v>
      </c>
      <c r="CZ5" s="199">
        <f>VLOOKUP(CY5,DN:DR,4,0)</f>
        <v>1</v>
      </c>
      <c r="DA5" s="199">
        <f>VLOOKUP(CY5,DN:DR,5,0)</f>
        <v>2</v>
      </c>
      <c r="DB5" s="198">
        <f t="shared" ref="DB5:DB10" si="7">ROUNDUP(CX5/5,0)</f>
        <v>30000</v>
      </c>
      <c r="DC5" s="199">
        <f t="shared" ref="DC5:DC44" si="8">DD5*DH5+DE5</f>
        <v>159000</v>
      </c>
      <c r="DD5" s="199">
        <f t="shared" ref="DD5:DD36" si="9">VLOOKUP(CY5,DN:DR,3,0)/$DP$7*DB5*VLOOKUP(CY5,DN:DS,6,0)</f>
        <v>30000</v>
      </c>
      <c r="DE5" s="214">
        <f t="shared" ref="DE5:DE36" si="10">VLOOKUP(CU5,DN:DR,3,0)/$DP$7*CX5*VLOOKUP(CU5,DN:DS,6,0)</f>
        <v>150000</v>
      </c>
      <c r="DF5" s="215">
        <v>1</v>
      </c>
      <c r="DG5" s="216">
        <v>1</v>
      </c>
      <c r="DH5" s="216">
        <v>0.3</v>
      </c>
      <c r="DI5" s="129">
        <v>1</v>
      </c>
      <c r="DJ5" s="222"/>
      <c r="DK5" s="1">
        <f>CX5*VLOOKUP(CU5,DN:DS,6,0)</f>
        <v>150000</v>
      </c>
      <c r="DL5" s="1">
        <f>VLOOKUP(CU5,DN:DR,3,0)</f>
        <v>5.0000000000000002E-5</v>
      </c>
      <c r="DN5" s="10" t="s">
        <v>1652</v>
      </c>
      <c r="DO5" s="11">
        <v>1</v>
      </c>
      <c r="DP5" s="11">
        <v>10</v>
      </c>
      <c r="DQ5" s="11">
        <v>1</v>
      </c>
      <c r="DR5" s="19"/>
      <c r="DS5" s="227">
        <v>1</v>
      </c>
    </row>
    <row r="6" spans="1:123" x14ac:dyDescent="0.35">
      <c r="A6" s="1">
        <v>2</v>
      </c>
      <c r="B6" s="1" t="s">
        <v>1650</v>
      </c>
      <c r="C6" s="56" t="s">
        <v>1653</v>
      </c>
      <c r="D6" s="96">
        <v>100000</v>
      </c>
      <c r="E6" s="6">
        <f>D7</f>
        <v>500000</v>
      </c>
      <c r="F6" s="96">
        <v>100000</v>
      </c>
      <c r="G6" s="39" t="str">
        <f>CV15&amp;"|"&amp;CW15&amp;"|"&amp;CX15</f>
        <v>1|2|750000</v>
      </c>
      <c r="H6" s="180" t="str">
        <f>CZ15&amp;"|"&amp;DA15&amp;"|"&amp;DB15</f>
        <v>1|2|150000</v>
      </c>
      <c r="I6" s="171">
        <f>DC15</f>
        <v>795000</v>
      </c>
      <c r="J6" s="171">
        <f>DE15</f>
        <v>750000</v>
      </c>
      <c r="K6" s="1">
        <f>DF15</f>
        <v>1</v>
      </c>
      <c r="L6" s="171">
        <f t="shared" ref="L6:N6" si="11">DG15</f>
        <v>1</v>
      </c>
      <c r="M6" s="171">
        <f t="shared" si="11"/>
        <v>0.3</v>
      </c>
      <c r="N6" s="1">
        <f t="shared" si="11"/>
        <v>1</v>
      </c>
      <c r="O6" s="1" t="s">
        <v>1471</v>
      </c>
      <c r="P6" s="39" t="str">
        <f>CV16&amp;"|"&amp;CW16&amp;"|"&amp;CX16</f>
        <v>2|1003|2</v>
      </c>
      <c r="Q6" s="180" t="str">
        <f>CZ16&amp;"|"&amp;DA16&amp;"|"&amp;DB16</f>
        <v>2|1003|1</v>
      </c>
      <c r="R6" s="171">
        <f>DC16</f>
        <v>550000</v>
      </c>
      <c r="S6" s="171">
        <f>DE16</f>
        <v>400000</v>
      </c>
      <c r="T6" s="1">
        <f>DF16</f>
        <v>0</v>
      </c>
      <c r="U6" s="171">
        <f t="shared" ref="U6:W6" si="12">DG16</f>
        <v>0.5</v>
      </c>
      <c r="V6" s="171">
        <f t="shared" si="12"/>
        <v>0.75</v>
      </c>
      <c r="W6" s="83">
        <f t="shared" si="12"/>
        <v>5</v>
      </c>
      <c r="X6" s="1" t="s">
        <v>1071</v>
      </c>
      <c r="Y6" s="39" t="str">
        <f>CV17&amp;"|"&amp;CW17&amp;"|"&amp;CX17</f>
        <v>1|2|60000</v>
      </c>
      <c r="Z6" s="171" t="str">
        <f>CZ17&amp;"|"&amp;DA17&amp;"|"&amp;DB17</f>
        <v>1|2|12000</v>
      </c>
      <c r="AA6" s="171">
        <f>DC17</f>
        <v>69000</v>
      </c>
      <c r="AB6" s="171">
        <f>DE17</f>
        <v>60000</v>
      </c>
      <c r="AC6" s="1">
        <f>DF17</f>
        <v>0</v>
      </c>
      <c r="AD6" s="171">
        <f t="shared" ref="AD6:AF6" si="13">DG17</f>
        <v>1</v>
      </c>
      <c r="AE6" s="171">
        <f t="shared" si="13"/>
        <v>0.75</v>
      </c>
      <c r="AF6" s="83">
        <f t="shared" si="13"/>
        <v>9</v>
      </c>
      <c r="AG6" s="1" t="s">
        <v>1071</v>
      </c>
      <c r="AH6" s="39" t="str">
        <f>CV18&amp;"|"&amp;CW18&amp;"|"&amp;CX18</f>
        <v>1|2|100000</v>
      </c>
      <c r="AI6" s="180" t="str">
        <f>CZ18&amp;"|"&amp;DA18&amp;"|"&amp;DB18</f>
        <v>1|2|20000</v>
      </c>
      <c r="AJ6" s="171">
        <f>DC18</f>
        <v>115000</v>
      </c>
      <c r="AK6" s="171">
        <f>DE18</f>
        <v>100000</v>
      </c>
      <c r="AL6" s="1">
        <f>DF18</f>
        <v>0</v>
      </c>
      <c r="AM6" s="171">
        <f t="shared" ref="AM6:AO6" si="14">DG18</f>
        <v>0.5</v>
      </c>
      <c r="AN6" s="171">
        <f t="shared" si="14"/>
        <v>0.75</v>
      </c>
      <c r="AO6" s="83">
        <f t="shared" si="14"/>
        <v>4</v>
      </c>
      <c r="AP6" s="1" t="s">
        <v>1071</v>
      </c>
      <c r="AQ6" s="39" t="str">
        <f>CV19&amp;"|"&amp;CW19&amp;"|"&amp;CX19</f>
        <v>1|2|200000</v>
      </c>
      <c r="AR6" s="180" t="str">
        <f>CZ19&amp;"|"&amp;DA19&amp;"|"&amp;DB19</f>
        <v>1|2|40000</v>
      </c>
      <c r="AS6" s="171">
        <f>DC19</f>
        <v>220000</v>
      </c>
      <c r="AT6" s="171">
        <f>DE19</f>
        <v>200000</v>
      </c>
      <c r="AU6" s="1">
        <f>DF19</f>
        <v>0</v>
      </c>
      <c r="AV6" s="171">
        <f t="shared" ref="AV6:AX6" si="15">DG19</f>
        <v>0.5</v>
      </c>
      <c r="AW6" s="171">
        <f t="shared" si="15"/>
        <v>0.5</v>
      </c>
      <c r="AX6" s="83">
        <f t="shared" si="15"/>
        <v>7</v>
      </c>
      <c r="AY6" s="1" t="s">
        <v>1071</v>
      </c>
      <c r="AZ6" s="39" t="str">
        <f>CV20&amp;"|"&amp;CW20&amp;"|"&amp;CX20</f>
        <v>1|2|300000</v>
      </c>
      <c r="BA6" s="180" t="str">
        <f>CZ20&amp;"|"&amp;DA20&amp;"|"&amp;DB20</f>
        <v>1|2|60000</v>
      </c>
      <c r="BB6" s="171">
        <f>DC20</f>
        <v>318000</v>
      </c>
      <c r="BC6" s="171">
        <f>DE20</f>
        <v>300000</v>
      </c>
      <c r="BD6" s="1">
        <f>DF20</f>
        <v>0</v>
      </c>
      <c r="BE6" s="171">
        <f t="shared" ref="BE6:BG6" si="16">DG20</f>
        <v>1</v>
      </c>
      <c r="BF6" s="171">
        <f t="shared" si="16"/>
        <v>0.3</v>
      </c>
      <c r="BG6" s="83">
        <f t="shared" si="16"/>
        <v>3</v>
      </c>
      <c r="BH6" s="1" t="s">
        <v>1071</v>
      </c>
      <c r="BI6" s="39" t="str">
        <f>CV21&amp;"|"&amp;CW21&amp;"|"&amp;CX21</f>
        <v>1|2|400000</v>
      </c>
      <c r="BJ6" s="180" t="str">
        <f>CZ21&amp;"|"&amp;DA21&amp;"|"&amp;DB21</f>
        <v>1|2|80000</v>
      </c>
      <c r="BK6" s="171">
        <f>DC21</f>
        <v>400000</v>
      </c>
      <c r="BL6" s="171">
        <f>DE21</f>
        <v>400000</v>
      </c>
      <c r="BM6" s="1">
        <f>DF21</f>
        <v>0</v>
      </c>
      <c r="BN6" s="171">
        <f>DG21</f>
        <v>0</v>
      </c>
      <c r="BO6" s="171">
        <f>DH21</f>
        <v>0</v>
      </c>
      <c r="BP6" s="83">
        <f>DI21</f>
        <v>10</v>
      </c>
      <c r="BQ6" s="1" t="s">
        <v>1071</v>
      </c>
      <c r="BR6" s="39" t="str">
        <f>CV22&amp;"|"&amp;CW22&amp;"|"&amp;CX22</f>
        <v>1|1|10</v>
      </c>
      <c r="BS6" s="180" t="str">
        <f>CZ22&amp;"|"&amp;DA22&amp;"|"&amp;DB22</f>
        <v>1|1|2</v>
      </c>
      <c r="BT6" s="171">
        <f>DC22</f>
        <v>200000</v>
      </c>
      <c r="BU6" s="171">
        <f>DE22</f>
        <v>200000</v>
      </c>
      <c r="BV6" s="1">
        <f>DF22</f>
        <v>0</v>
      </c>
      <c r="BW6" s="171">
        <f>DG22</f>
        <v>0</v>
      </c>
      <c r="BX6" s="171">
        <f>DH22</f>
        <v>0</v>
      </c>
      <c r="BY6" s="83">
        <f>DI22</f>
        <v>2</v>
      </c>
      <c r="BZ6" s="1" t="s">
        <v>1071</v>
      </c>
      <c r="CA6" s="39" t="str">
        <f>CV23&amp;"|"&amp;CW23&amp;"|"&amp;CX23</f>
        <v>1|1|25</v>
      </c>
      <c r="CB6" s="180" t="str">
        <f>CZ23&amp;"|"&amp;DA23&amp;"|"&amp;DB23</f>
        <v>1|1|5</v>
      </c>
      <c r="CC6" s="171">
        <f>DC23</f>
        <v>500000</v>
      </c>
      <c r="CD6" s="171">
        <f>DE23</f>
        <v>500000</v>
      </c>
      <c r="CE6" s="1">
        <f>DF23</f>
        <v>0</v>
      </c>
      <c r="CF6" s="171">
        <f>DG23</f>
        <v>0</v>
      </c>
      <c r="CG6" s="171">
        <f>DH23</f>
        <v>0</v>
      </c>
      <c r="CH6" s="83">
        <f>DI23</f>
        <v>8</v>
      </c>
      <c r="CI6" s="1" t="s">
        <v>885</v>
      </c>
      <c r="CJ6" s="39" t="str">
        <f>CV24&amp;"|"&amp;CW24&amp;"|"&amp;CX24</f>
        <v>1|2|600000</v>
      </c>
      <c r="CK6" s="180" t="str">
        <f>CZ24&amp;"|"&amp;DA24&amp;"|"&amp;DB24</f>
        <v>1|2|120000</v>
      </c>
      <c r="CL6" s="171">
        <f>DC24</f>
        <v>600000</v>
      </c>
      <c r="CM6" s="171">
        <f>DE24</f>
        <v>600000</v>
      </c>
      <c r="CN6" s="1">
        <f>DF24</f>
        <v>0</v>
      </c>
      <c r="CO6" s="171">
        <f>DG24</f>
        <v>0</v>
      </c>
      <c r="CP6" s="171">
        <f>DH24</f>
        <v>0</v>
      </c>
      <c r="CQ6" s="83">
        <f>DI24</f>
        <v>6</v>
      </c>
      <c r="CR6" s="1" t="s">
        <v>885</v>
      </c>
      <c r="CT6" s="666"/>
      <c r="CU6" s="200" t="s">
        <v>169</v>
      </c>
      <c r="CV6" s="70">
        <f t="shared" si="5"/>
        <v>1</v>
      </c>
      <c r="CW6" s="70">
        <f t="shared" si="6"/>
        <v>2</v>
      </c>
      <c r="CX6" s="201">
        <v>2000</v>
      </c>
      <c r="CY6" s="200" t="str">
        <f t="shared" ref="CY6:CY69" si="17">CU6</f>
        <v>金币</v>
      </c>
      <c r="CZ6" s="202">
        <f t="shared" ref="CZ6:CZ10" si="18">VLOOKUP(CY6,DN:DR,4,0)</f>
        <v>1</v>
      </c>
      <c r="DA6" s="202">
        <f t="shared" ref="DA6:DA10" si="19">VLOOKUP(CY6,DN:DR,5,0)</f>
        <v>2</v>
      </c>
      <c r="DB6" s="201">
        <f t="shared" si="7"/>
        <v>400</v>
      </c>
      <c r="DC6" s="202">
        <f t="shared" si="8"/>
        <v>2300</v>
      </c>
      <c r="DD6" s="202">
        <f t="shared" si="9"/>
        <v>400</v>
      </c>
      <c r="DE6" s="70">
        <f t="shared" si="10"/>
        <v>2000</v>
      </c>
      <c r="DF6" s="70">
        <v>0</v>
      </c>
      <c r="DG6" s="217">
        <v>0.5</v>
      </c>
      <c r="DH6" s="217">
        <v>0.75</v>
      </c>
      <c r="DI6" s="11">
        <v>2</v>
      </c>
      <c r="DJ6" s="223"/>
      <c r="DL6" s="1">
        <f>200*50*6%*5</f>
        <v>3000</v>
      </c>
      <c r="DN6" s="10" t="s">
        <v>1107</v>
      </c>
      <c r="DO6" s="11">
        <f>DO7*20000</f>
        <v>0.1</v>
      </c>
      <c r="DP6" s="11">
        <f>DP7*20000</f>
        <v>1</v>
      </c>
      <c r="DQ6" s="11">
        <v>1</v>
      </c>
      <c r="DR6" s="19">
        <v>1</v>
      </c>
      <c r="DS6" s="227">
        <v>1</v>
      </c>
    </row>
    <row r="7" spans="1:123" x14ac:dyDescent="0.35">
      <c r="A7" s="1">
        <v>3</v>
      </c>
      <c r="B7" s="1" t="s">
        <v>1650</v>
      </c>
      <c r="C7" s="56" t="s">
        <v>1654</v>
      </c>
      <c r="D7" s="96">
        <v>500000</v>
      </c>
      <c r="E7" s="6">
        <f>D8</f>
        <v>1000000</v>
      </c>
      <c r="F7" s="6">
        <v>-1</v>
      </c>
      <c r="G7" s="39" t="str">
        <f>CV25&amp;"|"&amp;CW25&amp;"|"&amp;CX25</f>
        <v>1|2|1500000</v>
      </c>
      <c r="H7" s="180" t="str">
        <f t="shared" ref="H7" si="20">CZ7&amp;"|"&amp;DA7&amp;"|"&amp;DB7</f>
        <v>1|2|1000</v>
      </c>
      <c r="I7" s="171">
        <f>DC25</f>
        <v>1590000</v>
      </c>
      <c r="J7" s="171">
        <f>DE25</f>
        <v>1500000</v>
      </c>
      <c r="K7" s="1">
        <f>DF25</f>
        <v>1</v>
      </c>
      <c r="L7" s="171">
        <f t="shared" ref="L7:N7" si="21">DG25</f>
        <v>1</v>
      </c>
      <c r="M7" s="171">
        <f t="shared" si="21"/>
        <v>0.3</v>
      </c>
      <c r="N7" s="1">
        <f t="shared" si="21"/>
        <v>1</v>
      </c>
      <c r="O7" s="1" t="s">
        <v>1471</v>
      </c>
      <c r="P7" s="39" t="str">
        <f>CV26&amp;"|"&amp;CW26&amp;"|"&amp;CX26</f>
        <v>2|1003|3</v>
      </c>
      <c r="Q7" s="180" t="str">
        <f>CZ26&amp;"|"&amp;DA26&amp;"|"&amp;DB26</f>
        <v>2|1003|1</v>
      </c>
      <c r="R7" s="171">
        <f>DC26</f>
        <v>750000</v>
      </c>
      <c r="S7" s="171">
        <f>DE26</f>
        <v>600000</v>
      </c>
      <c r="T7" s="1">
        <f>DF26</f>
        <v>0</v>
      </c>
      <c r="U7" s="171">
        <f t="shared" ref="U7:W7" si="22">DG26</f>
        <v>1</v>
      </c>
      <c r="V7" s="171">
        <f t="shared" si="22"/>
        <v>0.75</v>
      </c>
      <c r="W7" s="83">
        <f t="shared" si="22"/>
        <v>7</v>
      </c>
      <c r="X7" s="1" t="s">
        <v>1071</v>
      </c>
      <c r="Y7" s="39" t="str">
        <f>CV27&amp;"|"&amp;CW27&amp;"|"&amp;CX27</f>
        <v>2|1003|4</v>
      </c>
      <c r="Z7" s="171" t="str">
        <f>CZ27&amp;"|"&amp;DA27&amp;"|"&amp;DB27</f>
        <v>2|1003|1</v>
      </c>
      <c r="AA7" s="171">
        <f>DC27</f>
        <v>950000</v>
      </c>
      <c r="AB7" s="171">
        <f>DE27</f>
        <v>800000</v>
      </c>
      <c r="AC7" s="1">
        <f>DF27</f>
        <v>0</v>
      </c>
      <c r="AD7" s="171">
        <f t="shared" ref="AD7:AF7" si="23">DG27</f>
        <v>0.5</v>
      </c>
      <c r="AE7" s="171">
        <f t="shared" si="23"/>
        <v>0.75</v>
      </c>
      <c r="AF7" s="83">
        <f t="shared" si="23"/>
        <v>10</v>
      </c>
      <c r="AG7" s="1" t="s">
        <v>1071</v>
      </c>
      <c r="AH7" s="39" t="str">
        <f>CV28&amp;"|"&amp;CW28&amp;"|"&amp;CX28</f>
        <v>1|2|400000</v>
      </c>
      <c r="AI7" s="180" t="str">
        <f>CZ28&amp;"|"&amp;DA28&amp;"|"&amp;DB28</f>
        <v>1|2|80000</v>
      </c>
      <c r="AJ7" s="171">
        <f>DC28</f>
        <v>460000</v>
      </c>
      <c r="AK7" s="171">
        <f>DE28</f>
        <v>400000</v>
      </c>
      <c r="AL7" s="1">
        <f>DF28</f>
        <v>0</v>
      </c>
      <c r="AM7" s="171">
        <f t="shared" ref="AM7:AO7" si="24">DG28</f>
        <v>1</v>
      </c>
      <c r="AN7" s="171">
        <f t="shared" si="24"/>
        <v>0.75</v>
      </c>
      <c r="AO7" s="83">
        <f t="shared" si="24"/>
        <v>2</v>
      </c>
      <c r="AP7" s="1" t="s">
        <v>1071</v>
      </c>
      <c r="AQ7" s="39" t="str">
        <f>CV29&amp;"|"&amp;CW29&amp;"|"&amp;CX29</f>
        <v>1|2|600000</v>
      </c>
      <c r="AR7" s="180" t="str">
        <f>CZ29&amp;"|"&amp;DA29&amp;"|"&amp;DB29</f>
        <v>1|2|120000</v>
      </c>
      <c r="AS7" s="171">
        <f>DC29</f>
        <v>660000</v>
      </c>
      <c r="AT7" s="171">
        <f>DE29</f>
        <v>600000</v>
      </c>
      <c r="AU7" s="1">
        <f>DF29</f>
        <v>0</v>
      </c>
      <c r="AV7" s="171">
        <f t="shared" ref="AV7:AX7" si="25">DG29</f>
        <v>1</v>
      </c>
      <c r="AW7" s="171">
        <f t="shared" si="25"/>
        <v>0.5</v>
      </c>
      <c r="AX7" s="83">
        <f t="shared" si="25"/>
        <v>4</v>
      </c>
      <c r="AY7" s="1" t="s">
        <v>1071</v>
      </c>
      <c r="AZ7" s="39" t="str">
        <f>CV30&amp;"|"&amp;CW30&amp;"|"&amp;CX30</f>
        <v>1|2|800000</v>
      </c>
      <c r="BA7" s="180" t="str">
        <f>CZ30&amp;"|"&amp;DA30&amp;"|"&amp;DB30</f>
        <v>1|2|160000</v>
      </c>
      <c r="BB7" s="171">
        <f>DC30</f>
        <v>848000</v>
      </c>
      <c r="BC7" s="171">
        <f>DE30</f>
        <v>800000</v>
      </c>
      <c r="BD7" s="1">
        <f>DF30</f>
        <v>0</v>
      </c>
      <c r="BE7" s="171">
        <f t="shared" ref="BE7:BG7" si="26">DG30</f>
        <v>1</v>
      </c>
      <c r="BF7" s="171">
        <f t="shared" si="26"/>
        <v>0.3</v>
      </c>
      <c r="BG7" s="83">
        <f t="shared" si="26"/>
        <v>5</v>
      </c>
      <c r="BH7" s="1" t="s">
        <v>1071</v>
      </c>
      <c r="BI7" s="39" t="str">
        <f>CV31&amp;"|"&amp;CW31&amp;"|"&amp;CX31</f>
        <v>1|2|1000000</v>
      </c>
      <c r="BJ7" s="180" t="str">
        <f>CZ31&amp;"|"&amp;DA31&amp;"|"&amp;DB31</f>
        <v>1|2|100</v>
      </c>
      <c r="BK7" s="171">
        <f>DC31</f>
        <v>1000000</v>
      </c>
      <c r="BL7" s="171">
        <f>DE31</f>
        <v>1000000</v>
      </c>
      <c r="BM7" s="1">
        <f>DF31</f>
        <v>0</v>
      </c>
      <c r="BN7" s="171">
        <f>DG31</f>
        <v>0</v>
      </c>
      <c r="BO7" s="171">
        <f>DH31</f>
        <v>0</v>
      </c>
      <c r="BP7" s="83">
        <f>DI31</f>
        <v>8</v>
      </c>
      <c r="BQ7" s="1" t="s">
        <v>1071</v>
      </c>
      <c r="BR7" s="39" t="str">
        <f>CV32&amp;"|"&amp;CW32&amp;"|"&amp;CX32</f>
        <v>1|2|1200000</v>
      </c>
      <c r="BS7" s="180" t="str">
        <f>CZ32&amp;"|"&amp;DA32&amp;"|"&amp;DB32</f>
        <v>1|2|101</v>
      </c>
      <c r="BT7" s="171">
        <f>DC32</f>
        <v>1200000</v>
      </c>
      <c r="BU7" s="171">
        <f>DE32</f>
        <v>1200000</v>
      </c>
      <c r="BV7" s="1">
        <f>DF32</f>
        <v>0</v>
      </c>
      <c r="BW7" s="171">
        <f>DG32</f>
        <v>0</v>
      </c>
      <c r="BX7" s="171">
        <f>DH32</f>
        <v>0</v>
      </c>
      <c r="BY7" s="83">
        <f>DI32</f>
        <v>3</v>
      </c>
      <c r="BZ7" s="1" t="s">
        <v>1071</v>
      </c>
      <c r="CA7" s="39" t="str">
        <f>CV33&amp;"|"&amp;CW33&amp;"|"&amp;CX33</f>
        <v>1|1|40</v>
      </c>
      <c r="CB7" s="180" t="str">
        <f>CZ33&amp;"|"&amp;DA33&amp;"|"&amp;DB33</f>
        <v>1|1|102</v>
      </c>
      <c r="CC7" s="171">
        <f>DC33</f>
        <v>800000</v>
      </c>
      <c r="CD7" s="171">
        <f>DE33</f>
        <v>800000</v>
      </c>
      <c r="CE7" s="1">
        <f>DF33</f>
        <v>0</v>
      </c>
      <c r="CF7" s="171">
        <f>DG33</f>
        <v>0</v>
      </c>
      <c r="CG7" s="171">
        <f>DH33</f>
        <v>0</v>
      </c>
      <c r="CH7" s="83">
        <f>DI33</f>
        <v>9</v>
      </c>
      <c r="CI7" s="1" t="s">
        <v>885</v>
      </c>
      <c r="CJ7" s="39" t="str">
        <f>CV34&amp;"|"&amp;CW34&amp;"|"&amp;CX34</f>
        <v>2|1005|1</v>
      </c>
      <c r="CK7" s="180" t="str">
        <f>CZ34&amp;"|"&amp;DA34&amp;"|"&amp;DB34</f>
        <v>2|1005|103</v>
      </c>
      <c r="CL7" s="171">
        <f>DC34</f>
        <v>1000000</v>
      </c>
      <c r="CM7" s="171">
        <f>DE34</f>
        <v>1000000</v>
      </c>
      <c r="CN7" s="1">
        <f>DF34</f>
        <v>0</v>
      </c>
      <c r="CO7" s="171">
        <f>DG34</f>
        <v>0</v>
      </c>
      <c r="CP7" s="171">
        <f>DH34</f>
        <v>0</v>
      </c>
      <c r="CQ7" s="83">
        <f>DI34</f>
        <v>6</v>
      </c>
      <c r="CR7" s="1" t="s">
        <v>885</v>
      </c>
      <c r="CT7" s="666"/>
      <c r="CU7" s="200" t="s">
        <v>169</v>
      </c>
      <c r="CV7" s="70">
        <f t="shared" si="5"/>
        <v>1</v>
      </c>
      <c r="CW7" s="70">
        <f t="shared" si="6"/>
        <v>2</v>
      </c>
      <c r="CX7" s="201">
        <v>5000</v>
      </c>
      <c r="CY7" s="200" t="str">
        <f t="shared" si="17"/>
        <v>金币</v>
      </c>
      <c r="CZ7" s="202">
        <f t="shared" si="18"/>
        <v>1</v>
      </c>
      <c r="DA7" s="202">
        <f t="shared" si="19"/>
        <v>2</v>
      </c>
      <c r="DB7" s="201">
        <f t="shared" si="7"/>
        <v>1000</v>
      </c>
      <c r="DC7" s="202">
        <f t="shared" si="8"/>
        <v>5750</v>
      </c>
      <c r="DD7" s="202">
        <f t="shared" si="9"/>
        <v>1000</v>
      </c>
      <c r="DE7" s="70">
        <f t="shared" si="10"/>
        <v>5000</v>
      </c>
      <c r="DF7" s="70">
        <v>0</v>
      </c>
      <c r="DG7" s="217">
        <v>1</v>
      </c>
      <c r="DH7" s="217">
        <v>0.75</v>
      </c>
      <c r="DI7" s="11">
        <v>9</v>
      </c>
      <c r="DJ7" s="223"/>
      <c r="DL7" s="1">
        <f>1000*170*6%*10</f>
        <v>102000</v>
      </c>
      <c r="DN7" s="10" t="s">
        <v>169</v>
      </c>
      <c r="DO7" s="11">
        <f>1/200000</f>
        <v>5.0000000000000004E-6</v>
      </c>
      <c r="DP7" s="11">
        <f>1/20000</f>
        <v>5.0000000000000002E-5</v>
      </c>
      <c r="DQ7" s="11">
        <v>1</v>
      </c>
      <c r="DR7" s="19">
        <v>2</v>
      </c>
      <c r="DS7" s="227">
        <v>1</v>
      </c>
    </row>
    <row r="8" spans="1:123" x14ac:dyDescent="0.35">
      <c r="A8" s="1">
        <v>4</v>
      </c>
      <c r="B8" s="1" t="s">
        <v>1650</v>
      </c>
      <c r="C8" s="56" t="s">
        <v>1655</v>
      </c>
      <c r="D8" s="96">
        <v>1000000</v>
      </c>
      <c r="E8" s="6">
        <f>D9</f>
        <v>2000000</v>
      </c>
      <c r="F8" s="6">
        <v>-1</v>
      </c>
      <c r="G8" s="39" t="str">
        <f>CV35&amp;"|"&amp;CW35&amp;"|"&amp;CX35</f>
        <v>1|2|2500000</v>
      </c>
      <c r="H8" s="180" t="str">
        <f>CZ35&amp;"|"&amp;DA35&amp;"|"&amp;DB35</f>
        <v>1|2|500000</v>
      </c>
      <c r="I8" s="171">
        <f>DC35</f>
        <v>2650000</v>
      </c>
      <c r="J8" s="171">
        <f>DE35</f>
        <v>2500000</v>
      </c>
      <c r="K8" s="1">
        <f>DF35</f>
        <v>1</v>
      </c>
      <c r="L8" s="171">
        <f t="shared" ref="L8:N8" si="27">DG35</f>
        <v>1</v>
      </c>
      <c r="M8" s="171">
        <f t="shared" si="27"/>
        <v>0.3</v>
      </c>
      <c r="N8" s="1">
        <f t="shared" si="27"/>
        <v>1</v>
      </c>
      <c r="O8" s="1" t="s">
        <v>1471</v>
      </c>
      <c r="P8" s="39" t="str">
        <f>CV36&amp;"|"&amp;CW36&amp;"|"&amp;CX36</f>
        <v>2|1003|4</v>
      </c>
      <c r="Q8" s="180" t="str">
        <f>CZ36&amp;"|"&amp;DA36&amp;"|"&amp;DB36</f>
        <v>2|1003|1</v>
      </c>
      <c r="R8" s="171">
        <f>DC36</f>
        <v>950000</v>
      </c>
      <c r="S8" s="171">
        <f>DE36</f>
        <v>800000</v>
      </c>
      <c r="T8" s="1">
        <f>DF36</f>
        <v>0</v>
      </c>
      <c r="U8" s="171">
        <f t="shared" ref="U8:W8" si="28">DG36</f>
        <v>1</v>
      </c>
      <c r="V8" s="171">
        <f t="shared" si="28"/>
        <v>0.75</v>
      </c>
      <c r="W8" s="83">
        <f t="shared" si="28"/>
        <v>9</v>
      </c>
      <c r="X8" s="1" t="s">
        <v>1071</v>
      </c>
      <c r="Y8" s="39" t="str">
        <f>CV37&amp;"|"&amp;CW37&amp;"|"&amp;CX37</f>
        <v>2|1003|6</v>
      </c>
      <c r="Z8" s="171" t="str">
        <f>CZ37&amp;"|"&amp;DA37&amp;"|"&amp;DB37</f>
        <v>2|1003|2</v>
      </c>
      <c r="AA8" s="171">
        <f>DC37</f>
        <v>1500000</v>
      </c>
      <c r="AB8" s="171">
        <f>DE37</f>
        <v>1200000</v>
      </c>
      <c r="AC8" s="1">
        <f>DF37</f>
        <v>0</v>
      </c>
      <c r="AD8" s="171">
        <f t="shared" ref="AD8:AF8" si="29">DG37</f>
        <v>0.5</v>
      </c>
      <c r="AE8" s="171">
        <f t="shared" si="29"/>
        <v>0.75</v>
      </c>
      <c r="AF8" s="83">
        <f t="shared" si="29"/>
        <v>4</v>
      </c>
      <c r="AG8" s="1" t="s">
        <v>1071</v>
      </c>
      <c r="AH8" s="39" t="str">
        <f>CV38&amp;"|"&amp;CW38&amp;"|"&amp;CX38</f>
        <v>1|2|800000</v>
      </c>
      <c r="AI8" s="180" t="str">
        <f>CZ38&amp;"|"&amp;DA38&amp;"|"&amp;DB38</f>
        <v>1|2|160000</v>
      </c>
      <c r="AJ8" s="171">
        <f>DC38</f>
        <v>920000</v>
      </c>
      <c r="AK8" s="171">
        <f>DE38</f>
        <v>800000</v>
      </c>
      <c r="AL8" s="1">
        <f>DF38</f>
        <v>0</v>
      </c>
      <c r="AM8" s="171">
        <f t="shared" ref="AM8:AO8" si="30">DG38</f>
        <v>1</v>
      </c>
      <c r="AN8" s="171">
        <f t="shared" si="30"/>
        <v>0.75</v>
      </c>
      <c r="AO8" s="83">
        <f t="shared" si="30"/>
        <v>2</v>
      </c>
      <c r="AP8" s="1" t="s">
        <v>1071</v>
      </c>
      <c r="AQ8" s="39" t="str">
        <f>CV39&amp;"|"&amp;CW39&amp;"|"&amp;CX39</f>
        <v>1|2|1000000</v>
      </c>
      <c r="AR8" s="180" t="str">
        <f>CZ39&amp;"|"&amp;DA39&amp;"|"&amp;DB39</f>
        <v>1|2|200000</v>
      </c>
      <c r="AS8" s="171">
        <f>DC39</f>
        <v>1100000</v>
      </c>
      <c r="AT8" s="171">
        <f>DE39</f>
        <v>1000000</v>
      </c>
      <c r="AU8" s="1">
        <f>DF39</f>
        <v>0</v>
      </c>
      <c r="AV8" s="171">
        <f t="shared" ref="AV8:AX8" si="31">DG39</f>
        <v>1</v>
      </c>
      <c r="AW8" s="171">
        <f t="shared" si="31"/>
        <v>0.5</v>
      </c>
      <c r="AX8" s="83">
        <f t="shared" si="31"/>
        <v>7</v>
      </c>
      <c r="AY8" s="1" t="s">
        <v>1071</v>
      </c>
      <c r="AZ8" s="39" t="str">
        <f>CV40&amp;"|"&amp;CW40&amp;"|"&amp;CX40</f>
        <v>1|2|1500000</v>
      </c>
      <c r="BA8" s="180" t="str">
        <f>CZ40&amp;"|"&amp;DA40&amp;"|"&amp;DB40</f>
        <v>1|2|300000</v>
      </c>
      <c r="BB8" s="171">
        <f>DC40</f>
        <v>1590000</v>
      </c>
      <c r="BC8" s="171">
        <f>DE40</f>
        <v>1500000</v>
      </c>
      <c r="BD8" s="1">
        <f>DF40</f>
        <v>0</v>
      </c>
      <c r="BE8" s="171">
        <f t="shared" ref="BE8:BG8" si="32">DG40</f>
        <v>1</v>
      </c>
      <c r="BF8" s="171">
        <f t="shared" si="32"/>
        <v>0.3</v>
      </c>
      <c r="BG8" s="83">
        <f t="shared" si="32"/>
        <v>5</v>
      </c>
      <c r="BH8" s="1" t="s">
        <v>1071</v>
      </c>
      <c r="BI8" s="39" t="str">
        <f>CV41&amp;"|"&amp;CW41&amp;"|"&amp;CX41</f>
        <v>1|2|2000000</v>
      </c>
      <c r="BJ8" s="180" t="str">
        <f>CZ41&amp;"|"&amp;DA41&amp;"|"&amp;DB41</f>
        <v>1|2|400000</v>
      </c>
      <c r="BK8" s="171">
        <f>DC41</f>
        <v>2000000</v>
      </c>
      <c r="BL8" s="171">
        <f>DE41</f>
        <v>2000000</v>
      </c>
      <c r="BM8" s="1">
        <f>DF41</f>
        <v>0</v>
      </c>
      <c r="BN8" s="171">
        <f>DG41</f>
        <v>0</v>
      </c>
      <c r="BO8" s="171">
        <f>DH41</f>
        <v>0</v>
      </c>
      <c r="BP8" s="83">
        <f>DI41</f>
        <v>8</v>
      </c>
      <c r="BQ8" s="1" t="s">
        <v>1071</v>
      </c>
      <c r="BR8" s="39" t="str">
        <f>CV42&amp;"|"&amp;CW42&amp;"|"&amp;CX42</f>
        <v>1|1|80</v>
      </c>
      <c r="BS8" s="180" t="str">
        <f>CZ42&amp;"|"&amp;DA42&amp;"|"&amp;DB42</f>
        <v>1|1|16</v>
      </c>
      <c r="BT8" s="171">
        <f>DC42</f>
        <v>1600000</v>
      </c>
      <c r="BU8" s="171">
        <f>DE42</f>
        <v>1600000</v>
      </c>
      <c r="BV8" s="1">
        <f>DF42</f>
        <v>0</v>
      </c>
      <c r="BW8" s="171">
        <f>DG42</f>
        <v>0</v>
      </c>
      <c r="BX8" s="171">
        <f>DH42</f>
        <v>0</v>
      </c>
      <c r="BY8" s="83">
        <f>DI42</f>
        <v>3</v>
      </c>
      <c r="BZ8" s="1" t="s">
        <v>1071</v>
      </c>
      <c r="CA8" s="39" t="str">
        <f>CV43&amp;"|"&amp;CW43&amp;"|"&amp;CX43</f>
        <v>2|1005|2</v>
      </c>
      <c r="CB8" s="180" t="str">
        <f>CZ43&amp;"|"&amp;DA43&amp;"|"&amp;DB43</f>
        <v>2|1005|1</v>
      </c>
      <c r="CC8" s="171">
        <f>DC43</f>
        <v>2000000</v>
      </c>
      <c r="CD8" s="171">
        <f>DE43</f>
        <v>2000000</v>
      </c>
      <c r="CE8" s="1">
        <f>DF43</f>
        <v>0</v>
      </c>
      <c r="CF8" s="171">
        <f>DG43</f>
        <v>0</v>
      </c>
      <c r="CG8" s="171">
        <f>DH43</f>
        <v>0</v>
      </c>
      <c r="CH8" s="83">
        <f>DI43</f>
        <v>10</v>
      </c>
      <c r="CI8" s="1" t="s">
        <v>561</v>
      </c>
      <c r="CJ8" s="39" t="str">
        <f>CV44&amp;"|"&amp;CW44&amp;"|"&amp;CX44</f>
        <v>2|1006|1</v>
      </c>
      <c r="CK8" s="180" t="str">
        <f>CZ44&amp;"|"&amp;DA44&amp;"|"&amp;DB44</f>
        <v>2|1006|1</v>
      </c>
      <c r="CL8" s="171">
        <f>DC44</f>
        <v>2000000</v>
      </c>
      <c r="CM8" s="171">
        <f>DE44</f>
        <v>2000000</v>
      </c>
      <c r="CN8" s="1">
        <f>DF44</f>
        <v>0</v>
      </c>
      <c r="CO8" s="171">
        <f>DG44</f>
        <v>0</v>
      </c>
      <c r="CP8" s="171">
        <f>DH44</f>
        <v>0</v>
      </c>
      <c r="CQ8" s="83">
        <f>DI44</f>
        <v>6</v>
      </c>
      <c r="CR8" s="1" t="s">
        <v>1471</v>
      </c>
      <c r="CT8" s="666"/>
      <c r="CU8" s="200" t="s">
        <v>169</v>
      </c>
      <c r="CV8" s="70">
        <f t="shared" si="5"/>
        <v>1</v>
      </c>
      <c r="CW8" s="70">
        <f t="shared" si="6"/>
        <v>2</v>
      </c>
      <c r="CX8" s="201">
        <v>10000</v>
      </c>
      <c r="CY8" s="200" t="str">
        <f t="shared" si="17"/>
        <v>金币</v>
      </c>
      <c r="CZ8" s="202">
        <f t="shared" si="18"/>
        <v>1</v>
      </c>
      <c r="DA8" s="202">
        <f t="shared" si="19"/>
        <v>2</v>
      </c>
      <c r="DB8" s="201">
        <f t="shared" si="7"/>
        <v>2000</v>
      </c>
      <c r="DC8" s="202">
        <f t="shared" si="8"/>
        <v>11500</v>
      </c>
      <c r="DD8" s="202">
        <f t="shared" si="9"/>
        <v>2000</v>
      </c>
      <c r="DE8" s="70">
        <f t="shared" si="10"/>
        <v>10000</v>
      </c>
      <c r="DF8" s="70">
        <v>0</v>
      </c>
      <c r="DG8" s="217">
        <v>0.8</v>
      </c>
      <c r="DH8" s="217">
        <v>0.75</v>
      </c>
      <c r="DI8" s="11">
        <v>4</v>
      </c>
      <c r="DJ8" s="223"/>
      <c r="DN8" s="10" t="s">
        <v>1139</v>
      </c>
      <c r="DO8" s="11">
        <f t="shared" ref="DO8:DO19" si="33">DP8/10</f>
        <v>0.2</v>
      </c>
      <c r="DP8" s="11">
        <v>2</v>
      </c>
      <c r="DQ8" s="11">
        <v>2</v>
      </c>
      <c r="DR8" s="19">
        <v>1001</v>
      </c>
      <c r="DS8" s="227">
        <v>1</v>
      </c>
    </row>
    <row r="9" spans="1:123" x14ac:dyDescent="0.35">
      <c r="A9" s="1">
        <v>5</v>
      </c>
      <c r="B9" s="1" t="s">
        <v>1650</v>
      </c>
      <c r="C9" s="56" t="s">
        <v>1656</v>
      </c>
      <c r="D9" s="96">
        <v>2000000</v>
      </c>
      <c r="E9" s="6">
        <f>D10</f>
        <v>6000000</v>
      </c>
      <c r="F9" s="6">
        <v>-1</v>
      </c>
      <c r="G9" s="39" t="str">
        <f>CV45&amp;"|"&amp;CW45&amp;"|"&amp;CX45</f>
        <v>1|2|7500000</v>
      </c>
      <c r="H9" s="180" t="str">
        <f>CZ45&amp;"|"&amp;DA45&amp;"|"&amp;DB45</f>
        <v>1|2|1500000</v>
      </c>
      <c r="I9" s="171">
        <f>DC45</f>
        <v>7950000</v>
      </c>
      <c r="J9" s="171">
        <f>DE45</f>
        <v>7500000</v>
      </c>
      <c r="K9" s="1">
        <f>DF45</f>
        <v>1</v>
      </c>
      <c r="L9" s="171">
        <f t="shared" ref="L9:N9" si="34">DG45</f>
        <v>1</v>
      </c>
      <c r="M9" s="171">
        <f t="shared" si="34"/>
        <v>0.3</v>
      </c>
      <c r="N9" s="1">
        <f t="shared" si="34"/>
        <v>1</v>
      </c>
      <c r="O9" s="1" t="s">
        <v>1471</v>
      </c>
      <c r="P9" s="39" t="str">
        <f>CV46&amp;"|"&amp;CW46&amp;"|"&amp;CX46</f>
        <v>1|2|1500000</v>
      </c>
      <c r="Q9" s="180" t="str">
        <f>CZ46&amp;"|"&amp;DA46&amp;"|"&amp;DB46</f>
        <v>1|2|300000</v>
      </c>
      <c r="R9" s="171">
        <f>DC46</f>
        <v>1725000</v>
      </c>
      <c r="S9" s="171">
        <f>DE46</f>
        <v>1500000</v>
      </c>
      <c r="T9" s="1">
        <f>DF46</f>
        <v>0</v>
      </c>
      <c r="U9" s="171">
        <f t="shared" ref="U9:W9" si="35">DG46</f>
        <v>1</v>
      </c>
      <c r="V9" s="171">
        <f t="shared" si="35"/>
        <v>0.75</v>
      </c>
      <c r="W9" s="83">
        <f t="shared" si="35"/>
        <v>9</v>
      </c>
      <c r="X9" s="1" t="s">
        <v>1071</v>
      </c>
      <c r="Y9" s="39" t="str">
        <f>CV47&amp;"|"&amp;CW47&amp;"|"&amp;CX47</f>
        <v>1|2|2000000</v>
      </c>
      <c r="Z9" s="171" t="str">
        <f>CZ47&amp;"|"&amp;DA47&amp;"|"&amp;DB47</f>
        <v>1|2|400000</v>
      </c>
      <c r="AA9" s="171">
        <f>DC47</f>
        <v>2300000</v>
      </c>
      <c r="AB9" s="171">
        <f>DE47</f>
        <v>2000000</v>
      </c>
      <c r="AC9" s="1">
        <f>DF47</f>
        <v>0</v>
      </c>
      <c r="AD9" s="171">
        <f t="shared" ref="AD9:AF9" si="36">DG47</f>
        <v>0.5</v>
      </c>
      <c r="AE9" s="171">
        <f t="shared" si="36"/>
        <v>0.75</v>
      </c>
      <c r="AF9" s="83">
        <f t="shared" si="36"/>
        <v>7</v>
      </c>
      <c r="AG9" s="1" t="s">
        <v>1071</v>
      </c>
      <c r="AH9" s="39" t="str">
        <f>CV48&amp;"|"&amp;CW48&amp;"|"&amp;CX48</f>
        <v>1|2|2500000</v>
      </c>
      <c r="AI9" s="180" t="str">
        <f>CZ48&amp;"|"&amp;DA48&amp;"|"&amp;DB48</f>
        <v>1|2|500000</v>
      </c>
      <c r="AJ9" s="171">
        <f>DC48</f>
        <v>2875000</v>
      </c>
      <c r="AK9" s="171">
        <f>DE48</f>
        <v>2500000</v>
      </c>
      <c r="AL9" s="1">
        <f>DF48</f>
        <v>0</v>
      </c>
      <c r="AM9" s="171">
        <f t="shared" ref="AM9:AO9" si="37">DG48</f>
        <v>1</v>
      </c>
      <c r="AN9" s="171">
        <f t="shared" si="37"/>
        <v>0.75</v>
      </c>
      <c r="AO9" s="83">
        <f t="shared" si="37"/>
        <v>4</v>
      </c>
      <c r="AP9" s="1" t="s">
        <v>1071</v>
      </c>
      <c r="AQ9" s="39" t="str">
        <f>CV49&amp;"|"&amp;CW49&amp;"|"&amp;CX49</f>
        <v>1|2|3500000</v>
      </c>
      <c r="AR9" s="180" t="str">
        <f>CZ49&amp;"|"&amp;DA49&amp;"|"&amp;DB49</f>
        <v>1|2|700000</v>
      </c>
      <c r="AS9" s="171">
        <f>DC49</f>
        <v>3850000</v>
      </c>
      <c r="AT9" s="171">
        <f>DE49</f>
        <v>3500000</v>
      </c>
      <c r="AU9" s="1">
        <f>DF49</f>
        <v>0</v>
      </c>
      <c r="AV9" s="171">
        <f t="shared" ref="AV9:AX9" si="38">DG49</f>
        <v>1</v>
      </c>
      <c r="AW9" s="171">
        <f t="shared" si="38"/>
        <v>0.5</v>
      </c>
      <c r="AX9" s="83">
        <f t="shared" si="38"/>
        <v>2</v>
      </c>
      <c r="AY9" s="1" t="s">
        <v>1071</v>
      </c>
      <c r="AZ9" s="39" t="str">
        <f>CV50&amp;"|"&amp;CW50&amp;"|"&amp;CX50</f>
        <v>1|2|4500000</v>
      </c>
      <c r="BA9" s="180" t="str">
        <f>CZ50&amp;"|"&amp;DA50&amp;"|"&amp;DB50</f>
        <v>1|2|900000</v>
      </c>
      <c r="BB9" s="171">
        <f>DC50</f>
        <v>4770000</v>
      </c>
      <c r="BC9" s="171">
        <f>DE50</f>
        <v>4500000</v>
      </c>
      <c r="BD9" s="1">
        <f>DF50</f>
        <v>0</v>
      </c>
      <c r="BE9" s="171">
        <f t="shared" ref="BE9:BG9" si="39">DG50</f>
        <v>1</v>
      </c>
      <c r="BF9" s="171">
        <f t="shared" si="39"/>
        <v>0.3</v>
      </c>
      <c r="BG9" s="83">
        <f t="shared" si="39"/>
        <v>10</v>
      </c>
      <c r="BH9" s="1" t="s">
        <v>1071</v>
      </c>
      <c r="BI9" s="39" t="str">
        <f>CV51&amp;"|"&amp;CW51&amp;"|"&amp;CX51</f>
        <v>1|2|5500000</v>
      </c>
      <c r="BJ9" s="180" t="str">
        <f>CZ51&amp;"|"&amp;DA51&amp;"|"&amp;DB51</f>
        <v>1|2|1100000</v>
      </c>
      <c r="BK9" s="171">
        <f>DC51</f>
        <v>5500000</v>
      </c>
      <c r="BL9" s="171">
        <f>DE51</f>
        <v>5500000</v>
      </c>
      <c r="BM9" s="1">
        <f>DF51</f>
        <v>0</v>
      </c>
      <c r="BN9" s="171">
        <f>DG51</f>
        <v>0</v>
      </c>
      <c r="BO9" s="171">
        <f>DH51</f>
        <v>0</v>
      </c>
      <c r="BP9" s="83">
        <f>DI51</f>
        <v>3</v>
      </c>
      <c r="BQ9" s="1" t="s">
        <v>1071</v>
      </c>
      <c r="BR9" s="39" t="str">
        <f>CV52&amp;"|"&amp;CW52&amp;"|"&amp;CX52</f>
        <v>1|1|200</v>
      </c>
      <c r="BS9" s="180" t="str">
        <f>CZ52&amp;"|"&amp;DA52&amp;"|"&amp;DB52</f>
        <v>1|1|40</v>
      </c>
      <c r="BT9" s="171">
        <f>DC52</f>
        <v>4000000</v>
      </c>
      <c r="BU9" s="171">
        <f>DE52</f>
        <v>4000000</v>
      </c>
      <c r="BV9" s="1">
        <f>DF52</f>
        <v>0</v>
      </c>
      <c r="BW9" s="171">
        <f>DG52</f>
        <v>0</v>
      </c>
      <c r="BX9" s="171">
        <f>DH52</f>
        <v>0</v>
      </c>
      <c r="BY9" s="83">
        <f>DI52</f>
        <v>8</v>
      </c>
      <c r="BZ9" s="1" t="s">
        <v>885</v>
      </c>
      <c r="CA9" s="39" t="str">
        <f>CV53&amp;"|"&amp;CW53&amp;"|"&amp;CX53</f>
        <v>2|1006|3</v>
      </c>
      <c r="CB9" s="180" t="str">
        <f>CZ53&amp;"|"&amp;DA53&amp;"|"&amp;DB53</f>
        <v>2|1006|1</v>
      </c>
      <c r="CC9" s="171">
        <f>DC53</f>
        <v>6000000</v>
      </c>
      <c r="CD9" s="171">
        <f>DE53</f>
        <v>6000000</v>
      </c>
      <c r="CE9" s="1">
        <f>DF53</f>
        <v>0</v>
      </c>
      <c r="CF9" s="171">
        <f>DG53</f>
        <v>0</v>
      </c>
      <c r="CG9" s="171">
        <f>DH53</f>
        <v>0</v>
      </c>
      <c r="CH9" s="83">
        <f>DI53</f>
        <v>5</v>
      </c>
      <c r="CI9" s="1" t="s">
        <v>561</v>
      </c>
      <c r="CJ9" s="39" t="str">
        <f>CV54&amp;"|"&amp;CW54&amp;"|"&amp;CX54</f>
        <v>2|1007|2</v>
      </c>
      <c r="CK9" s="180" t="str">
        <f>CZ54&amp;"|"&amp;DA54&amp;"|"&amp;DB54</f>
        <v>2|1007|1</v>
      </c>
      <c r="CL9" s="171">
        <f>DC54</f>
        <v>10000000</v>
      </c>
      <c r="CM9" s="171">
        <f>DE54</f>
        <v>10000000</v>
      </c>
      <c r="CN9" s="1">
        <f>DF54</f>
        <v>0</v>
      </c>
      <c r="CO9" s="171">
        <f>DG54</f>
        <v>0</v>
      </c>
      <c r="CP9" s="171">
        <f>DH54</f>
        <v>0</v>
      </c>
      <c r="CQ9" s="83">
        <f>DI54</f>
        <v>6</v>
      </c>
      <c r="CR9" s="1" t="s">
        <v>1471</v>
      </c>
      <c r="CT9" s="666"/>
      <c r="CU9" s="200" t="s">
        <v>169</v>
      </c>
      <c r="CV9" s="70">
        <f t="shared" si="5"/>
        <v>1</v>
      </c>
      <c r="CW9" s="70">
        <f t="shared" si="6"/>
        <v>2</v>
      </c>
      <c r="CX9" s="201">
        <v>20000</v>
      </c>
      <c r="CY9" s="200" t="str">
        <f t="shared" si="17"/>
        <v>金币</v>
      </c>
      <c r="CZ9" s="202">
        <f t="shared" si="18"/>
        <v>1</v>
      </c>
      <c r="DA9" s="202">
        <f t="shared" si="19"/>
        <v>2</v>
      </c>
      <c r="DB9" s="201">
        <f t="shared" si="7"/>
        <v>4000</v>
      </c>
      <c r="DC9" s="202">
        <f t="shared" si="8"/>
        <v>22000</v>
      </c>
      <c r="DD9" s="202">
        <f t="shared" si="9"/>
        <v>4000</v>
      </c>
      <c r="DE9" s="70">
        <f t="shared" si="10"/>
        <v>20000</v>
      </c>
      <c r="DF9" s="70">
        <v>0</v>
      </c>
      <c r="DG9" s="217">
        <v>0.5</v>
      </c>
      <c r="DH9" s="218">
        <v>0.5</v>
      </c>
      <c r="DI9" s="11">
        <v>7</v>
      </c>
      <c r="DJ9" s="223"/>
      <c r="DN9" s="10" t="s">
        <v>1140</v>
      </c>
      <c r="DO9" s="11">
        <f t="shared" si="33"/>
        <v>0.5</v>
      </c>
      <c r="DP9" s="11">
        <v>5</v>
      </c>
      <c r="DQ9" s="11">
        <v>2</v>
      </c>
      <c r="DR9" s="19">
        <v>1002</v>
      </c>
      <c r="DS9" s="227">
        <v>1</v>
      </c>
    </row>
    <row r="10" spans="1:123" x14ac:dyDescent="0.35">
      <c r="A10" s="1">
        <v>6</v>
      </c>
      <c r="B10" s="1" t="s">
        <v>1650</v>
      </c>
      <c r="C10" s="56" t="s">
        <v>1657</v>
      </c>
      <c r="D10" s="96">
        <v>6000000</v>
      </c>
      <c r="E10" s="6">
        <f t="shared" ref="E10:E11" si="40">D11</f>
        <v>12000000</v>
      </c>
      <c r="F10" s="6">
        <v>-1</v>
      </c>
      <c r="G10" s="39" t="str">
        <f>CV55&amp;"|"&amp;CW55&amp;"|"&amp;CX55</f>
        <v>1|2|15000000</v>
      </c>
      <c r="H10" s="180" t="str">
        <f>CZ55&amp;"|"&amp;DA55&amp;"|"&amp;DB55</f>
        <v>1|2|3000000</v>
      </c>
      <c r="I10" s="171">
        <f>DC55</f>
        <v>15900000</v>
      </c>
      <c r="J10" s="171">
        <f>DE55</f>
        <v>15000000</v>
      </c>
      <c r="K10" s="1">
        <f>DF55</f>
        <v>1</v>
      </c>
      <c r="L10" s="171">
        <f t="shared" ref="L10:N10" si="41">DG55</f>
        <v>1</v>
      </c>
      <c r="M10" s="171">
        <f t="shared" si="41"/>
        <v>0.3</v>
      </c>
      <c r="N10" s="1">
        <f t="shared" si="41"/>
        <v>1</v>
      </c>
      <c r="O10" s="1" t="s">
        <v>1471</v>
      </c>
      <c r="P10" s="39" t="str">
        <f>CV56&amp;"|"&amp;CW56&amp;"|"&amp;CX56</f>
        <v>1|2|4000000</v>
      </c>
      <c r="Q10" s="180" t="str">
        <f>CZ56&amp;"|"&amp;DA56&amp;"|"&amp;DB56</f>
        <v>1|2|800000</v>
      </c>
      <c r="R10" s="171">
        <f>DC56</f>
        <v>4600000</v>
      </c>
      <c r="S10" s="171">
        <f>DE56</f>
        <v>4000000</v>
      </c>
      <c r="T10" s="1">
        <f>DF56</f>
        <v>0</v>
      </c>
      <c r="U10" s="171">
        <f t="shared" ref="U10:W10" si="42">DG56</f>
        <v>0.5</v>
      </c>
      <c r="V10" s="171">
        <f t="shared" si="42"/>
        <v>0.75</v>
      </c>
      <c r="W10" s="83">
        <f t="shared" si="42"/>
        <v>2</v>
      </c>
      <c r="X10" s="1" t="s">
        <v>1071</v>
      </c>
      <c r="Y10" s="39" t="str">
        <f>CV57&amp;"|"&amp;CW57&amp;"|"&amp;CX57</f>
        <v>1|2|5000000</v>
      </c>
      <c r="Z10" s="171" t="str">
        <f>CZ57&amp;"|"&amp;DA57&amp;"|"&amp;DB57</f>
        <v>1|2|1000000</v>
      </c>
      <c r="AA10" s="171">
        <f>DC57</f>
        <v>5750000</v>
      </c>
      <c r="AB10" s="171">
        <f>DE57</f>
        <v>5000000</v>
      </c>
      <c r="AC10" s="1">
        <f>DF57</f>
        <v>0</v>
      </c>
      <c r="AD10" s="171">
        <f t="shared" ref="AD10:AF10" si="43">DG57</f>
        <v>1</v>
      </c>
      <c r="AE10" s="171">
        <f t="shared" si="43"/>
        <v>0.75</v>
      </c>
      <c r="AF10" s="83">
        <f t="shared" si="43"/>
        <v>9</v>
      </c>
      <c r="AG10" s="1" t="s">
        <v>1071</v>
      </c>
      <c r="AH10" s="39" t="str">
        <f>CV58&amp;"|"&amp;CW58&amp;"|"&amp;CX58</f>
        <v>1|2|6000000</v>
      </c>
      <c r="AI10" s="180" t="str">
        <f>CZ58&amp;"|"&amp;DA58&amp;"|"&amp;DB58</f>
        <v>1|2|1200000</v>
      </c>
      <c r="AJ10" s="171">
        <f>DC58</f>
        <v>6900000</v>
      </c>
      <c r="AK10" s="171">
        <f>DE58</f>
        <v>6000000</v>
      </c>
      <c r="AL10" s="1">
        <f>DF58</f>
        <v>0</v>
      </c>
      <c r="AM10" s="171">
        <f t="shared" ref="AM10:AO10" si="44">DG58</f>
        <v>1</v>
      </c>
      <c r="AN10" s="171">
        <f t="shared" si="44"/>
        <v>0.75</v>
      </c>
      <c r="AO10" s="83">
        <f t="shared" si="44"/>
        <v>7</v>
      </c>
      <c r="AP10" s="1" t="s">
        <v>1071</v>
      </c>
      <c r="AQ10" s="39" t="str">
        <f>CV59&amp;"|"&amp;CW59&amp;"|"&amp;CX59</f>
        <v>1|2|7000000</v>
      </c>
      <c r="AR10" s="180" t="str">
        <f>CZ59&amp;"|"&amp;DA59&amp;"|"&amp;DB59</f>
        <v>1|2|1400000</v>
      </c>
      <c r="AS10" s="171">
        <f>DC59</f>
        <v>7700000</v>
      </c>
      <c r="AT10" s="171">
        <f>DE59</f>
        <v>7000000</v>
      </c>
      <c r="AU10" s="1">
        <f>DF59</f>
        <v>0</v>
      </c>
      <c r="AV10" s="171">
        <f t="shared" ref="AV10:AX10" si="45">DG59</f>
        <v>1</v>
      </c>
      <c r="AW10" s="171">
        <f t="shared" si="45"/>
        <v>0.5</v>
      </c>
      <c r="AX10" s="83">
        <f t="shared" si="45"/>
        <v>4</v>
      </c>
      <c r="AY10" s="1" t="s">
        <v>1071</v>
      </c>
      <c r="AZ10" s="39" t="str">
        <f>CV60&amp;"|"&amp;CW60&amp;"|"&amp;CX60</f>
        <v>1|2|8000000</v>
      </c>
      <c r="BA10" s="180" t="str">
        <f>CZ60&amp;"|"&amp;DA60&amp;"|"&amp;DB60</f>
        <v>1|2|1600000</v>
      </c>
      <c r="BB10" s="171">
        <f>DC60</f>
        <v>8480000</v>
      </c>
      <c r="BC10" s="171">
        <f>DE60</f>
        <v>8000000</v>
      </c>
      <c r="BD10" s="1">
        <f>DF60</f>
        <v>0</v>
      </c>
      <c r="BE10" s="171">
        <f t="shared" ref="BE10:BG10" si="46">DG60</f>
        <v>1</v>
      </c>
      <c r="BF10" s="171">
        <f t="shared" si="46"/>
        <v>0.3</v>
      </c>
      <c r="BG10" s="83">
        <f t="shared" si="46"/>
        <v>8</v>
      </c>
      <c r="BH10" s="1" t="s">
        <v>1071</v>
      </c>
      <c r="BI10" s="39" t="str">
        <f>CV61&amp;"|"&amp;CW61&amp;"|"&amp;CX61</f>
        <v>1|2|9000000</v>
      </c>
      <c r="BJ10" s="180" t="str">
        <f>CZ61&amp;"|"&amp;DA61&amp;"|"&amp;DB61</f>
        <v>1|2|1800000</v>
      </c>
      <c r="BK10" s="171">
        <f>DC61</f>
        <v>9000000</v>
      </c>
      <c r="BL10" s="171">
        <f>DE61</f>
        <v>9000000</v>
      </c>
      <c r="BM10" s="1">
        <f>DF61</f>
        <v>0</v>
      </c>
      <c r="BN10" s="171">
        <f>DG61</f>
        <v>0</v>
      </c>
      <c r="BO10" s="171">
        <f>DH61</f>
        <v>0</v>
      </c>
      <c r="BP10" s="83">
        <f>DI61</f>
        <v>10</v>
      </c>
      <c r="BQ10" s="1" t="s">
        <v>885</v>
      </c>
      <c r="BR10" s="39" t="str">
        <f>CV62&amp;"|"&amp;CW62&amp;"|"&amp;CX62</f>
        <v>1|1|400</v>
      </c>
      <c r="BS10" s="180" t="str">
        <f>CZ62&amp;"|"&amp;DA62&amp;"|"&amp;DB62</f>
        <v>1|1|80</v>
      </c>
      <c r="BT10" s="171">
        <f>DC62</f>
        <v>8000000</v>
      </c>
      <c r="BU10" s="171">
        <f>DE62</f>
        <v>8000000</v>
      </c>
      <c r="BV10" s="1">
        <f>DF62</f>
        <v>0</v>
      </c>
      <c r="BW10" s="171">
        <f>DG62</f>
        <v>0</v>
      </c>
      <c r="BX10" s="171">
        <f>DH62</f>
        <v>0</v>
      </c>
      <c r="BY10" s="83">
        <f>DI62</f>
        <v>5</v>
      </c>
      <c r="BZ10" s="1" t="s">
        <v>885</v>
      </c>
      <c r="CA10" s="39" t="str">
        <f>CV63&amp;"|"&amp;CW63&amp;"|"&amp;CX63</f>
        <v>2|1007|2</v>
      </c>
      <c r="CB10" s="180" t="str">
        <f>CZ63&amp;"|"&amp;DA63&amp;"|"&amp;DB63</f>
        <v>2|1007|1</v>
      </c>
      <c r="CC10" s="171">
        <f>DC63</f>
        <v>10000000</v>
      </c>
      <c r="CD10" s="171">
        <f>DE63</f>
        <v>10000000</v>
      </c>
      <c r="CE10" s="1">
        <f>DF63</f>
        <v>0</v>
      </c>
      <c r="CF10" s="171">
        <f>DG63</f>
        <v>0</v>
      </c>
      <c r="CG10" s="171">
        <f>DH63</f>
        <v>0</v>
      </c>
      <c r="CH10" s="83">
        <f>DI63</f>
        <v>3</v>
      </c>
      <c r="CI10" s="1" t="s">
        <v>561</v>
      </c>
      <c r="CJ10" s="39" t="str">
        <f>CV64&amp;"|"&amp;CW64&amp;"|"&amp;CX64</f>
        <v>2|1008|2</v>
      </c>
      <c r="CK10" s="180" t="str">
        <f>CZ64&amp;"|"&amp;DA64&amp;"|"&amp;DB64</f>
        <v>2|1008|1</v>
      </c>
      <c r="CL10" s="171">
        <f>DC64</f>
        <v>20000000</v>
      </c>
      <c r="CM10" s="171">
        <f>DE64</f>
        <v>20000000</v>
      </c>
      <c r="CN10" s="1">
        <f>DF64</f>
        <v>0</v>
      </c>
      <c r="CO10" s="171">
        <f>DG64</f>
        <v>0</v>
      </c>
      <c r="CP10" s="171">
        <f>DH64</f>
        <v>0</v>
      </c>
      <c r="CQ10" s="83">
        <f>DI64</f>
        <v>6</v>
      </c>
      <c r="CR10" s="1" t="s">
        <v>1471</v>
      </c>
      <c r="CT10" s="666"/>
      <c r="CU10" s="200" t="s">
        <v>169</v>
      </c>
      <c r="CV10" s="70">
        <f t="shared" si="5"/>
        <v>1</v>
      </c>
      <c r="CW10" s="70">
        <f t="shared" si="6"/>
        <v>2</v>
      </c>
      <c r="CX10" s="201">
        <v>40000</v>
      </c>
      <c r="CY10" s="200" t="str">
        <f t="shared" si="17"/>
        <v>金币</v>
      </c>
      <c r="CZ10" s="202">
        <f t="shared" si="18"/>
        <v>1</v>
      </c>
      <c r="DA10" s="202">
        <f t="shared" si="19"/>
        <v>2</v>
      </c>
      <c r="DB10" s="201">
        <f t="shared" si="7"/>
        <v>8000</v>
      </c>
      <c r="DC10" s="202">
        <f t="shared" si="8"/>
        <v>42400</v>
      </c>
      <c r="DD10" s="202">
        <f t="shared" si="9"/>
        <v>8000</v>
      </c>
      <c r="DE10" s="70">
        <f t="shared" si="10"/>
        <v>40000</v>
      </c>
      <c r="DF10" s="70">
        <v>0</v>
      </c>
      <c r="DG10" s="217">
        <v>1</v>
      </c>
      <c r="DH10" s="218">
        <v>0.3</v>
      </c>
      <c r="DI10" s="11">
        <v>10</v>
      </c>
      <c r="DJ10" s="223"/>
      <c r="DN10" s="10" t="s">
        <v>1144</v>
      </c>
      <c r="DO10" s="11">
        <f t="shared" si="33"/>
        <v>1</v>
      </c>
      <c r="DP10" s="11">
        <v>10</v>
      </c>
      <c r="DQ10" s="11">
        <v>2</v>
      </c>
      <c r="DR10" s="19">
        <v>1003</v>
      </c>
      <c r="DS10" s="227">
        <v>1</v>
      </c>
    </row>
    <row r="11" spans="1:123" ht="16.5" customHeight="1" x14ac:dyDescent="0.35">
      <c r="A11" s="1">
        <v>7</v>
      </c>
      <c r="B11" s="1" t="s">
        <v>1658</v>
      </c>
      <c r="C11" s="56" t="s">
        <v>1659</v>
      </c>
      <c r="D11" s="96">
        <v>12000000</v>
      </c>
      <c r="E11" s="6">
        <f t="shared" si="40"/>
        <v>24000000</v>
      </c>
      <c r="F11" s="6">
        <v>-1</v>
      </c>
      <c r="G11" s="39" t="str">
        <f>CV65&amp;"|"&amp;CW65&amp;"|"&amp;CX65</f>
        <v>2|1008|4</v>
      </c>
      <c r="H11" s="180" t="str">
        <f>CZ65&amp;"|"&amp;DA65&amp;"|"&amp;DB65</f>
        <v>2|1008|1</v>
      </c>
      <c r="I11" s="171">
        <f>DC65</f>
        <v>43000000</v>
      </c>
      <c r="J11" s="171">
        <f>DE65</f>
        <v>40000000</v>
      </c>
      <c r="K11" s="1">
        <f>DF65</f>
        <v>1</v>
      </c>
      <c r="L11" s="171">
        <f>DG65</f>
        <v>1</v>
      </c>
      <c r="M11" s="171">
        <f>DH65</f>
        <v>0.3</v>
      </c>
      <c r="N11" s="1">
        <f>DI65</f>
        <v>1</v>
      </c>
      <c r="O11" s="1" t="s">
        <v>1471</v>
      </c>
      <c r="P11" s="39" t="str">
        <f>CV66&amp;"|"&amp;CW66&amp;"|"&amp;CX66</f>
        <v>1|2|8000000</v>
      </c>
      <c r="Q11" s="180" t="str">
        <f>CZ66&amp;"|"&amp;DA66&amp;"|"&amp;DB66</f>
        <v>1|2|1600000</v>
      </c>
      <c r="R11" s="171">
        <f>DC66</f>
        <v>9200000</v>
      </c>
      <c r="S11" s="171">
        <f>DE66</f>
        <v>8000000</v>
      </c>
      <c r="T11" s="1">
        <f>DF66</f>
        <v>0</v>
      </c>
      <c r="U11" s="171">
        <f>DG66</f>
        <v>0.5</v>
      </c>
      <c r="V11" s="171">
        <f>DH66</f>
        <v>0.75</v>
      </c>
      <c r="W11" s="83">
        <f>DI66</f>
        <v>2</v>
      </c>
      <c r="X11" s="1" t="s">
        <v>1071</v>
      </c>
      <c r="Y11" s="39" t="str">
        <f>CV67&amp;"|"&amp;CW67&amp;"|"&amp;CX67</f>
        <v>1|2|10000000</v>
      </c>
      <c r="Z11" s="171" t="str">
        <f>CZ67&amp;"|"&amp;DA67&amp;"|"&amp;DB67</f>
        <v>1|2|2000000</v>
      </c>
      <c r="AA11" s="171">
        <f>DC67</f>
        <v>11500000</v>
      </c>
      <c r="AB11" s="171">
        <f>DE67</f>
        <v>10000000</v>
      </c>
      <c r="AC11" s="1">
        <f>DF67</f>
        <v>0</v>
      </c>
      <c r="AD11" s="171">
        <f>DG67</f>
        <v>1</v>
      </c>
      <c r="AE11" s="171">
        <f>DH67</f>
        <v>0.75</v>
      </c>
      <c r="AF11" s="83">
        <f>DI67</f>
        <v>4</v>
      </c>
      <c r="AG11" s="1" t="s">
        <v>1071</v>
      </c>
      <c r="AH11" s="39" t="str">
        <f>CV68&amp;"|"&amp;CW68&amp;"|"&amp;CX68</f>
        <v>1|2|12000000</v>
      </c>
      <c r="AI11" s="180" t="str">
        <f>CZ68&amp;"|"&amp;DA68&amp;"|"&amp;DB68</f>
        <v>1|2|2400000</v>
      </c>
      <c r="AJ11" s="171">
        <f>DC68</f>
        <v>13800000</v>
      </c>
      <c r="AK11" s="171">
        <f>DE68</f>
        <v>12000000</v>
      </c>
      <c r="AL11" s="1">
        <f>DF68</f>
        <v>0</v>
      </c>
      <c r="AM11" s="171">
        <f>DG68</f>
        <v>1</v>
      </c>
      <c r="AN11" s="171">
        <f>DH68</f>
        <v>0.75</v>
      </c>
      <c r="AO11" s="83">
        <f>DI68</f>
        <v>7</v>
      </c>
      <c r="AP11" s="1" t="s">
        <v>1071</v>
      </c>
      <c r="AQ11" s="39" t="str">
        <f>CV69&amp;"|"&amp;CW69&amp;"|"&amp;CX69</f>
        <v>1|2|14000000</v>
      </c>
      <c r="AR11" s="180" t="str">
        <f>CZ69&amp;"|"&amp;DA69&amp;"|"&amp;DB69</f>
        <v>1|2|2800000</v>
      </c>
      <c r="AS11" s="171">
        <f>DC69</f>
        <v>15400000</v>
      </c>
      <c r="AT11" s="171">
        <f>DE69</f>
        <v>14000000</v>
      </c>
      <c r="AU11" s="1">
        <f>DF69</f>
        <v>0</v>
      </c>
      <c r="AV11" s="171">
        <f>DG69</f>
        <v>1</v>
      </c>
      <c r="AW11" s="171">
        <f>DH69</f>
        <v>0.5</v>
      </c>
      <c r="AX11" s="83">
        <f>DI69</f>
        <v>9</v>
      </c>
      <c r="AY11" s="1" t="s">
        <v>1071</v>
      </c>
      <c r="AZ11" s="39" t="str">
        <f>CV70&amp;"|"&amp;CW70&amp;"|"&amp;CX70</f>
        <v>1|2|16000000</v>
      </c>
      <c r="BA11" s="180" t="str">
        <f>CZ70&amp;"|"&amp;DA70&amp;"|"&amp;DB70</f>
        <v>1|2|3200000</v>
      </c>
      <c r="BB11" s="171">
        <f>DC70</f>
        <v>16960000</v>
      </c>
      <c r="BC11" s="171">
        <f>DE70</f>
        <v>16000000</v>
      </c>
      <c r="BD11" s="1">
        <f>DF70</f>
        <v>0</v>
      </c>
      <c r="BE11" s="171">
        <f>DG70</f>
        <v>1</v>
      </c>
      <c r="BF11" s="171">
        <f>DH70</f>
        <v>0.3</v>
      </c>
      <c r="BG11" s="83">
        <f>DI70</f>
        <v>10</v>
      </c>
      <c r="BH11" s="1" t="s">
        <v>885</v>
      </c>
      <c r="BI11" s="39" t="str">
        <f>CV71&amp;"|"&amp;CW71&amp;"|"&amp;CX71</f>
        <v>1|2|18000000</v>
      </c>
      <c r="BJ11" s="180" t="str">
        <f>CZ71&amp;"|"&amp;DA71&amp;"|"&amp;DB71</f>
        <v>1|2|3600000</v>
      </c>
      <c r="BK11" s="171">
        <f>DC71</f>
        <v>18000000</v>
      </c>
      <c r="BL11" s="171">
        <f>DE71</f>
        <v>18000000</v>
      </c>
      <c r="BM11" s="1">
        <f>DF71</f>
        <v>0</v>
      </c>
      <c r="BN11" s="171">
        <f>DG71</f>
        <v>0</v>
      </c>
      <c r="BO11" s="171">
        <f>DH71</f>
        <v>0</v>
      </c>
      <c r="BP11" s="83">
        <f>DI71</f>
        <v>5</v>
      </c>
      <c r="BQ11" s="1" t="s">
        <v>885</v>
      </c>
      <c r="BR11" s="39" t="str">
        <f>CV72&amp;"|"&amp;CW72&amp;"|"&amp;CX72</f>
        <v>1|2|20000000</v>
      </c>
      <c r="BS11" s="180" t="str">
        <f>CZ72&amp;"|"&amp;DA72&amp;"|"&amp;DB72</f>
        <v>1|2|4000000</v>
      </c>
      <c r="BT11" s="171">
        <f>DC72</f>
        <v>20000000</v>
      </c>
      <c r="BU11" s="171">
        <f>DE72</f>
        <v>20000000</v>
      </c>
      <c r="BV11" s="1">
        <f>DF72</f>
        <v>0</v>
      </c>
      <c r="BW11" s="171">
        <f>DG72</f>
        <v>0</v>
      </c>
      <c r="BX11" s="171">
        <f>DH72</f>
        <v>0</v>
      </c>
      <c r="BY11" s="83">
        <f>DI72</f>
        <v>8</v>
      </c>
      <c r="BZ11" s="1" t="s">
        <v>885</v>
      </c>
      <c r="CA11" s="39" t="str">
        <f>CV73&amp;"|"&amp;CW73&amp;"|"&amp;CX73</f>
        <v>2|1007|4</v>
      </c>
      <c r="CB11" s="180" t="str">
        <f>CZ73&amp;"|"&amp;DA73&amp;"|"&amp;DB73</f>
        <v>2|1007|1</v>
      </c>
      <c r="CC11" s="171">
        <f>DC73</f>
        <v>20000000</v>
      </c>
      <c r="CD11" s="171">
        <f>DE73</f>
        <v>20000000</v>
      </c>
      <c r="CE11" s="1">
        <f>DF73</f>
        <v>0</v>
      </c>
      <c r="CF11" s="171">
        <f>DG73</f>
        <v>0</v>
      </c>
      <c r="CG11" s="171">
        <f>DH73</f>
        <v>0</v>
      </c>
      <c r="CH11" s="83">
        <f>DI73</f>
        <v>3</v>
      </c>
      <c r="CI11" s="1" t="s">
        <v>561</v>
      </c>
      <c r="CJ11" s="39" t="str">
        <f>CV74&amp;"|"&amp;CW74&amp;"|"&amp;CX74</f>
        <v>2|1008|3</v>
      </c>
      <c r="CK11" s="180" t="str">
        <f>CZ74&amp;"|"&amp;DA74&amp;"|"&amp;DB74</f>
        <v>2|1008|1</v>
      </c>
      <c r="CL11" s="171">
        <f>DC74</f>
        <v>30000000</v>
      </c>
      <c r="CM11" s="171">
        <f>DE74</f>
        <v>30000000</v>
      </c>
      <c r="CN11" s="1">
        <f>DF74</f>
        <v>0</v>
      </c>
      <c r="CO11" s="171">
        <f>DG74</f>
        <v>0</v>
      </c>
      <c r="CP11" s="171">
        <f>DH74</f>
        <v>0</v>
      </c>
      <c r="CQ11" s="83">
        <f>DI74</f>
        <v>6</v>
      </c>
      <c r="CR11" s="1" t="s">
        <v>1471</v>
      </c>
      <c r="CT11" s="666"/>
      <c r="CU11" s="200" t="s">
        <v>169</v>
      </c>
      <c r="CV11" s="70">
        <f t="shared" si="5"/>
        <v>1</v>
      </c>
      <c r="CW11" s="70">
        <f t="shared" si="6"/>
        <v>2</v>
      </c>
      <c r="CX11" s="201">
        <v>60000</v>
      </c>
      <c r="CY11" s="200" t="str">
        <f t="shared" si="17"/>
        <v>金币</v>
      </c>
      <c r="CZ11" s="202">
        <f>VLOOKUP(CY11,DN:DR,4,0)</f>
        <v>1</v>
      </c>
      <c r="DA11" s="202">
        <f>VLOOKUP(CY11,DN:DR,5,0)</f>
        <v>2</v>
      </c>
      <c r="DB11" s="201">
        <v>250</v>
      </c>
      <c r="DC11" s="202">
        <f t="shared" si="8"/>
        <v>60000</v>
      </c>
      <c r="DD11" s="202">
        <f t="shared" si="9"/>
        <v>250</v>
      </c>
      <c r="DE11" s="70">
        <f t="shared" si="10"/>
        <v>60000</v>
      </c>
      <c r="DF11" s="70">
        <v>0</v>
      </c>
      <c r="DG11" s="11"/>
      <c r="DH11" s="11"/>
      <c r="DI11" s="11">
        <v>3</v>
      </c>
      <c r="DJ11" s="223"/>
      <c r="DN11" s="10" t="s">
        <v>1143</v>
      </c>
      <c r="DO11" s="11">
        <f t="shared" si="33"/>
        <v>0.2</v>
      </c>
      <c r="DP11" s="11">
        <v>2</v>
      </c>
      <c r="DQ11" s="11">
        <v>2</v>
      </c>
      <c r="DR11" s="19">
        <v>1004</v>
      </c>
      <c r="DS11" s="227">
        <v>1</v>
      </c>
    </row>
    <row r="12" spans="1:123" ht="16.5" customHeight="1" x14ac:dyDescent="0.35">
      <c r="A12" s="1">
        <v>8</v>
      </c>
      <c r="B12" s="1" t="s">
        <v>1660</v>
      </c>
      <c r="C12" s="56" t="s">
        <v>1661</v>
      </c>
      <c r="D12" s="96">
        <v>24000000</v>
      </c>
      <c r="E12" s="6">
        <v>999999999</v>
      </c>
      <c r="F12" s="6">
        <v>-1</v>
      </c>
      <c r="G12" s="39" t="str">
        <f>CV75&amp;"|"&amp;CW75&amp;"|"&amp;CX75</f>
        <v>2|1008|6</v>
      </c>
      <c r="H12" s="180" t="str">
        <f>CZ75&amp;"|"&amp;DA75&amp;"|"&amp;DB75</f>
        <v>2|1008|2</v>
      </c>
      <c r="I12" s="171">
        <f>DC75</f>
        <v>66000000</v>
      </c>
      <c r="J12" s="171">
        <f>DE75</f>
        <v>60000000</v>
      </c>
      <c r="K12" s="1">
        <f>DF75</f>
        <v>1</v>
      </c>
      <c r="L12" s="171">
        <f>DG75</f>
        <v>1</v>
      </c>
      <c r="M12" s="171">
        <f>DH75</f>
        <v>0.3</v>
      </c>
      <c r="N12" s="1">
        <f>DI75</f>
        <v>1</v>
      </c>
      <c r="O12" s="1" t="s">
        <v>1471</v>
      </c>
      <c r="P12" s="39" t="str">
        <f>CV76&amp;"|"&amp;CW76&amp;"|"&amp;CX76</f>
        <v>1|2|20000000</v>
      </c>
      <c r="Q12" s="180" t="str">
        <f>CZ76&amp;"|"&amp;DA76&amp;"|"&amp;DB76</f>
        <v>1|2|4000000</v>
      </c>
      <c r="R12" s="171">
        <f>DC76</f>
        <v>23000000</v>
      </c>
      <c r="S12" s="171">
        <f>DE76</f>
        <v>20000000</v>
      </c>
      <c r="T12" s="1">
        <f>DF76</f>
        <v>0</v>
      </c>
      <c r="U12" s="171">
        <f>DG76</f>
        <v>0.5</v>
      </c>
      <c r="V12" s="171">
        <f>DH76</f>
        <v>0.75</v>
      </c>
      <c r="W12" s="83">
        <f>DI76</f>
        <v>2</v>
      </c>
      <c r="X12" s="1" t="s">
        <v>1071</v>
      </c>
      <c r="Y12" s="39" t="str">
        <f>CV77&amp;"|"&amp;CW77&amp;"|"&amp;CX77</f>
        <v>1|2|25000000</v>
      </c>
      <c r="Z12" s="171" t="str">
        <f>CZ77&amp;"|"&amp;DA77&amp;"|"&amp;DB77</f>
        <v>1|2|5000000</v>
      </c>
      <c r="AA12" s="171">
        <f>DC77</f>
        <v>28750000</v>
      </c>
      <c r="AB12" s="171">
        <f>DE77</f>
        <v>25000000</v>
      </c>
      <c r="AC12" s="1">
        <f>DF77</f>
        <v>0</v>
      </c>
      <c r="AD12" s="171">
        <f>DG77</f>
        <v>1</v>
      </c>
      <c r="AE12" s="171">
        <f>DH77</f>
        <v>0.75</v>
      </c>
      <c r="AF12" s="83">
        <f>DI77</f>
        <v>7</v>
      </c>
      <c r="AG12" s="1" t="s">
        <v>1071</v>
      </c>
      <c r="AH12" s="39" t="str">
        <f>CV78&amp;"|"&amp;CW78&amp;"|"&amp;CX78</f>
        <v>1|2|30000000</v>
      </c>
      <c r="AI12" s="180" t="str">
        <f>CZ78&amp;"|"&amp;DA78&amp;"|"&amp;DB78</f>
        <v>1|2|6000000</v>
      </c>
      <c r="AJ12" s="171">
        <f>DC78</f>
        <v>34500000</v>
      </c>
      <c r="AK12" s="171">
        <f>DE78</f>
        <v>30000000</v>
      </c>
      <c r="AL12" s="1">
        <f>DF78</f>
        <v>0</v>
      </c>
      <c r="AM12" s="171">
        <f>DG78</f>
        <v>1</v>
      </c>
      <c r="AN12" s="171">
        <f>DH78</f>
        <v>0.75</v>
      </c>
      <c r="AO12" s="83">
        <f>DI78</f>
        <v>4</v>
      </c>
      <c r="AP12" s="1" t="s">
        <v>1071</v>
      </c>
      <c r="AQ12" s="39" t="str">
        <f>CV79&amp;"|"&amp;CW79&amp;"|"&amp;CX79</f>
        <v>1|2|35000000</v>
      </c>
      <c r="AR12" s="180" t="str">
        <f>CZ79&amp;"|"&amp;DA79&amp;"|"&amp;DB79</f>
        <v>1|2|7000000</v>
      </c>
      <c r="AS12" s="171">
        <f>DC79</f>
        <v>38500000</v>
      </c>
      <c r="AT12" s="171">
        <f>DE79</f>
        <v>35000000</v>
      </c>
      <c r="AU12" s="1">
        <f>DF79</f>
        <v>0</v>
      </c>
      <c r="AV12" s="171">
        <f>DG79</f>
        <v>1</v>
      </c>
      <c r="AW12" s="171">
        <f>DH79</f>
        <v>0.5</v>
      </c>
      <c r="AX12" s="83">
        <f>DI79</f>
        <v>9</v>
      </c>
      <c r="AY12" s="1" t="s">
        <v>885</v>
      </c>
      <c r="AZ12" s="39" t="str">
        <f>CV80&amp;"|"&amp;CW80&amp;"|"&amp;CX80</f>
        <v>1|2|40000000</v>
      </c>
      <c r="BA12" s="180" t="str">
        <f>CZ80&amp;"|"&amp;DA80&amp;"|"&amp;DB80</f>
        <v>1|2|8000000</v>
      </c>
      <c r="BB12" s="171">
        <f>DC80</f>
        <v>42400000</v>
      </c>
      <c r="BC12" s="171">
        <f>DE80</f>
        <v>40000000</v>
      </c>
      <c r="BD12" s="1">
        <f>DF80</f>
        <v>0</v>
      </c>
      <c r="BE12" s="171">
        <f>DG80</f>
        <v>1</v>
      </c>
      <c r="BF12" s="171">
        <f>DH80</f>
        <v>0.3</v>
      </c>
      <c r="BG12" s="83">
        <f>DI80</f>
        <v>10</v>
      </c>
      <c r="BH12" s="1" t="s">
        <v>885</v>
      </c>
      <c r="BI12" s="39" t="str">
        <f>CV81&amp;"|"&amp;CW81&amp;"|"&amp;CX81</f>
        <v>1|2|45000000</v>
      </c>
      <c r="BJ12" s="180" t="str">
        <f>CZ81&amp;"|"&amp;DA81&amp;"|"&amp;DB81</f>
        <v>1|2|9000000</v>
      </c>
      <c r="BK12" s="171">
        <f>DC81</f>
        <v>45000000</v>
      </c>
      <c r="BL12" s="171">
        <f>DE81</f>
        <v>45000000</v>
      </c>
      <c r="BM12" s="1">
        <f>DF81</f>
        <v>0</v>
      </c>
      <c r="BN12" s="171">
        <f>DG81</f>
        <v>0</v>
      </c>
      <c r="BO12" s="171">
        <f>DH81</f>
        <v>0</v>
      </c>
      <c r="BP12" s="83">
        <f>DI81</f>
        <v>5</v>
      </c>
      <c r="BQ12" s="1" t="s">
        <v>885</v>
      </c>
      <c r="BR12" s="39" t="str">
        <f>CV82&amp;"|"&amp;CW82&amp;"|"&amp;CX82</f>
        <v>2|1007|7</v>
      </c>
      <c r="BS12" s="180" t="str">
        <f>CZ82&amp;"|"&amp;DA82&amp;"|"&amp;DB82</f>
        <v>2|1007|2</v>
      </c>
      <c r="BT12" s="171">
        <f>DC82</f>
        <v>35000000</v>
      </c>
      <c r="BU12" s="171">
        <f>DE82</f>
        <v>35000000</v>
      </c>
      <c r="BV12" s="1">
        <f>DF82</f>
        <v>0</v>
      </c>
      <c r="BW12" s="171">
        <f>DG82</f>
        <v>0</v>
      </c>
      <c r="BX12" s="171">
        <f>DH82</f>
        <v>0</v>
      </c>
      <c r="BY12" s="83">
        <f>DI82</f>
        <v>8</v>
      </c>
      <c r="BZ12" s="1" t="s">
        <v>885</v>
      </c>
      <c r="CA12" s="39" t="str">
        <f>CV83&amp;"|"&amp;CW83&amp;"|"&amp;CX83</f>
        <v>2|1007|8</v>
      </c>
      <c r="CB12" s="180" t="str">
        <f>CZ83&amp;"|"&amp;DA83&amp;"|"&amp;DB83</f>
        <v>2|1007|2</v>
      </c>
      <c r="CC12" s="171">
        <f>DC83</f>
        <v>40000000</v>
      </c>
      <c r="CD12" s="171">
        <f>DE83</f>
        <v>40000000</v>
      </c>
      <c r="CE12" s="1">
        <f>DF83</f>
        <v>0</v>
      </c>
      <c r="CF12" s="171">
        <f>DG83</f>
        <v>0</v>
      </c>
      <c r="CG12" s="171">
        <f>DH83</f>
        <v>0</v>
      </c>
      <c r="CH12" s="83">
        <f>DI83</f>
        <v>3</v>
      </c>
      <c r="CI12" s="1" t="s">
        <v>561</v>
      </c>
      <c r="CJ12" s="39" t="str">
        <f>CV84&amp;"|"&amp;CW84&amp;"|"&amp;CX84</f>
        <v>2|1008|5</v>
      </c>
      <c r="CK12" s="180" t="str">
        <f>CZ84&amp;"|"&amp;DA84&amp;"|"&amp;DB84</f>
        <v>2|1008|1</v>
      </c>
      <c r="CL12" s="171">
        <f>DC84</f>
        <v>50000000</v>
      </c>
      <c r="CM12" s="171">
        <f>DE84</f>
        <v>50000000</v>
      </c>
      <c r="CN12" s="1">
        <f>DF84</f>
        <v>0</v>
      </c>
      <c r="CO12" s="171">
        <f>DG84</f>
        <v>0</v>
      </c>
      <c r="CP12" s="171">
        <f>DH84</f>
        <v>0</v>
      </c>
      <c r="CQ12" s="83">
        <f>DI84</f>
        <v>6</v>
      </c>
      <c r="CR12" s="1" t="s">
        <v>1471</v>
      </c>
      <c r="CT12" s="666"/>
      <c r="CU12" s="200" t="s">
        <v>169</v>
      </c>
      <c r="CV12" s="70">
        <f t="shared" si="5"/>
        <v>1</v>
      </c>
      <c r="CW12" s="70">
        <f t="shared" si="6"/>
        <v>2</v>
      </c>
      <c r="CX12" s="201">
        <v>80000</v>
      </c>
      <c r="CY12" s="200" t="str">
        <f t="shared" si="17"/>
        <v>金币</v>
      </c>
      <c r="CZ12" s="202">
        <f>VLOOKUP(CY12,DN:DR,4,0)</f>
        <v>1</v>
      </c>
      <c r="DA12" s="202">
        <f>VLOOKUP(CY12,DN:DR,5,0)</f>
        <v>2</v>
      </c>
      <c r="DB12" s="201">
        <v>260</v>
      </c>
      <c r="DC12" s="202">
        <f t="shared" si="8"/>
        <v>80000</v>
      </c>
      <c r="DD12" s="202">
        <f t="shared" si="9"/>
        <v>260</v>
      </c>
      <c r="DE12" s="70">
        <f t="shared" si="10"/>
        <v>80000</v>
      </c>
      <c r="DF12" s="70">
        <v>0</v>
      </c>
      <c r="DG12" s="11"/>
      <c r="DH12" s="11"/>
      <c r="DI12" s="11">
        <v>5</v>
      </c>
      <c r="DJ12" s="223"/>
      <c r="DN12" s="10" t="s">
        <v>1110</v>
      </c>
      <c r="DO12" s="11">
        <f>DO7*500</f>
        <v>2.5000000000000001E-3</v>
      </c>
      <c r="DP12" s="11">
        <f>DP7*500</f>
        <v>2.5000000000000001E-2</v>
      </c>
      <c r="DQ12" s="11">
        <v>2</v>
      </c>
      <c r="DR12" s="19">
        <v>1204</v>
      </c>
      <c r="DS12" s="227">
        <v>1</v>
      </c>
    </row>
    <row r="13" spans="1:123" ht="16.5" customHeight="1" x14ac:dyDescent="0.25">
      <c r="CT13" s="666"/>
      <c r="CU13" s="200" t="s">
        <v>169</v>
      </c>
      <c r="CV13" s="70">
        <f t="shared" si="5"/>
        <v>1</v>
      </c>
      <c r="CW13" s="70">
        <f t="shared" si="6"/>
        <v>2</v>
      </c>
      <c r="CX13" s="201">
        <v>100000</v>
      </c>
      <c r="CY13" s="200" t="str">
        <f t="shared" si="17"/>
        <v>金币</v>
      </c>
      <c r="CZ13" s="202">
        <f>VLOOKUP(CY13,DN:DR,4,0)</f>
        <v>1</v>
      </c>
      <c r="DA13" s="202">
        <f>VLOOKUP(CY13,DN:DR,5,0)</f>
        <v>2</v>
      </c>
      <c r="DB13" s="201">
        <v>270</v>
      </c>
      <c r="DC13" s="202">
        <f t="shared" si="8"/>
        <v>100000</v>
      </c>
      <c r="DD13" s="202">
        <f t="shared" si="9"/>
        <v>270</v>
      </c>
      <c r="DE13" s="70">
        <f t="shared" si="10"/>
        <v>100000</v>
      </c>
      <c r="DF13" s="70">
        <v>0</v>
      </c>
      <c r="DG13" s="11"/>
      <c r="DH13" s="11"/>
      <c r="DI13" s="11">
        <v>8</v>
      </c>
      <c r="DJ13" s="223"/>
      <c r="DN13" s="10" t="s">
        <v>1662</v>
      </c>
      <c r="DO13" s="11">
        <f t="shared" si="33"/>
        <v>5</v>
      </c>
      <c r="DP13" s="11">
        <f>DP7*1000000</f>
        <v>50</v>
      </c>
      <c r="DQ13" s="11">
        <v>2</v>
      </c>
      <c r="DR13" s="19">
        <v>1005</v>
      </c>
      <c r="DS13" s="227">
        <v>1</v>
      </c>
    </row>
    <row r="14" spans="1:123" ht="16.5" customHeight="1" x14ac:dyDescent="0.25">
      <c r="CT14" s="667"/>
      <c r="CU14" s="203" t="s">
        <v>169</v>
      </c>
      <c r="CV14" s="204">
        <f t="shared" si="5"/>
        <v>1</v>
      </c>
      <c r="CW14" s="204">
        <f t="shared" si="6"/>
        <v>2</v>
      </c>
      <c r="CX14" s="201">
        <v>120000</v>
      </c>
      <c r="CY14" s="203" t="str">
        <f t="shared" si="17"/>
        <v>金币</v>
      </c>
      <c r="CZ14" s="205">
        <f>VLOOKUP(CY14,DN:DR,4,0)</f>
        <v>1</v>
      </c>
      <c r="DA14" s="205">
        <f>VLOOKUP(CY14,DN:DR,5,0)</f>
        <v>2</v>
      </c>
      <c r="DB14" s="201">
        <v>280</v>
      </c>
      <c r="DC14" s="205">
        <f t="shared" si="8"/>
        <v>120000</v>
      </c>
      <c r="DD14" s="205">
        <f t="shared" si="9"/>
        <v>280</v>
      </c>
      <c r="DE14" s="204">
        <f t="shared" si="10"/>
        <v>120000</v>
      </c>
      <c r="DF14" s="204">
        <v>0</v>
      </c>
      <c r="DG14" s="137"/>
      <c r="DH14" s="137"/>
      <c r="DI14" s="137">
        <v>6</v>
      </c>
      <c r="DJ14" s="224"/>
      <c r="DN14" s="10" t="s">
        <v>1109</v>
      </c>
      <c r="DO14" s="11">
        <f t="shared" si="33"/>
        <v>10</v>
      </c>
      <c r="DP14" s="11">
        <f>DP7*2000000</f>
        <v>100</v>
      </c>
      <c r="DQ14" s="11">
        <v>2</v>
      </c>
      <c r="DR14" s="19">
        <v>1006</v>
      </c>
      <c r="DS14" s="227">
        <v>1</v>
      </c>
    </row>
    <row r="15" spans="1:123" ht="16.5" customHeight="1" x14ac:dyDescent="0.25">
      <c r="CT15" s="665" t="str">
        <f>"抽奖
第2档
"&amp;D6&amp;"~
"&amp;E6</f>
        <v>抽奖
第2档
100000~
500000</v>
      </c>
      <c r="CU15" s="196" t="s">
        <v>169</v>
      </c>
      <c r="CV15" s="197">
        <f t="shared" si="5"/>
        <v>1</v>
      </c>
      <c r="CW15" s="197">
        <f t="shared" si="6"/>
        <v>2</v>
      </c>
      <c r="CX15" s="198">
        <v>750000</v>
      </c>
      <c r="CY15" s="196" t="str">
        <f t="shared" si="17"/>
        <v>金币</v>
      </c>
      <c r="CZ15" s="199">
        <f>VLOOKUP(CY15,DN:DR,4,0)</f>
        <v>1</v>
      </c>
      <c r="DA15" s="199">
        <f>VLOOKUP(CY15,DN:DR,5,0)</f>
        <v>2</v>
      </c>
      <c r="DB15" s="198">
        <f t="shared" ref="DB15:DB20" si="47">ROUNDUP(CX15/5,0)</f>
        <v>150000</v>
      </c>
      <c r="DC15" s="199">
        <f t="shared" si="8"/>
        <v>795000</v>
      </c>
      <c r="DD15" s="199">
        <f t="shared" si="9"/>
        <v>150000</v>
      </c>
      <c r="DE15" s="219">
        <f t="shared" si="10"/>
        <v>750000</v>
      </c>
      <c r="DF15" s="197">
        <v>1</v>
      </c>
      <c r="DG15" s="216">
        <v>1</v>
      </c>
      <c r="DH15" s="216">
        <v>0.3</v>
      </c>
      <c r="DI15" s="129">
        <v>1</v>
      </c>
      <c r="DJ15" s="222"/>
      <c r="DN15" s="10" t="s">
        <v>1119</v>
      </c>
      <c r="DO15" s="11">
        <f t="shared" si="33"/>
        <v>25</v>
      </c>
      <c r="DP15" s="11">
        <f>DP7*5000000</f>
        <v>250</v>
      </c>
      <c r="DQ15" s="11">
        <v>2</v>
      </c>
      <c r="DR15" s="19">
        <v>1007</v>
      </c>
      <c r="DS15" s="227">
        <v>1</v>
      </c>
    </row>
    <row r="16" spans="1:123" x14ac:dyDescent="0.25">
      <c r="CT16" s="666"/>
      <c r="CU16" s="200" t="s">
        <v>1144</v>
      </c>
      <c r="CV16" s="70">
        <f t="shared" si="5"/>
        <v>2</v>
      </c>
      <c r="CW16" s="70">
        <f t="shared" si="6"/>
        <v>1003</v>
      </c>
      <c r="CX16" s="201">
        <v>2</v>
      </c>
      <c r="CY16" s="200" t="str">
        <f t="shared" si="17"/>
        <v>狂暴</v>
      </c>
      <c r="CZ16" s="202">
        <f t="shared" ref="CZ16:CZ20" si="48">VLOOKUP(CY16,DN:DR,4,0)</f>
        <v>2</v>
      </c>
      <c r="DA16" s="202">
        <f t="shared" ref="DA16:DA20" si="49">VLOOKUP(CY16,DN:DR,5,0)</f>
        <v>1003</v>
      </c>
      <c r="DB16" s="201">
        <f t="shared" si="47"/>
        <v>1</v>
      </c>
      <c r="DC16" s="202">
        <f t="shared" si="8"/>
        <v>550000</v>
      </c>
      <c r="DD16" s="202">
        <f t="shared" si="9"/>
        <v>200000</v>
      </c>
      <c r="DE16" s="70">
        <f t="shared" si="10"/>
        <v>400000</v>
      </c>
      <c r="DF16" s="70">
        <v>0</v>
      </c>
      <c r="DG16" s="217">
        <v>0.5</v>
      </c>
      <c r="DH16" s="217">
        <v>0.75</v>
      </c>
      <c r="DI16" s="11">
        <v>5</v>
      </c>
      <c r="DJ16" s="223"/>
      <c r="DN16" s="10" t="s">
        <v>1108</v>
      </c>
      <c r="DO16" s="11">
        <f t="shared" si="33"/>
        <v>50</v>
      </c>
      <c r="DP16" s="11">
        <f>DP7*10000000</f>
        <v>500</v>
      </c>
      <c r="DQ16" s="11">
        <v>2</v>
      </c>
      <c r="DR16" s="19">
        <v>1008</v>
      </c>
      <c r="DS16" s="227">
        <v>1</v>
      </c>
    </row>
    <row r="17" spans="98:130" ht="16.5" customHeight="1" x14ac:dyDescent="0.25">
      <c r="CT17" s="666"/>
      <c r="CU17" s="200" t="s">
        <v>169</v>
      </c>
      <c r="CV17" s="70">
        <f t="shared" si="5"/>
        <v>1</v>
      </c>
      <c r="CW17" s="70">
        <f t="shared" si="6"/>
        <v>2</v>
      </c>
      <c r="CX17" s="201">
        <v>60000</v>
      </c>
      <c r="CY17" s="200" t="str">
        <f t="shared" si="17"/>
        <v>金币</v>
      </c>
      <c r="CZ17" s="202">
        <f t="shared" si="48"/>
        <v>1</v>
      </c>
      <c r="DA17" s="202">
        <f t="shared" si="49"/>
        <v>2</v>
      </c>
      <c r="DB17" s="201">
        <f t="shared" si="47"/>
        <v>12000</v>
      </c>
      <c r="DC17" s="202">
        <f t="shared" si="8"/>
        <v>69000</v>
      </c>
      <c r="DD17" s="202">
        <f t="shared" si="9"/>
        <v>12000</v>
      </c>
      <c r="DE17" s="70">
        <f t="shared" si="10"/>
        <v>60000</v>
      </c>
      <c r="DF17" s="70">
        <v>0</v>
      </c>
      <c r="DG17" s="217">
        <v>1</v>
      </c>
      <c r="DH17" s="217">
        <v>0.75</v>
      </c>
      <c r="DI17" s="11">
        <v>9</v>
      </c>
      <c r="DJ17" s="223"/>
      <c r="DN17" s="10" t="s">
        <v>1663</v>
      </c>
      <c r="DO17" s="11">
        <v>5</v>
      </c>
      <c r="DP17" s="11">
        <f>DO17*10</f>
        <v>50</v>
      </c>
      <c r="DQ17" s="11">
        <v>2</v>
      </c>
      <c r="DR17" s="19">
        <v>1206</v>
      </c>
      <c r="DS17" s="227">
        <v>1</v>
      </c>
    </row>
    <row r="18" spans="98:130" ht="16.5" customHeight="1" x14ac:dyDescent="0.25">
      <c r="CT18" s="666"/>
      <c r="CU18" s="200" t="s">
        <v>169</v>
      </c>
      <c r="CV18" s="70">
        <f t="shared" si="5"/>
        <v>1</v>
      </c>
      <c r="CW18" s="70">
        <f t="shared" si="6"/>
        <v>2</v>
      </c>
      <c r="CX18" s="201">
        <v>100000</v>
      </c>
      <c r="CY18" s="200" t="str">
        <f t="shared" si="17"/>
        <v>金币</v>
      </c>
      <c r="CZ18" s="202">
        <f t="shared" si="48"/>
        <v>1</v>
      </c>
      <c r="DA18" s="202">
        <f t="shared" si="49"/>
        <v>2</v>
      </c>
      <c r="DB18" s="201">
        <f t="shared" si="47"/>
        <v>20000</v>
      </c>
      <c r="DC18" s="202">
        <f t="shared" si="8"/>
        <v>115000</v>
      </c>
      <c r="DD18" s="202">
        <f t="shared" si="9"/>
        <v>20000</v>
      </c>
      <c r="DE18" s="70">
        <f t="shared" si="10"/>
        <v>100000</v>
      </c>
      <c r="DF18" s="70">
        <v>0</v>
      </c>
      <c r="DG18" s="217">
        <v>0.5</v>
      </c>
      <c r="DH18" s="217">
        <v>0.75</v>
      </c>
      <c r="DI18" s="11">
        <v>4</v>
      </c>
      <c r="DJ18" s="223"/>
      <c r="DN18" s="10" t="s">
        <v>1664</v>
      </c>
      <c r="DO18" s="11">
        <v>2</v>
      </c>
      <c r="DP18" s="11">
        <f>DO18*10</f>
        <v>20</v>
      </c>
      <c r="DQ18" s="11">
        <v>2</v>
      </c>
      <c r="DR18" s="19">
        <v>1205</v>
      </c>
      <c r="DS18" s="227">
        <v>1</v>
      </c>
    </row>
    <row r="19" spans="98:130" ht="16.5" customHeight="1" x14ac:dyDescent="0.25">
      <c r="CT19" s="666"/>
      <c r="CU19" s="200" t="s">
        <v>169</v>
      </c>
      <c r="CV19" s="70">
        <f t="shared" si="5"/>
        <v>1</v>
      </c>
      <c r="CW19" s="70">
        <f t="shared" si="6"/>
        <v>2</v>
      </c>
      <c r="CX19" s="201">
        <v>200000</v>
      </c>
      <c r="CY19" s="200" t="str">
        <f t="shared" si="17"/>
        <v>金币</v>
      </c>
      <c r="CZ19" s="202">
        <f t="shared" si="48"/>
        <v>1</v>
      </c>
      <c r="DA19" s="202">
        <f t="shared" si="49"/>
        <v>2</v>
      </c>
      <c r="DB19" s="201">
        <f t="shared" si="47"/>
        <v>40000</v>
      </c>
      <c r="DC19" s="202">
        <f t="shared" si="8"/>
        <v>220000</v>
      </c>
      <c r="DD19" s="202">
        <f t="shared" si="9"/>
        <v>40000</v>
      </c>
      <c r="DE19" s="70">
        <f t="shared" si="10"/>
        <v>200000</v>
      </c>
      <c r="DF19" s="70">
        <v>0</v>
      </c>
      <c r="DG19" s="217">
        <v>0.5</v>
      </c>
      <c r="DH19" s="218">
        <v>0.5</v>
      </c>
      <c r="DI19" s="11">
        <v>7</v>
      </c>
      <c r="DJ19" s="223"/>
      <c r="DN19" s="13" t="s">
        <v>1665</v>
      </c>
      <c r="DO19" s="14">
        <f t="shared" si="33"/>
        <v>200</v>
      </c>
      <c r="DP19" s="14">
        <v>2000</v>
      </c>
      <c r="DQ19" s="14">
        <v>2</v>
      </c>
      <c r="DR19" s="21">
        <v>1208</v>
      </c>
      <c r="DS19" s="227">
        <v>1</v>
      </c>
    </row>
    <row r="20" spans="98:130" ht="16.5" customHeight="1" x14ac:dyDescent="0.25">
      <c r="CT20" s="666"/>
      <c r="CU20" s="200" t="s">
        <v>169</v>
      </c>
      <c r="CV20" s="70">
        <f t="shared" si="5"/>
        <v>1</v>
      </c>
      <c r="CW20" s="70">
        <f t="shared" si="6"/>
        <v>2</v>
      </c>
      <c r="CX20" s="201">
        <v>300000</v>
      </c>
      <c r="CY20" s="200" t="str">
        <f t="shared" si="17"/>
        <v>金币</v>
      </c>
      <c r="CZ20" s="202">
        <f t="shared" si="48"/>
        <v>1</v>
      </c>
      <c r="DA20" s="202">
        <f t="shared" si="49"/>
        <v>2</v>
      </c>
      <c r="DB20" s="201">
        <f t="shared" si="47"/>
        <v>60000</v>
      </c>
      <c r="DC20" s="202">
        <f t="shared" si="8"/>
        <v>318000</v>
      </c>
      <c r="DD20" s="202">
        <f t="shared" si="9"/>
        <v>60000</v>
      </c>
      <c r="DE20" s="70">
        <f t="shared" si="10"/>
        <v>300000</v>
      </c>
      <c r="DF20" s="70">
        <v>0</v>
      </c>
      <c r="DG20" s="217">
        <v>1</v>
      </c>
      <c r="DH20" s="218">
        <v>0.3</v>
      </c>
      <c r="DI20" s="11">
        <v>3</v>
      </c>
      <c r="DJ20" s="223"/>
      <c r="DN20" s="10" t="s">
        <v>1666</v>
      </c>
      <c r="DO20" s="11">
        <v>30</v>
      </c>
      <c r="DP20" s="11">
        <f>DO20*10</f>
        <v>300</v>
      </c>
      <c r="DQ20" s="1">
        <v>2</v>
      </c>
      <c r="DR20" s="1">
        <v>1209</v>
      </c>
      <c r="DS20" s="227">
        <v>1</v>
      </c>
    </row>
    <row r="21" spans="98:130" ht="16.5" customHeight="1" x14ac:dyDescent="0.25">
      <c r="CT21" s="666"/>
      <c r="CU21" s="200" t="s">
        <v>169</v>
      </c>
      <c r="CV21" s="70">
        <f t="shared" si="5"/>
        <v>1</v>
      </c>
      <c r="CW21" s="70">
        <f t="shared" si="6"/>
        <v>2</v>
      </c>
      <c r="CX21" s="201">
        <v>400000</v>
      </c>
      <c r="CY21" s="200" t="str">
        <f t="shared" si="17"/>
        <v>金币</v>
      </c>
      <c r="CZ21" s="202">
        <f>VLOOKUP(CY21,DN:DR,4,0)</f>
        <v>1</v>
      </c>
      <c r="DA21" s="202">
        <f>VLOOKUP(CY21,DN:DR,5,0)</f>
        <v>2</v>
      </c>
      <c r="DB21" s="201">
        <f t="shared" ref="DB21:DB28" si="50">ROUNDUP(CX21/5,0)</f>
        <v>80000</v>
      </c>
      <c r="DC21" s="202">
        <f t="shared" si="8"/>
        <v>400000</v>
      </c>
      <c r="DD21" s="202">
        <f t="shared" si="9"/>
        <v>80000</v>
      </c>
      <c r="DE21" s="70">
        <f t="shared" si="10"/>
        <v>400000</v>
      </c>
      <c r="DF21" s="70">
        <v>0</v>
      </c>
      <c r="DG21" s="11"/>
      <c r="DH21" s="11"/>
      <c r="DI21" s="11">
        <v>10</v>
      </c>
      <c r="DJ21" s="223"/>
      <c r="DN21" s="10" t="s">
        <v>1667</v>
      </c>
      <c r="DO21" s="1">
        <v>50</v>
      </c>
      <c r="DP21" s="11">
        <f>DO21*10</f>
        <v>500</v>
      </c>
      <c r="DQ21" s="1">
        <v>2</v>
      </c>
      <c r="DR21" s="1">
        <v>1210</v>
      </c>
      <c r="DS21" s="227">
        <v>1</v>
      </c>
    </row>
    <row r="22" spans="98:130" x14ac:dyDescent="0.25">
      <c r="CT22" s="666"/>
      <c r="CU22" s="200" t="s">
        <v>1107</v>
      </c>
      <c r="CV22" s="70">
        <f t="shared" si="5"/>
        <v>1</v>
      </c>
      <c r="CW22" s="70">
        <f t="shared" si="6"/>
        <v>1</v>
      </c>
      <c r="CX22" s="201">
        <v>10</v>
      </c>
      <c r="CY22" s="200" t="str">
        <f t="shared" si="17"/>
        <v>钻石</v>
      </c>
      <c r="CZ22" s="202">
        <f>VLOOKUP(CY22,DN:DR,4,0)</f>
        <v>1</v>
      </c>
      <c r="DA22" s="202">
        <f>VLOOKUP(CY22,DN:DR,5,0)</f>
        <v>1</v>
      </c>
      <c r="DB22" s="201">
        <f t="shared" si="50"/>
        <v>2</v>
      </c>
      <c r="DC22" s="202">
        <f t="shared" si="8"/>
        <v>200000</v>
      </c>
      <c r="DD22" s="202">
        <f t="shared" si="9"/>
        <v>40000</v>
      </c>
      <c r="DE22" s="70">
        <f t="shared" si="10"/>
        <v>200000</v>
      </c>
      <c r="DF22" s="70">
        <v>0</v>
      </c>
      <c r="DG22" s="11"/>
      <c r="DH22" s="11"/>
      <c r="DI22" s="11">
        <v>2</v>
      </c>
      <c r="DJ22" s="223"/>
      <c r="DN22" s="1" t="s">
        <v>1668</v>
      </c>
      <c r="DO22" s="1">
        <v>1</v>
      </c>
      <c r="DP22" s="1">
        <v>10</v>
      </c>
      <c r="DQ22" s="1">
        <v>1</v>
      </c>
      <c r="DR22" s="1">
        <v>6</v>
      </c>
      <c r="DS22" s="227">
        <v>1</v>
      </c>
    </row>
    <row r="23" spans="98:130" ht="16.5" customHeight="1" x14ac:dyDescent="0.25">
      <c r="CT23" s="666"/>
      <c r="CU23" s="200" t="s">
        <v>1107</v>
      </c>
      <c r="CV23" s="70">
        <f t="shared" si="5"/>
        <v>1</v>
      </c>
      <c r="CW23" s="70">
        <f t="shared" si="6"/>
        <v>1</v>
      </c>
      <c r="CX23" s="201">
        <v>25</v>
      </c>
      <c r="CY23" s="200" t="str">
        <f t="shared" si="17"/>
        <v>钻石</v>
      </c>
      <c r="CZ23" s="202">
        <f>VLOOKUP(CY23,DN:DR,4,0)</f>
        <v>1</v>
      </c>
      <c r="DA23" s="202">
        <f>VLOOKUP(CY23,DN:DR,5,0)</f>
        <v>1</v>
      </c>
      <c r="DB23" s="201">
        <f t="shared" si="50"/>
        <v>5</v>
      </c>
      <c r="DC23" s="202">
        <f t="shared" si="8"/>
        <v>500000</v>
      </c>
      <c r="DD23" s="202">
        <f t="shared" si="9"/>
        <v>100000</v>
      </c>
      <c r="DE23" s="70">
        <f t="shared" si="10"/>
        <v>500000</v>
      </c>
      <c r="DF23" s="70">
        <v>0</v>
      </c>
      <c r="DG23" s="11"/>
      <c r="DH23" s="11"/>
      <c r="DI23" s="11">
        <v>8</v>
      </c>
      <c r="DJ23" s="223"/>
      <c r="DN23" s="1" t="s">
        <v>1669</v>
      </c>
      <c r="DO23" s="1">
        <v>1</v>
      </c>
      <c r="DP23" s="1">
        <v>10</v>
      </c>
      <c r="DQ23" s="1">
        <v>2</v>
      </c>
      <c r="DR23" s="1">
        <v>1301</v>
      </c>
      <c r="DS23" s="227">
        <v>1</v>
      </c>
    </row>
    <row r="24" spans="98:130" ht="16.5" customHeight="1" x14ac:dyDescent="0.25">
      <c r="CT24" s="667"/>
      <c r="CU24" s="203" t="s">
        <v>169</v>
      </c>
      <c r="CV24" s="204">
        <f t="shared" si="5"/>
        <v>1</v>
      </c>
      <c r="CW24" s="204">
        <f t="shared" si="6"/>
        <v>2</v>
      </c>
      <c r="CX24" s="201">
        <v>600000</v>
      </c>
      <c r="CY24" s="203" t="str">
        <f t="shared" si="17"/>
        <v>金币</v>
      </c>
      <c r="CZ24" s="205">
        <f>VLOOKUP(CY24,DN:DR,4,0)</f>
        <v>1</v>
      </c>
      <c r="DA24" s="205">
        <f>VLOOKUP(CY24,DN:DR,5,0)</f>
        <v>2</v>
      </c>
      <c r="DB24" s="207">
        <f t="shared" si="50"/>
        <v>120000</v>
      </c>
      <c r="DC24" s="205">
        <f t="shared" si="8"/>
        <v>600000</v>
      </c>
      <c r="DD24" s="205">
        <f t="shared" si="9"/>
        <v>120000</v>
      </c>
      <c r="DE24" s="204">
        <f t="shared" si="10"/>
        <v>600000</v>
      </c>
      <c r="DF24" s="204">
        <v>0</v>
      </c>
      <c r="DG24" s="137"/>
      <c r="DH24" s="137"/>
      <c r="DI24" s="137">
        <v>6</v>
      </c>
      <c r="DJ24" s="224"/>
      <c r="DN24" s="1" t="s">
        <v>1670</v>
      </c>
      <c r="DO24" s="1">
        <v>1</v>
      </c>
      <c r="DP24" s="1">
        <v>10</v>
      </c>
      <c r="DQ24" s="1">
        <v>2</v>
      </c>
      <c r="DR24" s="1">
        <v>1302</v>
      </c>
      <c r="DS24" s="227">
        <v>1</v>
      </c>
    </row>
    <row r="25" spans="98:130" ht="16.5" customHeight="1" x14ac:dyDescent="0.25">
      <c r="CT25" s="665" t="str">
        <f>"抽奖
第3档
"&amp;D7&amp;"~
"&amp;E7</f>
        <v>抽奖
第3档
500000~
1000000</v>
      </c>
      <c r="CU25" s="196" t="s">
        <v>169</v>
      </c>
      <c r="CV25" s="197">
        <f t="shared" si="5"/>
        <v>1</v>
      </c>
      <c r="CW25" s="197">
        <f t="shared" si="6"/>
        <v>2</v>
      </c>
      <c r="CX25" s="198">
        <v>1500000</v>
      </c>
      <c r="CY25" s="196" t="str">
        <f t="shared" si="17"/>
        <v>金币</v>
      </c>
      <c r="CZ25" s="199">
        <f>VLOOKUP(CY25,DN:DR,4,0)</f>
        <v>1</v>
      </c>
      <c r="DA25" s="199">
        <f>VLOOKUP(CY25,DN:DR,5,0)</f>
        <v>2</v>
      </c>
      <c r="DB25" s="198">
        <f t="shared" si="50"/>
        <v>300000</v>
      </c>
      <c r="DC25" s="199">
        <f t="shared" si="8"/>
        <v>1590000</v>
      </c>
      <c r="DD25" s="199">
        <f t="shared" si="9"/>
        <v>300000</v>
      </c>
      <c r="DE25" s="219">
        <f t="shared" si="10"/>
        <v>1500000</v>
      </c>
      <c r="DF25" s="197">
        <v>1</v>
      </c>
      <c r="DG25" s="216">
        <v>1</v>
      </c>
      <c r="DH25" s="216">
        <v>0.3</v>
      </c>
      <c r="DI25" s="129">
        <v>1</v>
      </c>
      <c r="DJ25" s="222"/>
      <c r="DN25" s="1" t="s">
        <v>1671</v>
      </c>
      <c r="DO25" s="1">
        <v>1</v>
      </c>
      <c r="DP25" s="1">
        <v>10</v>
      </c>
      <c r="DQ25" s="1">
        <v>2</v>
      </c>
      <c r="DR25" s="1">
        <v>1303</v>
      </c>
      <c r="DS25" s="227">
        <v>1</v>
      </c>
      <c r="DU25" s="1" t="s">
        <v>1672</v>
      </c>
      <c r="DV25" s="1">
        <v>40</v>
      </c>
      <c r="DW25" s="1">
        <f>'抽奖|MoonBless'!HP25</f>
        <v>0</v>
      </c>
      <c r="DX25" s="1">
        <v>2</v>
      </c>
      <c r="DY25" s="1">
        <v>1500</v>
      </c>
      <c r="DZ25" s="120">
        <v>1</v>
      </c>
    </row>
    <row r="26" spans="98:130" ht="16.5" customHeight="1" x14ac:dyDescent="0.25">
      <c r="CT26" s="666"/>
      <c r="CU26" s="200" t="s">
        <v>1144</v>
      </c>
      <c r="CV26" s="70">
        <f t="shared" si="5"/>
        <v>2</v>
      </c>
      <c r="CW26" s="70">
        <f t="shared" si="6"/>
        <v>1003</v>
      </c>
      <c r="CX26" s="206">
        <v>3</v>
      </c>
      <c r="CY26" s="200" t="str">
        <f t="shared" si="17"/>
        <v>狂暴</v>
      </c>
      <c r="CZ26" s="202">
        <f t="shared" ref="CZ26:CZ30" si="51">VLOOKUP(CY26,DN:DR,4,0)</f>
        <v>2</v>
      </c>
      <c r="DA26" s="202">
        <f t="shared" ref="DA26:DA30" si="52">VLOOKUP(CY26,DN:DR,5,0)</f>
        <v>1003</v>
      </c>
      <c r="DB26" s="201">
        <f t="shared" si="50"/>
        <v>1</v>
      </c>
      <c r="DC26" s="202">
        <f t="shared" si="8"/>
        <v>750000</v>
      </c>
      <c r="DD26" s="202">
        <f t="shared" si="9"/>
        <v>200000</v>
      </c>
      <c r="DE26" s="70">
        <f t="shared" si="10"/>
        <v>600000</v>
      </c>
      <c r="DF26" s="70">
        <v>0</v>
      </c>
      <c r="DG26" s="217">
        <v>1</v>
      </c>
      <c r="DH26" s="217">
        <v>0.75</v>
      </c>
      <c r="DI26" s="11">
        <v>7</v>
      </c>
      <c r="DJ26" s="223"/>
      <c r="DN26" s="1" t="s">
        <v>1673</v>
      </c>
      <c r="DO26" s="1">
        <v>1</v>
      </c>
      <c r="DP26" s="1">
        <v>10</v>
      </c>
      <c r="DQ26" s="1">
        <v>2</v>
      </c>
      <c r="DR26" s="1">
        <v>1304</v>
      </c>
      <c r="DS26" s="227">
        <v>1</v>
      </c>
      <c r="DU26" s="1" t="s">
        <v>1674</v>
      </c>
      <c r="DV26" s="1">
        <v>80</v>
      </c>
      <c r="DW26" s="1">
        <v>0</v>
      </c>
      <c r="DX26" s="1">
        <v>2</v>
      </c>
      <c r="DY26" s="1">
        <v>1503</v>
      </c>
      <c r="DZ26" s="120">
        <v>1</v>
      </c>
    </row>
    <row r="27" spans="98:130" ht="16.5" customHeight="1" x14ac:dyDescent="0.25">
      <c r="CT27" s="666"/>
      <c r="CU27" s="200" t="s">
        <v>1144</v>
      </c>
      <c r="CV27" s="70">
        <f t="shared" si="5"/>
        <v>2</v>
      </c>
      <c r="CW27" s="70">
        <f t="shared" si="6"/>
        <v>1003</v>
      </c>
      <c r="CX27" s="206">
        <v>4</v>
      </c>
      <c r="CY27" s="200" t="str">
        <f t="shared" si="17"/>
        <v>狂暴</v>
      </c>
      <c r="CZ27" s="202">
        <f t="shared" si="51"/>
        <v>2</v>
      </c>
      <c r="DA27" s="202">
        <f t="shared" si="52"/>
        <v>1003</v>
      </c>
      <c r="DB27" s="201">
        <f t="shared" si="50"/>
        <v>1</v>
      </c>
      <c r="DC27" s="202">
        <f t="shared" si="8"/>
        <v>950000</v>
      </c>
      <c r="DD27" s="202">
        <f t="shared" si="9"/>
        <v>200000</v>
      </c>
      <c r="DE27" s="70">
        <f t="shared" si="10"/>
        <v>800000</v>
      </c>
      <c r="DF27" s="70">
        <v>0</v>
      </c>
      <c r="DG27" s="217">
        <v>0.5</v>
      </c>
      <c r="DH27" s="217">
        <v>0.75</v>
      </c>
      <c r="DI27" s="11">
        <v>10</v>
      </c>
      <c r="DJ27" s="223"/>
      <c r="DN27" s="1" t="s">
        <v>1672</v>
      </c>
      <c r="DO27" s="1">
        <f>DO12*1000*40</f>
        <v>100</v>
      </c>
      <c r="DP27" s="1">
        <f t="shared" ref="DP27:DP30" si="53">DO27*10</f>
        <v>1000</v>
      </c>
      <c r="DQ27" s="1">
        <v>2</v>
      </c>
      <c r="DR27" s="1">
        <v>1500</v>
      </c>
      <c r="DS27" s="120">
        <v>1</v>
      </c>
      <c r="DU27" s="1" t="s">
        <v>1675</v>
      </c>
      <c r="DV27" s="1">
        <v>110</v>
      </c>
      <c r="DW27" s="1">
        <v>0</v>
      </c>
      <c r="DX27" s="1">
        <v>2</v>
      </c>
      <c r="DY27" s="1">
        <v>1504</v>
      </c>
      <c r="DZ27" s="120">
        <v>1</v>
      </c>
    </row>
    <row r="28" spans="98:130" x14ac:dyDescent="0.25">
      <c r="CT28" s="666"/>
      <c r="CU28" s="200" t="s">
        <v>169</v>
      </c>
      <c r="CV28" s="70">
        <f t="shared" si="5"/>
        <v>1</v>
      </c>
      <c r="CW28" s="70">
        <f t="shared" si="6"/>
        <v>2</v>
      </c>
      <c r="CX28" s="201">
        <v>400000</v>
      </c>
      <c r="CY28" s="200" t="str">
        <f t="shared" si="17"/>
        <v>金币</v>
      </c>
      <c r="CZ28" s="202">
        <f t="shared" si="51"/>
        <v>1</v>
      </c>
      <c r="DA28" s="202">
        <f t="shared" si="52"/>
        <v>2</v>
      </c>
      <c r="DB28" s="201">
        <f t="shared" si="50"/>
        <v>80000</v>
      </c>
      <c r="DC28" s="202">
        <f t="shared" si="8"/>
        <v>460000</v>
      </c>
      <c r="DD28" s="202">
        <f t="shared" si="9"/>
        <v>80000</v>
      </c>
      <c r="DE28" s="70">
        <f t="shared" si="10"/>
        <v>400000</v>
      </c>
      <c r="DF28" s="70">
        <v>0</v>
      </c>
      <c r="DG28" s="217">
        <v>1</v>
      </c>
      <c r="DH28" s="217">
        <v>0.75</v>
      </c>
      <c r="DI28" s="11">
        <v>2</v>
      </c>
      <c r="DJ28" s="223"/>
      <c r="DN28" s="1" t="s">
        <v>1674</v>
      </c>
      <c r="DO28" s="1">
        <f>DO12*1000*80</f>
        <v>200</v>
      </c>
      <c r="DP28" s="1">
        <f t="shared" si="53"/>
        <v>2000</v>
      </c>
      <c r="DQ28" s="1">
        <v>2</v>
      </c>
      <c r="DR28" s="1">
        <v>1503</v>
      </c>
      <c r="DS28" s="120">
        <v>1</v>
      </c>
      <c r="DU28" s="1" t="s">
        <v>1676</v>
      </c>
      <c r="DV28" s="1">
        <v>1</v>
      </c>
      <c r="DW28" s="1">
        <v>10</v>
      </c>
      <c r="DX28" s="1">
        <v>2</v>
      </c>
      <c r="DY28" s="1">
        <v>1213</v>
      </c>
      <c r="DZ28" s="120">
        <v>1</v>
      </c>
    </row>
    <row r="29" spans="98:130" ht="16.5" customHeight="1" x14ac:dyDescent="0.25">
      <c r="CT29" s="666"/>
      <c r="CU29" s="200" t="s">
        <v>169</v>
      </c>
      <c r="CV29" s="70">
        <f t="shared" si="5"/>
        <v>1</v>
      </c>
      <c r="CW29" s="70">
        <f t="shared" si="6"/>
        <v>2</v>
      </c>
      <c r="CX29" s="201">
        <v>600000</v>
      </c>
      <c r="CY29" s="200" t="str">
        <f t="shared" si="17"/>
        <v>金币</v>
      </c>
      <c r="CZ29" s="202">
        <f t="shared" si="51"/>
        <v>1</v>
      </c>
      <c r="DA29" s="202">
        <f t="shared" si="52"/>
        <v>2</v>
      </c>
      <c r="DB29" s="201">
        <f>ROUNDUP(DE29/5,0)</f>
        <v>120000</v>
      </c>
      <c r="DC29" s="202">
        <f t="shared" si="8"/>
        <v>660000</v>
      </c>
      <c r="DD29" s="202">
        <f t="shared" si="9"/>
        <v>120000</v>
      </c>
      <c r="DE29" s="70">
        <f t="shared" si="10"/>
        <v>600000</v>
      </c>
      <c r="DF29" s="70">
        <v>0</v>
      </c>
      <c r="DG29" s="217">
        <v>1</v>
      </c>
      <c r="DH29" s="218">
        <v>0.5</v>
      </c>
      <c r="DI29" s="11">
        <v>4</v>
      </c>
      <c r="DJ29" s="223"/>
      <c r="DN29" s="1" t="s">
        <v>1675</v>
      </c>
      <c r="DO29" s="1">
        <f>DO12*1000*110</f>
        <v>275</v>
      </c>
      <c r="DP29" s="1">
        <f t="shared" si="53"/>
        <v>2750</v>
      </c>
      <c r="DQ29" s="1">
        <v>2</v>
      </c>
      <c r="DR29" s="1">
        <v>1504</v>
      </c>
      <c r="DS29" s="120">
        <v>1</v>
      </c>
    </row>
    <row r="30" spans="98:130" ht="16.5" customHeight="1" x14ac:dyDescent="0.25">
      <c r="CT30" s="666"/>
      <c r="CU30" s="200" t="s">
        <v>169</v>
      </c>
      <c r="CV30" s="70">
        <f t="shared" si="5"/>
        <v>1</v>
      </c>
      <c r="CW30" s="70">
        <f t="shared" si="6"/>
        <v>2</v>
      </c>
      <c r="CX30" s="201">
        <v>800000</v>
      </c>
      <c r="CY30" s="200" t="str">
        <f t="shared" si="17"/>
        <v>金币</v>
      </c>
      <c r="CZ30" s="202">
        <f t="shared" si="51"/>
        <v>1</v>
      </c>
      <c r="DA30" s="202">
        <f t="shared" si="52"/>
        <v>2</v>
      </c>
      <c r="DB30" s="201">
        <f>ROUNDUP(DE30/5,0)</f>
        <v>160000</v>
      </c>
      <c r="DC30" s="202">
        <f t="shared" si="8"/>
        <v>848000</v>
      </c>
      <c r="DD30" s="202">
        <f t="shared" si="9"/>
        <v>160000</v>
      </c>
      <c r="DE30" s="70">
        <f t="shared" si="10"/>
        <v>800000</v>
      </c>
      <c r="DF30" s="70">
        <v>0</v>
      </c>
      <c r="DG30" s="217">
        <v>1</v>
      </c>
      <c r="DH30" s="218">
        <v>0.3</v>
      </c>
      <c r="DI30" s="11">
        <v>5</v>
      </c>
      <c r="DJ30" s="223"/>
      <c r="DN30" s="1" t="s">
        <v>1676</v>
      </c>
      <c r="DO30" s="1">
        <f>DO12*1000*1</f>
        <v>2.5</v>
      </c>
      <c r="DP30" s="1">
        <f t="shared" si="53"/>
        <v>25</v>
      </c>
      <c r="DQ30" s="1">
        <v>2</v>
      </c>
      <c r="DR30" s="1">
        <v>1213</v>
      </c>
      <c r="DS30" s="120">
        <v>1</v>
      </c>
    </row>
    <row r="31" spans="98:130" ht="16.5" customHeight="1" x14ac:dyDescent="0.25">
      <c r="CT31" s="666"/>
      <c r="CU31" s="200" t="s">
        <v>169</v>
      </c>
      <c r="CV31" s="70">
        <f t="shared" si="5"/>
        <v>1</v>
      </c>
      <c r="CW31" s="70">
        <f t="shared" si="6"/>
        <v>2</v>
      </c>
      <c r="CX31" s="201">
        <v>1000000</v>
      </c>
      <c r="CY31" s="200" t="str">
        <f t="shared" si="17"/>
        <v>金币</v>
      </c>
      <c r="CZ31" s="202">
        <f>VLOOKUP(CY31,DN:DR,4,0)</f>
        <v>1</v>
      </c>
      <c r="DA31" s="202">
        <f>VLOOKUP(CY31,DN:DR,5,0)</f>
        <v>2</v>
      </c>
      <c r="DB31" s="201">
        <v>100</v>
      </c>
      <c r="DC31" s="202">
        <f t="shared" si="8"/>
        <v>1000000</v>
      </c>
      <c r="DD31" s="202">
        <f t="shared" si="9"/>
        <v>100</v>
      </c>
      <c r="DE31" s="70">
        <f t="shared" si="10"/>
        <v>1000000</v>
      </c>
      <c r="DF31" s="70">
        <v>0</v>
      </c>
      <c r="DG31" s="11"/>
      <c r="DH31" s="11"/>
      <c r="DI31" s="11">
        <v>8</v>
      </c>
      <c r="DJ31" s="223"/>
    </row>
    <row r="32" spans="98:130" ht="16.5" customHeight="1" x14ac:dyDescent="0.25">
      <c r="CT32" s="666"/>
      <c r="CU32" s="200" t="s">
        <v>169</v>
      </c>
      <c r="CV32" s="70">
        <f t="shared" si="5"/>
        <v>1</v>
      </c>
      <c r="CW32" s="70">
        <f t="shared" si="6"/>
        <v>2</v>
      </c>
      <c r="CX32" s="201">
        <v>1200000</v>
      </c>
      <c r="CY32" s="200" t="str">
        <f t="shared" si="17"/>
        <v>金币</v>
      </c>
      <c r="CZ32" s="202">
        <f>VLOOKUP(CY32,DN:DR,4,0)</f>
        <v>1</v>
      </c>
      <c r="DA32" s="202">
        <f>VLOOKUP(CY32,DN:DR,5,0)</f>
        <v>2</v>
      </c>
      <c r="DB32" s="201">
        <v>101</v>
      </c>
      <c r="DC32" s="202">
        <f t="shared" si="8"/>
        <v>1200000</v>
      </c>
      <c r="DD32" s="202">
        <f t="shared" si="9"/>
        <v>101</v>
      </c>
      <c r="DE32" s="70">
        <f t="shared" si="10"/>
        <v>1200000</v>
      </c>
      <c r="DF32" s="70">
        <v>0</v>
      </c>
      <c r="DG32" s="11"/>
      <c r="DH32" s="11"/>
      <c r="DI32" s="11">
        <v>3</v>
      </c>
      <c r="DJ32" s="223"/>
    </row>
    <row r="33" spans="98:114" ht="16.5" customHeight="1" x14ac:dyDescent="0.25">
      <c r="CT33" s="666"/>
      <c r="CU33" s="200" t="s">
        <v>1107</v>
      </c>
      <c r="CV33" s="70">
        <f t="shared" si="5"/>
        <v>1</v>
      </c>
      <c r="CW33" s="70">
        <f t="shared" si="6"/>
        <v>1</v>
      </c>
      <c r="CX33" s="201">
        <v>40</v>
      </c>
      <c r="CY33" s="200" t="str">
        <f t="shared" si="17"/>
        <v>钻石</v>
      </c>
      <c r="CZ33" s="202">
        <f>VLOOKUP(CY33,DN:DR,4,0)</f>
        <v>1</v>
      </c>
      <c r="DA33" s="202">
        <f>VLOOKUP(CY33,DN:DR,5,0)</f>
        <v>1</v>
      </c>
      <c r="DB33" s="201">
        <v>102</v>
      </c>
      <c r="DC33" s="202">
        <f t="shared" si="8"/>
        <v>800000</v>
      </c>
      <c r="DD33" s="202">
        <f t="shared" si="9"/>
        <v>2040000</v>
      </c>
      <c r="DE33" s="70">
        <f t="shared" si="10"/>
        <v>800000</v>
      </c>
      <c r="DF33" s="70">
        <v>0</v>
      </c>
      <c r="DG33" s="11"/>
      <c r="DH33" s="11"/>
      <c r="DI33" s="11">
        <v>9</v>
      </c>
      <c r="DJ33" s="223"/>
    </row>
    <row r="34" spans="98:114" x14ac:dyDescent="0.25">
      <c r="CT34" s="667"/>
      <c r="CU34" s="203" t="s">
        <v>1662</v>
      </c>
      <c r="CV34" s="204">
        <f t="shared" si="5"/>
        <v>2</v>
      </c>
      <c r="CW34" s="204">
        <f t="shared" si="6"/>
        <v>1005</v>
      </c>
      <c r="CX34" s="207">
        <v>1</v>
      </c>
      <c r="CY34" s="203" t="str">
        <f t="shared" si="17"/>
        <v>超级武器1</v>
      </c>
      <c r="CZ34" s="205">
        <f>VLOOKUP(CY34,DN:DR,4,0)</f>
        <v>2</v>
      </c>
      <c r="DA34" s="205">
        <f>VLOOKUP(CY34,DN:DR,5,0)</f>
        <v>1005</v>
      </c>
      <c r="DB34" s="207">
        <v>103</v>
      </c>
      <c r="DC34" s="205">
        <f t="shared" si="8"/>
        <v>1000000</v>
      </c>
      <c r="DD34" s="205">
        <f t="shared" si="9"/>
        <v>103000000</v>
      </c>
      <c r="DE34" s="204">
        <f t="shared" si="10"/>
        <v>1000000</v>
      </c>
      <c r="DF34" s="204">
        <v>0</v>
      </c>
      <c r="DG34" s="137"/>
      <c r="DH34" s="137"/>
      <c r="DI34" s="137">
        <v>6</v>
      </c>
      <c r="DJ34" s="224"/>
    </row>
    <row r="35" spans="98:114" ht="16.5" customHeight="1" x14ac:dyDescent="0.25">
      <c r="CT35" s="665" t="str">
        <f>"抽奖
第4档
"&amp;D8&amp;"~
"&amp;E8</f>
        <v>抽奖
第4档
1000000~
2000000</v>
      </c>
      <c r="CU35" s="196" t="s">
        <v>169</v>
      </c>
      <c r="CV35" s="197">
        <f t="shared" si="5"/>
        <v>1</v>
      </c>
      <c r="CW35" s="197">
        <f t="shared" si="6"/>
        <v>2</v>
      </c>
      <c r="CX35" s="198">
        <v>2500000</v>
      </c>
      <c r="CY35" s="196" t="str">
        <f t="shared" si="17"/>
        <v>金币</v>
      </c>
      <c r="CZ35" s="199">
        <f>VLOOKUP(CY35,DN:DR,4,0)</f>
        <v>1</v>
      </c>
      <c r="DA35" s="199">
        <f>VLOOKUP(CY35,DN:DR,5,0)</f>
        <v>2</v>
      </c>
      <c r="DB35" s="198">
        <f t="shared" ref="DB35:DB40" si="54">ROUNDUP(CX35/5,0)</f>
        <v>500000</v>
      </c>
      <c r="DC35" s="199">
        <f t="shared" si="8"/>
        <v>2650000</v>
      </c>
      <c r="DD35" s="199">
        <f t="shared" si="9"/>
        <v>500000</v>
      </c>
      <c r="DE35" s="219">
        <f t="shared" si="10"/>
        <v>2500000</v>
      </c>
      <c r="DF35" s="197">
        <v>1</v>
      </c>
      <c r="DG35" s="216">
        <v>1</v>
      </c>
      <c r="DH35" s="216">
        <v>0.3</v>
      </c>
      <c r="DI35" s="129">
        <v>1</v>
      </c>
      <c r="DJ35" s="222"/>
    </row>
    <row r="36" spans="98:114" ht="16.5" customHeight="1" x14ac:dyDescent="0.25">
      <c r="CT36" s="666"/>
      <c r="CU36" s="200" t="s">
        <v>1144</v>
      </c>
      <c r="CV36" s="70">
        <f t="shared" si="5"/>
        <v>2</v>
      </c>
      <c r="CW36" s="70">
        <f t="shared" si="6"/>
        <v>1003</v>
      </c>
      <c r="CX36" s="206">
        <v>4</v>
      </c>
      <c r="CY36" s="200" t="str">
        <f t="shared" si="17"/>
        <v>狂暴</v>
      </c>
      <c r="CZ36" s="202">
        <f t="shared" ref="CZ36:CZ40" si="55">VLOOKUP(CY36,DN:DR,4,0)</f>
        <v>2</v>
      </c>
      <c r="DA36" s="202">
        <f t="shared" ref="DA36:DA40" si="56">VLOOKUP(CY36,DN:DR,5,0)</f>
        <v>1003</v>
      </c>
      <c r="DB36" s="201">
        <f t="shared" si="54"/>
        <v>1</v>
      </c>
      <c r="DC36" s="202">
        <f t="shared" si="8"/>
        <v>950000</v>
      </c>
      <c r="DD36" s="202">
        <f t="shared" si="9"/>
        <v>200000</v>
      </c>
      <c r="DE36" s="70">
        <f t="shared" si="10"/>
        <v>800000</v>
      </c>
      <c r="DF36" s="70">
        <v>0</v>
      </c>
      <c r="DG36" s="217">
        <v>1</v>
      </c>
      <c r="DH36" s="217">
        <v>0.75</v>
      </c>
      <c r="DI36" s="11">
        <v>9</v>
      </c>
      <c r="DJ36" s="223"/>
    </row>
    <row r="37" spans="98:114" ht="16.5" customHeight="1" x14ac:dyDescent="0.25">
      <c r="CT37" s="666"/>
      <c r="CU37" s="200" t="s">
        <v>1144</v>
      </c>
      <c r="CV37" s="70">
        <f t="shared" si="5"/>
        <v>2</v>
      </c>
      <c r="CW37" s="70">
        <f t="shared" si="6"/>
        <v>1003</v>
      </c>
      <c r="CX37" s="206">
        <v>6</v>
      </c>
      <c r="CY37" s="200" t="str">
        <f t="shared" si="17"/>
        <v>狂暴</v>
      </c>
      <c r="CZ37" s="202">
        <f t="shared" si="55"/>
        <v>2</v>
      </c>
      <c r="DA37" s="202">
        <f t="shared" si="56"/>
        <v>1003</v>
      </c>
      <c r="DB37" s="201">
        <f t="shared" si="54"/>
        <v>2</v>
      </c>
      <c r="DC37" s="202">
        <f t="shared" si="8"/>
        <v>1500000</v>
      </c>
      <c r="DD37" s="202">
        <f t="shared" ref="DD37:DD65" si="57">VLOOKUP(CY37,DN:DR,3,0)/$DP$7*DB37*VLOOKUP(CY37,DN:DS,6,0)</f>
        <v>400000</v>
      </c>
      <c r="DE37" s="70">
        <f t="shared" ref="DE37:DE55" si="58">VLOOKUP(CU37,DN:DR,3,0)/$DP$7*CX37*VLOOKUP(CU37,DN:DS,6,0)</f>
        <v>1200000</v>
      </c>
      <c r="DF37" s="70">
        <v>0</v>
      </c>
      <c r="DG37" s="217">
        <v>0.5</v>
      </c>
      <c r="DH37" s="217">
        <v>0.75</v>
      </c>
      <c r="DI37" s="11">
        <v>4</v>
      </c>
      <c r="DJ37" s="223"/>
    </row>
    <row r="38" spans="98:114" ht="16.5" customHeight="1" x14ac:dyDescent="0.25">
      <c r="CT38" s="666"/>
      <c r="CU38" s="200" t="s">
        <v>169</v>
      </c>
      <c r="CV38" s="70">
        <f t="shared" si="5"/>
        <v>1</v>
      </c>
      <c r="CW38" s="70">
        <f t="shared" si="6"/>
        <v>2</v>
      </c>
      <c r="CX38" s="201">
        <v>800000</v>
      </c>
      <c r="CY38" s="200" t="str">
        <f t="shared" si="17"/>
        <v>金币</v>
      </c>
      <c r="CZ38" s="202">
        <f t="shared" si="55"/>
        <v>1</v>
      </c>
      <c r="DA38" s="202">
        <f t="shared" si="56"/>
        <v>2</v>
      </c>
      <c r="DB38" s="201">
        <f t="shared" si="54"/>
        <v>160000</v>
      </c>
      <c r="DC38" s="202">
        <f t="shared" si="8"/>
        <v>920000</v>
      </c>
      <c r="DD38" s="202">
        <f t="shared" si="57"/>
        <v>160000</v>
      </c>
      <c r="DE38" s="70">
        <f t="shared" si="58"/>
        <v>800000</v>
      </c>
      <c r="DF38" s="70">
        <v>0</v>
      </c>
      <c r="DG38" s="217">
        <v>1</v>
      </c>
      <c r="DH38" s="217">
        <v>0.75</v>
      </c>
      <c r="DI38" s="11">
        <v>2</v>
      </c>
      <c r="DJ38" s="223"/>
    </row>
    <row r="39" spans="98:114" ht="16.5" customHeight="1" x14ac:dyDescent="0.25">
      <c r="CT39" s="666"/>
      <c r="CU39" s="200" t="s">
        <v>169</v>
      </c>
      <c r="CV39" s="70">
        <f t="shared" si="5"/>
        <v>1</v>
      </c>
      <c r="CW39" s="70">
        <f t="shared" si="6"/>
        <v>2</v>
      </c>
      <c r="CX39" s="201">
        <v>1000000</v>
      </c>
      <c r="CY39" s="200" t="str">
        <f t="shared" si="17"/>
        <v>金币</v>
      </c>
      <c r="CZ39" s="202">
        <f t="shared" si="55"/>
        <v>1</v>
      </c>
      <c r="DA39" s="202">
        <f t="shared" si="56"/>
        <v>2</v>
      </c>
      <c r="DB39" s="201">
        <f t="shared" si="54"/>
        <v>200000</v>
      </c>
      <c r="DC39" s="202">
        <f t="shared" si="8"/>
        <v>1100000</v>
      </c>
      <c r="DD39" s="202">
        <f t="shared" si="57"/>
        <v>200000</v>
      </c>
      <c r="DE39" s="70">
        <f t="shared" si="58"/>
        <v>1000000</v>
      </c>
      <c r="DF39" s="70">
        <v>0</v>
      </c>
      <c r="DG39" s="217">
        <v>1</v>
      </c>
      <c r="DH39" s="218">
        <v>0.5</v>
      </c>
      <c r="DI39" s="11">
        <v>7</v>
      </c>
      <c r="DJ39" s="223"/>
    </row>
    <row r="40" spans="98:114" x14ac:dyDescent="0.25">
      <c r="CT40" s="666"/>
      <c r="CU40" s="200" t="s">
        <v>169</v>
      </c>
      <c r="CV40" s="70">
        <f t="shared" si="5"/>
        <v>1</v>
      </c>
      <c r="CW40" s="70">
        <f t="shared" si="6"/>
        <v>2</v>
      </c>
      <c r="CX40" s="201">
        <v>1500000</v>
      </c>
      <c r="CY40" s="200" t="str">
        <f t="shared" si="17"/>
        <v>金币</v>
      </c>
      <c r="CZ40" s="202">
        <f t="shared" si="55"/>
        <v>1</v>
      </c>
      <c r="DA40" s="202">
        <f t="shared" si="56"/>
        <v>2</v>
      </c>
      <c r="DB40" s="201">
        <f t="shared" si="54"/>
        <v>300000</v>
      </c>
      <c r="DC40" s="202">
        <f t="shared" si="8"/>
        <v>1590000</v>
      </c>
      <c r="DD40" s="202">
        <f t="shared" si="57"/>
        <v>300000</v>
      </c>
      <c r="DE40" s="70">
        <f t="shared" si="58"/>
        <v>1500000</v>
      </c>
      <c r="DF40" s="70">
        <v>0</v>
      </c>
      <c r="DG40" s="217">
        <v>1</v>
      </c>
      <c r="DH40" s="218">
        <v>0.3</v>
      </c>
      <c r="DI40" s="11">
        <v>5</v>
      </c>
      <c r="DJ40" s="223"/>
    </row>
    <row r="41" spans="98:114" x14ac:dyDescent="0.25">
      <c r="CT41" s="666"/>
      <c r="CU41" s="200" t="s">
        <v>169</v>
      </c>
      <c r="CV41" s="70">
        <f t="shared" ref="CV41:CV80" si="59">VLOOKUP(CU41,DN:DR,4,0)</f>
        <v>1</v>
      </c>
      <c r="CW41" s="70">
        <f t="shared" si="6"/>
        <v>2</v>
      </c>
      <c r="CX41" s="201">
        <v>2000000</v>
      </c>
      <c r="CY41" s="200" t="str">
        <f t="shared" si="17"/>
        <v>金币</v>
      </c>
      <c r="CZ41" s="202">
        <f t="shared" ref="CZ41:CZ84" si="60">VLOOKUP(CY41,DN:DR,4,0)</f>
        <v>1</v>
      </c>
      <c r="DA41" s="202">
        <f t="shared" ref="DA41:DA84" si="61">VLOOKUP(CY41,DN:DR,5,0)</f>
        <v>2</v>
      </c>
      <c r="DB41" s="201">
        <f t="shared" ref="DB41:DB66" si="62">ROUNDUP(CX41/5,0)</f>
        <v>400000</v>
      </c>
      <c r="DC41" s="202">
        <f t="shared" si="8"/>
        <v>2000000</v>
      </c>
      <c r="DD41" s="202">
        <f t="shared" si="57"/>
        <v>400000</v>
      </c>
      <c r="DE41" s="70">
        <f t="shared" si="58"/>
        <v>2000000</v>
      </c>
      <c r="DF41" s="70">
        <v>0</v>
      </c>
      <c r="DG41" s="11"/>
      <c r="DH41" s="11"/>
      <c r="DI41" s="11">
        <v>8</v>
      </c>
      <c r="DJ41" s="223"/>
    </row>
    <row r="42" spans="98:114" x14ac:dyDescent="0.25">
      <c r="CT42" s="666"/>
      <c r="CU42" s="200" t="s">
        <v>1107</v>
      </c>
      <c r="CV42" s="70">
        <f t="shared" si="59"/>
        <v>1</v>
      </c>
      <c r="CW42" s="70">
        <f t="shared" si="6"/>
        <v>1</v>
      </c>
      <c r="CX42" s="201">
        <v>80</v>
      </c>
      <c r="CY42" s="200" t="str">
        <f t="shared" si="17"/>
        <v>钻石</v>
      </c>
      <c r="CZ42" s="202">
        <f t="shared" si="60"/>
        <v>1</v>
      </c>
      <c r="DA42" s="202">
        <f t="shared" si="61"/>
        <v>1</v>
      </c>
      <c r="DB42" s="201">
        <f t="shared" si="62"/>
        <v>16</v>
      </c>
      <c r="DC42" s="202">
        <f t="shared" si="8"/>
        <v>1600000</v>
      </c>
      <c r="DD42" s="202">
        <f t="shared" si="57"/>
        <v>320000</v>
      </c>
      <c r="DE42" s="70">
        <f t="shared" si="58"/>
        <v>1600000</v>
      </c>
      <c r="DF42" s="70">
        <v>0</v>
      </c>
      <c r="DG42" s="11"/>
      <c r="DH42" s="11"/>
      <c r="DI42" s="11">
        <v>3</v>
      </c>
      <c r="DJ42" s="223"/>
    </row>
    <row r="43" spans="98:114" x14ac:dyDescent="0.25">
      <c r="CT43" s="666"/>
      <c r="CU43" s="200" t="s">
        <v>1662</v>
      </c>
      <c r="CV43" s="70">
        <f t="shared" si="59"/>
        <v>2</v>
      </c>
      <c r="CW43" s="70">
        <f t="shared" si="6"/>
        <v>1005</v>
      </c>
      <c r="CX43" s="201">
        <v>2</v>
      </c>
      <c r="CY43" s="200" t="str">
        <f t="shared" si="17"/>
        <v>超级武器1</v>
      </c>
      <c r="CZ43" s="202">
        <f t="shared" si="60"/>
        <v>2</v>
      </c>
      <c r="DA43" s="202">
        <f t="shared" si="61"/>
        <v>1005</v>
      </c>
      <c r="DB43" s="201">
        <f t="shared" si="62"/>
        <v>1</v>
      </c>
      <c r="DC43" s="202">
        <f t="shared" si="8"/>
        <v>2000000</v>
      </c>
      <c r="DD43" s="202">
        <f t="shared" si="57"/>
        <v>1000000</v>
      </c>
      <c r="DE43" s="70">
        <f t="shared" si="58"/>
        <v>2000000</v>
      </c>
      <c r="DF43" s="70">
        <v>0</v>
      </c>
      <c r="DG43" s="11"/>
      <c r="DH43" s="11"/>
      <c r="DI43" s="11">
        <v>10</v>
      </c>
      <c r="DJ43" s="223"/>
    </row>
    <row r="44" spans="98:114" x14ac:dyDescent="0.25">
      <c r="CT44" s="667"/>
      <c r="CU44" s="203" t="s">
        <v>1109</v>
      </c>
      <c r="CV44" s="204">
        <f t="shared" si="59"/>
        <v>2</v>
      </c>
      <c r="CW44" s="204">
        <f t="shared" si="6"/>
        <v>1006</v>
      </c>
      <c r="CX44" s="207">
        <v>1</v>
      </c>
      <c r="CY44" s="203" t="str">
        <f t="shared" si="17"/>
        <v>超级武器2</v>
      </c>
      <c r="CZ44" s="205">
        <f t="shared" si="60"/>
        <v>2</v>
      </c>
      <c r="DA44" s="205">
        <f t="shared" si="61"/>
        <v>1006</v>
      </c>
      <c r="DB44" s="207">
        <f t="shared" si="62"/>
        <v>1</v>
      </c>
      <c r="DC44" s="205">
        <f t="shared" si="8"/>
        <v>2000000</v>
      </c>
      <c r="DD44" s="205">
        <f t="shared" si="57"/>
        <v>2000000</v>
      </c>
      <c r="DE44" s="204">
        <f t="shared" si="58"/>
        <v>2000000</v>
      </c>
      <c r="DF44" s="204">
        <v>0</v>
      </c>
      <c r="DG44" s="137"/>
      <c r="DH44" s="137"/>
      <c r="DI44" s="137">
        <v>6</v>
      </c>
      <c r="DJ44" s="224"/>
    </row>
    <row r="45" spans="98:114" x14ac:dyDescent="0.25">
      <c r="CT45" s="665" t="str">
        <f>"抽奖
第5档
"&amp;D9&amp;"~
"&amp;E9</f>
        <v>抽奖
第5档
2000000~
6000000</v>
      </c>
      <c r="CU45" s="196" t="s">
        <v>169</v>
      </c>
      <c r="CV45" s="197">
        <f t="shared" si="59"/>
        <v>1</v>
      </c>
      <c r="CW45" s="197">
        <f t="shared" ref="CW45:CW80" si="63">VLOOKUP(CU45,DN:DR,5,0)</f>
        <v>2</v>
      </c>
      <c r="CX45" s="198">
        <v>7500000</v>
      </c>
      <c r="CY45" s="196" t="str">
        <f t="shared" si="17"/>
        <v>金币</v>
      </c>
      <c r="CZ45" s="199">
        <f t="shared" si="60"/>
        <v>1</v>
      </c>
      <c r="DA45" s="199">
        <f t="shared" si="61"/>
        <v>2</v>
      </c>
      <c r="DB45" s="198">
        <f t="shared" si="62"/>
        <v>1500000</v>
      </c>
      <c r="DC45" s="199">
        <f t="shared" ref="DC45:DC50" si="64">DD45*DH45+DE45</f>
        <v>7950000</v>
      </c>
      <c r="DD45" s="199">
        <f t="shared" si="57"/>
        <v>1500000</v>
      </c>
      <c r="DE45" s="219">
        <f t="shared" si="58"/>
        <v>7500000</v>
      </c>
      <c r="DF45" s="197">
        <v>1</v>
      </c>
      <c r="DG45" s="216">
        <v>1</v>
      </c>
      <c r="DH45" s="216">
        <v>0.3</v>
      </c>
      <c r="DI45" s="129">
        <v>1</v>
      </c>
      <c r="DJ45" s="222"/>
    </row>
    <row r="46" spans="98:114" x14ac:dyDescent="0.25">
      <c r="CT46" s="666"/>
      <c r="CU46" s="200" t="s">
        <v>169</v>
      </c>
      <c r="CV46" s="70">
        <f t="shared" si="59"/>
        <v>1</v>
      </c>
      <c r="CW46" s="70">
        <f t="shared" si="63"/>
        <v>2</v>
      </c>
      <c r="CX46" s="201">
        <v>1500000</v>
      </c>
      <c r="CY46" s="200" t="str">
        <f t="shared" si="17"/>
        <v>金币</v>
      </c>
      <c r="CZ46" s="202">
        <f t="shared" si="60"/>
        <v>1</v>
      </c>
      <c r="DA46" s="202">
        <f t="shared" si="61"/>
        <v>2</v>
      </c>
      <c r="DB46" s="201">
        <f t="shared" si="62"/>
        <v>300000</v>
      </c>
      <c r="DC46" s="202">
        <f t="shared" si="64"/>
        <v>1725000</v>
      </c>
      <c r="DD46" s="202">
        <f t="shared" si="57"/>
        <v>300000</v>
      </c>
      <c r="DE46" s="70">
        <f t="shared" si="58"/>
        <v>1500000</v>
      </c>
      <c r="DF46" s="70">
        <v>0</v>
      </c>
      <c r="DG46" s="217">
        <v>1</v>
      </c>
      <c r="DH46" s="217">
        <v>0.75</v>
      </c>
      <c r="DI46" s="11">
        <v>9</v>
      </c>
      <c r="DJ46" s="223"/>
    </row>
    <row r="47" spans="98:114" x14ac:dyDescent="0.25">
      <c r="CT47" s="666"/>
      <c r="CU47" s="200" t="s">
        <v>169</v>
      </c>
      <c r="CV47" s="70">
        <f t="shared" si="59"/>
        <v>1</v>
      </c>
      <c r="CW47" s="70">
        <f t="shared" si="63"/>
        <v>2</v>
      </c>
      <c r="CX47" s="201">
        <v>2000000</v>
      </c>
      <c r="CY47" s="200" t="str">
        <f t="shared" si="17"/>
        <v>金币</v>
      </c>
      <c r="CZ47" s="202">
        <f t="shared" si="60"/>
        <v>1</v>
      </c>
      <c r="DA47" s="202">
        <f t="shared" si="61"/>
        <v>2</v>
      </c>
      <c r="DB47" s="201">
        <f t="shared" si="62"/>
        <v>400000</v>
      </c>
      <c r="DC47" s="202">
        <f t="shared" si="64"/>
        <v>2300000</v>
      </c>
      <c r="DD47" s="202">
        <f t="shared" si="57"/>
        <v>400000</v>
      </c>
      <c r="DE47" s="70">
        <f t="shared" si="58"/>
        <v>2000000</v>
      </c>
      <c r="DF47" s="70">
        <v>0</v>
      </c>
      <c r="DG47" s="217">
        <v>0.5</v>
      </c>
      <c r="DH47" s="217">
        <v>0.75</v>
      </c>
      <c r="DI47" s="11">
        <v>7</v>
      </c>
      <c r="DJ47" s="223"/>
    </row>
    <row r="48" spans="98:114" x14ac:dyDescent="0.25">
      <c r="CT48" s="666"/>
      <c r="CU48" s="200" t="s">
        <v>169</v>
      </c>
      <c r="CV48" s="70">
        <f t="shared" si="59"/>
        <v>1</v>
      </c>
      <c r="CW48" s="70">
        <f t="shared" si="63"/>
        <v>2</v>
      </c>
      <c r="CX48" s="201">
        <v>2500000</v>
      </c>
      <c r="CY48" s="200" t="str">
        <f t="shared" si="17"/>
        <v>金币</v>
      </c>
      <c r="CZ48" s="202">
        <f t="shared" si="60"/>
        <v>1</v>
      </c>
      <c r="DA48" s="202">
        <f t="shared" si="61"/>
        <v>2</v>
      </c>
      <c r="DB48" s="201">
        <f t="shared" si="62"/>
        <v>500000</v>
      </c>
      <c r="DC48" s="202">
        <f t="shared" si="64"/>
        <v>2875000</v>
      </c>
      <c r="DD48" s="202">
        <f t="shared" si="57"/>
        <v>500000</v>
      </c>
      <c r="DE48" s="70">
        <f t="shared" si="58"/>
        <v>2500000</v>
      </c>
      <c r="DF48" s="70">
        <v>0</v>
      </c>
      <c r="DG48" s="217">
        <v>1</v>
      </c>
      <c r="DH48" s="217">
        <v>0.75</v>
      </c>
      <c r="DI48" s="11">
        <v>4</v>
      </c>
      <c r="DJ48" s="223"/>
    </row>
    <row r="49" spans="98:114" x14ac:dyDescent="0.25">
      <c r="CT49" s="666"/>
      <c r="CU49" s="200" t="s">
        <v>169</v>
      </c>
      <c r="CV49" s="70">
        <f t="shared" si="59"/>
        <v>1</v>
      </c>
      <c r="CW49" s="70">
        <f t="shared" si="63"/>
        <v>2</v>
      </c>
      <c r="CX49" s="201">
        <v>3500000</v>
      </c>
      <c r="CY49" s="200" t="str">
        <f t="shared" si="17"/>
        <v>金币</v>
      </c>
      <c r="CZ49" s="202">
        <f t="shared" si="60"/>
        <v>1</v>
      </c>
      <c r="DA49" s="202">
        <f t="shared" si="61"/>
        <v>2</v>
      </c>
      <c r="DB49" s="201">
        <f t="shared" si="62"/>
        <v>700000</v>
      </c>
      <c r="DC49" s="202">
        <f t="shared" si="64"/>
        <v>3850000</v>
      </c>
      <c r="DD49" s="202">
        <f t="shared" si="57"/>
        <v>700000</v>
      </c>
      <c r="DE49" s="70">
        <f t="shared" si="58"/>
        <v>3500000</v>
      </c>
      <c r="DF49" s="70">
        <v>0</v>
      </c>
      <c r="DG49" s="217">
        <v>1</v>
      </c>
      <c r="DH49" s="218">
        <v>0.5</v>
      </c>
      <c r="DI49" s="11">
        <v>2</v>
      </c>
      <c r="DJ49" s="223"/>
    </row>
    <row r="50" spans="98:114" x14ac:dyDescent="0.25">
      <c r="CT50" s="666"/>
      <c r="CU50" s="200" t="s">
        <v>169</v>
      </c>
      <c r="CV50" s="70">
        <f t="shared" si="59"/>
        <v>1</v>
      </c>
      <c r="CW50" s="70">
        <f t="shared" si="63"/>
        <v>2</v>
      </c>
      <c r="CX50" s="201">
        <v>4500000</v>
      </c>
      <c r="CY50" s="200" t="str">
        <f t="shared" si="17"/>
        <v>金币</v>
      </c>
      <c r="CZ50" s="202">
        <f t="shared" si="60"/>
        <v>1</v>
      </c>
      <c r="DA50" s="202">
        <f t="shared" si="61"/>
        <v>2</v>
      </c>
      <c r="DB50" s="201">
        <f t="shared" si="62"/>
        <v>900000</v>
      </c>
      <c r="DC50" s="202">
        <f t="shared" si="64"/>
        <v>4770000</v>
      </c>
      <c r="DD50" s="202">
        <f t="shared" si="57"/>
        <v>900000</v>
      </c>
      <c r="DE50" s="70">
        <f t="shared" si="58"/>
        <v>4500000</v>
      </c>
      <c r="DF50" s="70">
        <v>0</v>
      </c>
      <c r="DG50" s="217">
        <v>1</v>
      </c>
      <c r="DH50" s="218">
        <v>0.3</v>
      </c>
      <c r="DI50" s="11">
        <v>10</v>
      </c>
      <c r="DJ50" s="223"/>
    </row>
    <row r="51" spans="98:114" x14ac:dyDescent="0.25">
      <c r="CT51" s="666"/>
      <c r="CU51" s="200" t="s">
        <v>169</v>
      </c>
      <c r="CV51" s="70">
        <f t="shared" si="59"/>
        <v>1</v>
      </c>
      <c r="CW51" s="70">
        <f t="shared" si="63"/>
        <v>2</v>
      </c>
      <c r="CX51" s="201">
        <v>5500000</v>
      </c>
      <c r="CY51" s="200" t="str">
        <f t="shared" si="17"/>
        <v>金币</v>
      </c>
      <c r="CZ51" s="202">
        <f t="shared" si="60"/>
        <v>1</v>
      </c>
      <c r="DA51" s="202">
        <f t="shared" si="61"/>
        <v>2</v>
      </c>
      <c r="DB51" s="201">
        <f t="shared" si="62"/>
        <v>1100000</v>
      </c>
      <c r="DC51" s="202">
        <f t="shared" ref="DC51:DC64" si="65">DD51*DH51+DE51</f>
        <v>5500000</v>
      </c>
      <c r="DD51" s="202">
        <f t="shared" si="57"/>
        <v>1100000</v>
      </c>
      <c r="DE51" s="70">
        <f t="shared" si="58"/>
        <v>5500000</v>
      </c>
      <c r="DF51" s="70">
        <v>0</v>
      </c>
      <c r="DG51" s="11"/>
      <c r="DH51" s="11"/>
      <c r="DI51" s="11">
        <v>3</v>
      </c>
      <c r="DJ51" s="223"/>
    </row>
    <row r="52" spans="98:114" x14ac:dyDescent="0.25">
      <c r="CT52" s="666"/>
      <c r="CU52" s="200" t="s">
        <v>1107</v>
      </c>
      <c r="CV52" s="70">
        <f t="shared" si="59"/>
        <v>1</v>
      </c>
      <c r="CW52" s="70">
        <f t="shared" si="63"/>
        <v>1</v>
      </c>
      <c r="CX52" s="201">
        <v>200</v>
      </c>
      <c r="CY52" s="200" t="str">
        <f t="shared" si="17"/>
        <v>钻石</v>
      </c>
      <c r="CZ52" s="202">
        <f t="shared" si="60"/>
        <v>1</v>
      </c>
      <c r="DA52" s="202">
        <f t="shared" si="61"/>
        <v>1</v>
      </c>
      <c r="DB52" s="201">
        <f t="shared" si="62"/>
        <v>40</v>
      </c>
      <c r="DC52" s="202">
        <f t="shared" si="65"/>
        <v>4000000</v>
      </c>
      <c r="DD52" s="202">
        <f t="shared" si="57"/>
        <v>800000</v>
      </c>
      <c r="DE52" s="70">
        <f t="shared" si="58"/>
        <v>4000000</v>
      </c>
      <c r="DF52" s="70">
        <v>0</v>
      </c>
      <c r="DG52" s="11"/>
      <c r="DH52" s="11"/>
      <c r="DI52" s="11">
        <v>8</v>
      </c>
      <c r="DJ52" s="223"/>
    </row>
    <row r="53" spans="98:114" x14ac:dyDescent="0.25">
      <c r="CT53" s="666"/>
      <c r="CU53" s="200" t="s">
        <v>1109</v>
      </c>
      <c r="CV53" s="70">
        <f t="shared" si="59"/>
        <v>2</v>
      </c>
      <c r="CW53" s="70">
        <f t="shared" si="63"/>
        <v>1006</v>
      </c>
      <c r="CX53" s="201">
        <v>3</v>
      </c>
      <c r="CY53" s="200" t="str">
        <f t="shared" si="17"/>
        <v>超级武器2</v>
      </c>
      <c r="CZ53" s="202">
        <f t="shared" si="60"/>
        <v>2</v>
      </c>
      <c r="DA53" s="202">
        <f t="shared" si="61"/>
        <v>1006</v>
      </c>
      <c r="DB53" s="201">
        <f t="shared" si="62"/>
        <v>1</v>
      </c>
      <c r="DC53" s="202">
        <f t="shared" si="65"/>
        <v>6000000</v>
      </c>
      <c r="DD53" s="202">
        <f t="shared" si="57"/>
        <v>2000000</v>
      </c>
      <c r="DE53" s="70">
        <f t="shared" si="58"/>
        <v>6000000</v>
      </c>
      <c r="DF53" s="70">
        <v>0</v>
      </c>
      <c r="DG53" s="11"/>
      <c r="DH53" s="11"/>
      <c r="DI53" s="11">
        <v>5</v>
      </c>
      <c r="DJ53" s="223"/>
    </row>
    <row r="54" spans="98:114" x14ac:dyDescent="0.25">
      <c r="CT54" s="667"/>
      <c r="CU54" s="203" t="s">
        <v>1119</v>
      </c>
      <c r="CV54" s="204">
        <f t="shared" si="59"/>
        <v>2</v>
      </c>
      <c r="CW54" s="204">
        <f t="shared" si="63"/>
        <v>1007</v>
      </c>
      <c r="CX54" s="207">
        <v>2</v>
      </c>
      <c r="CY54" s="203" t="str">
        <f t="shared" si="17"/>
        <v>超级武器3</v>
      </c>
      <c r="CZ54" s="205">
        <f t="shared" si="60"/>
        <v>2</v>
      </c>
      <c r="DA54" s="205">
        <f t="shared" si="61"/>
        <v>1007</v>
      </c>
      <c r="DB54" s="207">
        <f t="shared" si="62"/>
        <v>1</v>
      </c>
      <c r="DC54" s="205">
        <f t="shared" si="65"/>
        <v>10000000</v>
      </c>
      <c r="DD54" s="205">
        <f t="shared" si="57"/>
        <v>5000000</v>
      </c>
      <c r="DE54" s="204">
        <f t="shared" si="58"/>
        <v>10000000</v>
      </c>
      <c r="DF54" s="204">
        <v>0</v>
      </c>
      <c r="DG54" s="137"/>
      <c r="DH54" s="137"/>
      <c r="DI54" s="137">
        <v>6</v>
      </c>
      <c r="DJ54" s="224"/>
    </row>
    <row r="55" spans="98:114" x14ac:dyDescent="0.25">
      <c r="CT55" s="665" t="str">
        <f>"抽奖
第6档
"&amp;D10&amp;"~
"&amp;E10</f>
        <v>抽奖
第6档
6000000~
12000000</v>
      </c>
      <c r="CU55" s="200" t="s">
        <v>169</v>
      </c>
      <c r="CV55" s="197">
        <f t="shared" si="59"/>
        <v>1</v>
      </c>
      <c r="CW55" s="197">
        <f t="shared" si="63"/>
        <v>2</v>
      </c>
      <c r="CX55" s="198">
        <v>15000000</v>
      </c>
      <c r="CY55" s="196" t="str">
        <f t="shared" si="17"/>
        <v>金币</v>
      </c>
      <c r="CZ55" s="199">
        <f t="shared" si="60"/>
        <v>1</v>
      </c>
      <c r="DA55" s="199">
        <f t="shared" si="61"/>
        <v>2</v>
      </c>
      <c r="DB55" s="198">
        <f t="shared" si="62"/>
        <v>3000000</v>
      </c>
      <c r="DC55" s="199">
        <f t="shared" si="65"/>
        <v>15900000</v>
      </c>
      <c r="DD55" s="199">
        <f t="shared" si="57"/>
        <v>3000000</v>
      </c>
      <c r="DE55" s="219">
        <f t="shared" si="58"/>
        <v>15000000</v>
      </c>
      <c r="DF55" s="197">
        <v>1</v>
      </c>
      <c r="DG55" s="216">
        <v>1</v>
      </c>
      <c r="DH55" s="216">
        <v>0.3</v>
      </c>
      <c r="DI55" s="129">
        <v>1</v>
      </c>
      <c r="DJ55" s="225"/>
    </row>
    <row r="56" spans="98:114" x14ac:dyDescent="0.25">
      <c r="CT56" s="666"/>
      <c r="CU56" s="200" t="s">
        <v>169</v>
      </c>
      <c r="CV56" s="70">
        <f t="shared" si="59"/>
        <v>1</v>
      </c>
      <c r="CW56" s="70">
        <f t="shared" si="63"/>
        <v>2</v>
      </c>
      <c r="CX56" s="201">
        <v>4000000</v>
      </c>
      <c r="CY56" s="200" t="str">
        <f t="shared" si="17"/>
        <v>金币</v>
      </c>
      <c r="CZ56" s="202">
        <f t="shared" si="60"/>
        <v>1</v>
      </c>
      <c r="DA56" s="202">
        <f t="shared" si="61"/>
        <v>2</v>
      </c>
      <c r="DB56" s="201">
        <f t="shared" si="62"/>
        <v>800000</v>
      </c>
      <c r="DC56" s="202">
        <f t="shared" si="65"/>
        <v>4600000</v>
      </c>
      <c r="DD56" s="202">
        <f t="shared" si="57"/>
        <v>800000</v>
      </c>
      <c r="DE56" s="70">
        <f t="shared" ref="DE56:DE75" si="66">VLOOKUP(CU56,DN:DR,3,0)/$DP$7*CX56*VLOOKUP(CU56,DN:DS,6,0)</f>
        <v>4000000</v>
      </c>
      <c r="DF56" s="70">
        <v>0</v>
      </c>
      <c r="DG56" s="217">
        <v>0.5</v>
      </c>
      <c r="DH56" s="218">
        <v>0.75</v>
      </c>
      <c r="DI56" s="11">
        <v>2</v>
      </c>
      <c r="DJ56" s="223"/>
    </row>
    <row r="57" spans="98:114" x14ac:dyDescent="0.25">
      <c r="CT57" s="666"/>
      <c r="CU57" s="200" t="s">
        <v>169</v>
      </c>
      <c r="CV57" s="70">
        <f t="shared" si="59"/>
        <v>1</v>
      </c>
      <c r="CW57" s="70">
        <f t="shared" si="63"/>
        <v>2</v>
      </c>
      <c r="CX57" s="201">
        <v>5000000</v>
      </c>
      <c r="CY57" s="200" t="str">
        <f t="shared" si="17"/>
        <v>金币</v>
      </c>
      <c r="CZ57" s="202">
        <f t="shared" si="60"/>
        <v>1</v>
      </c>
      <c r="DA57" s="202">
        <f t="shared" si="61"/>
        <v>2</v>
      </c>
      <c r="DB57" s="201">
        <f t="shared" si="62"/>
        <v>1000000</v>
      </c>
      <c r="DC57" s="202">
        <f t="shared" si="65"/>
        <v>5750000</v>
      </c>
      <c r="DD57" s="202">
        <f t="shared" si="57"/>
        <v>1000000</v>
      </c>
      <c r="DE57" s="70">
        <f t="shared" si="66"/>
        <v>5000000</v>
      </c>
      <c r="DF57" s="70">
        <v>0</v>
      </c>
      <c r="DG57" s="217">
        <v>1</v>
      </c>
      <c r="DH57" s="218">
        <v>0.75</v>
      </c>
      <c r="DI57" s="11">
        <v>9</v>
      </c>
      <c r="DJ57" s="223"/>
    </row>
    <row r="58" spans="98:114" x14ac:dyDescent="0.25">
      <c r="CT58" s="666"/>
      <c r="CU58" s="200" t="s">
        <v>169</v>
      </c>
      <c r="CV58" s="70">
        <f t="shared" si="59"/>
        <v>1</v>
      </c>
      <c r="CW58" s="70">
        <f t="shared" si="63"/>
        <v>2</v>
      </c>
      <c r="CX58" s="201">
        <v>6000000</v>
      </c>
      <c r="CY58" s="200" t="str">
        <f t="shared" si="17"/>
        <v>金币</v>
      </c>
      <c r="CZ58" s="202">
        <f t="shared" si="60"/>
        <v>1</v>
      </c>
      <c r="DA58" s="202">
        <f t="shared" si="61"/>
        <v>2</v>
      </c>
      <c r="DB58" s="201">
        <f t="shared" si="62"/>
        <v>1200000</v>
      </c>
      <c r="DC58" s="202">
        <f t="shared" si="65"/>
        <v>6900000</v>
      </c>
      <c r="DD58" s="202">
        <f t="shared" si="57"/>
        <v>1200000</v>
      </c>
      <c r="DE58" s="70">
        <f t="shared" si="66"/>
        <v>6000000</v>
      </c>
      <c r="DF58" s="70">
        <v>0</v>
      </c>
      <c r="DG58" s="217">
        <v>1</v>
      </c>
      <c r="DH58" s="217">
        <v>0.75</v>
      </c>
      <c r="DI58" s="11">
        <v>7</v>
      </c>
      <c r="DJ58" s="223"/>
    </row>
    <row r="59" spans="98:114" x14ac:dyDescent="0.25">
      <c r="CT59" s="666"/>
      <c r="CU59" s="200" t="s">
        <v>169</v>
      </c>
      <c r="CV59" s="70">
        <f t="shared" si="59"/>
        <v>1</v>
      </c>
      <c r="CW59" s="70">
        <f t="shared" si="63"/>
        <v>2</v>
      </c>
      <c r="CX59" s="201">
        <v>7000000</v>
      </c>
      <c r="CY59" s="200" t="str">
        <f t="shared" si="17"/>
        <v>金币</v>
      </c>
      <c r="CZ59" s="202">
        <f t="shared" si="60"/>
        <v>1</v>
      </c>
      <c r="DA59" s="202">
        <f t="shared" si="61"/>
        <v>2</v>
      </c>
      <c r="DB59" s="201">
        <f t="shared" si="62"/>
        <v>1400000</v>
      </c>
      <c r="DC59" s="202">
        <f t="shared" si="65"/>
        <v>7700000</v>
      </c>
      <c r="DD59" s="202">
        <f t="shared" si="57"/>
        <v>1400000</v>
      </c>
      <c r="DE59" s="70">
        <f t="shared" si="66"/>
        <v>7000000</v>
      </c>
      <c r="DF59" s="70">
        <v>0</v>
      </c>
      <c r="DG59" s="217">
        <v>1</v>
      </c>
      <c r="DH59" s="218">
        <v>0.5</v>
      </c>
      <c r="DI59" s="11">
        <v>4</v>
      </c>
      <c r="DJ59" s="223"/>
    </row>
    <row r="60" spans="98:114" x14ac:dyDescent="0.25">
      <c r="CT60" s="666"/>
      <c r="CU60" s="200" t="s">
        <v>169</v>
      </c>
      <c r="CV60" s="70">
        <f t="shared" si="59"/>
        <v>1</v>
      </c>
      <c r="CW60" s="70">
        <f t="shared" si="63"/>
        <v>2</v>
      </c>
      <c r="CX60" s="201">
        <v>8000000</v>
      </c>
      <c r="CY60" s="200" t="str">
        <f t="shared" si="17"/>
        <v>金币</v>
      </c>
      <c r="CZ60" s="202">
        <f t="shared" si="60"/>
        <v>1</v>
      </c>
      <c r="DA60" s="202">
        <f t="shared" si="61"/>
        <v>2</v>
      </c>
      <c r="DB60" s="201">
        <f t="shared" si="62"/>
        <v>1600000</v>
      </c>
      <c r="DC60" s="202">
        <f t="shared" si="65"/>
        <v>8480000</v>
      </c>
      <c r="DD60" s="202">
        <f t="shared" si="57"/>
        <v>1600000</v>
      </c>
      <c r="DE60" s="70">
        <f t="shared" si="66"/>
        <v>8000000</v>
      </c>
      <c r="DF60" s="70">
        <v>0</v>
      </c>
      <c r="DG60" s="217">
        <v>1</v>
      </c>
      <c r="DH60" s="217">
        <v>0.3</v>
      </c>
      <c r="DI60" s="11">
        <v>8</v>
      </c>
      <c r="DJ60" s="223"/>
    </row>
    <row r="61" spans="98:114" x14ac:dyDescent="0.25">
      <c r="CT61" s="666"/>
      <c r="CU61" s="200" t="s">
        <v>169</v>
      </c>
      <c r="CV61" s="70">
        <f t="shared" si="59"/>
        <v>1</v>
      </c>
      <c r="CW61" s="70">
        <f t="shared" si="63"/>
        <v>2</v>
      </c>
      <c r="CX61" s="201">
        <v>9000000</v>
      </c>
      <c r="CY61" s="200" t="str">
        <f t="shared" si="17"/>
        <v>金币</v>
      </c>
      <c r="CZ61" s="202">
        <f t="shared" si="60"/>
        <v>1</v>
      </c>
      <c r="DA61" s="202">
        <f t="shared" si="61"/>
        <v>2</v>
      </c>
      <c r="DB61" s="201">
        <f t="shared" si="62"/>
        <v>1800000</v>
      </c>
      <c r="DC61" s="202">
        <f t="shared" si="65"/>
        <v>9000000</v>
      </c>
      <c r="DD61" s="202">
        <f t="shared" si="57"/>
        <v>1800000</v>
      </c>
      <c r="DE61" s="70">
        <f t="shared" si="66"/>
        <v>9000000</v>
      </c>
      <c r="DF61" s="70">
        <v>0</v>
      </c>
      <c r="DG61" s="11"/>
      <c r="DH61" s="11"/>
      <c r="DI61" s="11">
        <v>10</v>
      </c>
      <c r="DJ61" s="223"/>
    </row>
    <row r="62" spans="98:114" x14ac:dyDescent="0.25">
      <c r="CT62" s="666"/>
      <c r="CU62" s="200" t="s">
        <v>1107</v>
      </c>
      <c r="CV62" s="70">
        <f t="shared" si="59"/>
        <v>1</v>
      </c>
      <c r="CW62" s="70">
        <f t="shared" si="63"/>
        <v>1</v>
      </c>
      <c r="CX62" s="201">
        <v>400</v>
      </c>
      <c r="CY62" s="200" t="str">
        <f t="shared" si="17"/>
        <v>钻石</v>
      </c>
      <c r="CZ62" s="202">
        <f t="shared" si="60"/>
        <v>1</v>
      </c>
      <c r="DA62" s="202">
        <f t="shared" si="61"/>
        <v>1</v>
      </c>
      <c r="DB62" s="201">
        <f t="shared" si="62"/>
        <v>80</v>
      </c>
      <c r="DC62" s="202">
        <f t="shared" si="65"/>
        <v>8000000</v>
      </c>
      <c r="DD62" s="202">
        <f t="shared" si="57"/>
        <v>1600000</v>
      </c>
      <c r="DE62" s="70">
        <f t="shared" si="66"/>
        <v>8000000</v>
      </c>
      <c r="DF62" s="70">
        <v>0</v>
      </c>
      <c r="DG62" s="11"/>
      <c r="DH62" s="11"/>
      <c r="DI62" s="11">
        <v>5</v>
      </c>
      <c r="DJ62" s="223"/>
    </row>
    <row r="63" spans="98:114" x14ac:dyDescent="0.25">
      <c r="CT63" s="666"/>
      <c r="CU63" s="200" t="s">
        <v>1119</v>
      </c>
      <c r="CV63" s="70">
        <f t="shared" si="59"/>
        <v>2</v>
      </c>
      <c r="CW63" s="70">
        <f t="shared" si="63"/>
        <v>1007</v>
      </c>
      <c r="CX63" s="201">
        <v>2</v>
      </c>
      <c r="CY63" s="200" t="str">
        <f t="shared" si="17"/>
        <v>超级武器3</v>
      </c>
      <c r="CZ63" s="202">
        <f t="shared" si="60"/>
        <v>2</v>
      </c>
      <c r="DA63" s="202">
        <f t="shared" si="61"/>
        <v>1007</v>
      </c>
      <c r="DB63" s="201">
        <f t="shared" si="62"/>
        <v>1</v>
      </c>
      <c r="DC63" s="202">
        <f t="shared" si="65"/>
        <v>10000000</v>
      </c>
      <c r="DD63" s="202">
        <f t="shared" si="57"/>
        <v>5000000</v>
      </c>
      <c r="DE63" s="70">
        <f t="shared" si="66"/>
        <v>10000000</v>
      </c>
      <c r="DF63" s="70">
        <v>0</v>
      </c>
      <c r="DG63" s="11"/>
      <c r="DH63" s="11"/>
      <c r="DI63" s="11">
        <v>3</v>
      </c>
      <c r="DJ63" s="223"/>
    </row>
    <row r="64" spans="98:114" x14ac:dyDescent="0.25">
      <c r="CT64" s="667"/>
      <c r="CU64" s="203" t="s">
        <v>1108</v>
      </c>
      <c r="CV64" s="204">
        <f t="shared" si="59"/>
        <v>2</v>
      </c>
      <c r="CW64" s="204">
        <f t="shared" si="63"/>
        <v>1008</v>
      </c>
      <c r="CX64" s="201">
        <v>2</v>
      </c>
      <c r="CY64" s="203" t="str">
        <f t="shared" si="17"/>
        <v>超级武器4</v>
      </c>
      <c r="CZ64" s="205">
        <f t="shared" si="60"/>
        <v>2</v>
      </c>
      <c r="DA64" s="205">
        <f t="shared" si="61"/>
        <v>1008</v>
      </c>
      <c r="DB64" s="207">
        <f t="shared" si="62"/>
        <v>1</v>
      </c>
      <c r="DC64" s="205">
        <f t="shared" si="65"/>
        <v>20000000</v>
      </c>
      <c r="DD64" s="205">
        <f t="shared" si="57"/>
        <v>10000000</v>
      </c>
      <c r="DE64" s="204">
        <f t="shared" si="66"/>
        <v>20000000</v>
      </c>
      <c r="DF64" s="204">
        <v>0</v>
      </c>
      <c r="DG64" s="137"/>
      <c r="DH64" s="137"/>
      <c r="DI64" s="137">
        <v>6</v>
      </c>
      <c r="DJ64" s="224"/>
    </row>
    <row r="65" spans="98:114" x14ac:dyDescent="0.25">
      <c r="CT65" s="665" t="str">
        <f>"抽奖
第7档
"&amp;D11&amp;"~
"&amp;E11</f>
        <v>抽奖
第7档
12000000~
24000000</v>
      </c>
      <c r="CU65" s="196" t="s">
        <v>1108</v>
      </c>
      <c r="CV65" s="197">
        <f t="shared" si="59"/>
        <v>2</v>
      </c>
      <c r="CW65" s="197">
        <f t="shared" si="63"/>
        <v>1008</v>
      </c>
      <c r="CX65" s="198">
        <v>4</v>
      </c>
      <c r="CY65" s="196" t="str">
        <f t="shared" si="17"/>
        <v>超级武器4</v>
      </c>
      <c r="CZ65" s="199">
        <f t="shared" si="60"/>
        <v>2</v>
      </c>
      <c r="DA65" s="199">
        <f t="shared" si="61"/>
        <v>1008</v>
      </c>
      <c r="DB65" s="198">
        <f t="shared" si="62"/>
        <v>1</v>
      </c>
      <c r="DC65" s="199">
        <f t="shared" ref="DC65:DC70" si="67">DD65*DH65+DE65</f>
        <v>43000000</v>
      </c>
      <c r="DD65" s="199">
        <f t="shared" si="57"/>
        <v>10000000</v>
      </c>
      <c r="DE65" s="219">
        <f t="shared" si="66"/>
        <v>40000000</v>
      </c>
      <c r="DF65" s="197">
        <v>1</v>
      </c>
      <c r="DG65" s="216">
        <v>1</v>
      </c>
      <c r="DH65" s="216">
        <v>0.3</v>
      </c>
      <c r="DI65" s="129">
        <v>1</v>
      </c>
      <c r="DJ65" s="225"/>
    </row>
    <row r="66" spans="98:114" x14ac:dyDescent="0.25">
      <c r="CT66" s="666"/>
      <c r="CU66" s="200" t="s">
        <v>169</v>
      </c>
      <c r="CV66" s="70">
        <f t="shared" si="59"/>
        <v>1</v>
      </c>
      <c r="CW66" s="70">
        <f t="shared" si="63"/>
        <v>2</v>
      </c>
      <c r="CX66" s="201">
        <v>8000000</v>
      </c>
      <c r="CY66" s="200" t="str">
        <f t="shared" si="17"/>
        <v>金币</v>
      </c>
      <c r="CZ66" s="202">
        <f t="shared" si="60"/>
        <v>1</v>
      </c>
      <c r="DA66" s="202">
        <f t="shared" si="61"/>
        <v>2</v>
      </c>
      <c r="DB66" s="201">
        <f t="shared" si="62"/>
        <v>1600000</v>
      </c>
      <c r="DC66" s="202">
        <f t="shared" si="67"/>
        <v>9200000</v>
      </c>
      <c r="DD66" s="202">
        <f t="shared" ref="DD66:DD70" si="68">VLOOKUP(CY66,DN:DR,3,0)/$DP$7*DB66*VLOOKUP(CY66,DN:DS,6,0)</f>
        <v>1600000</v>
      </c>
      <c r="DE66" s="70">
        <f t="shared" si="66"/>
        <v>8000000</v>
      </c>
      <c r="DF66" s="70">
        <v>0</v>
      </c>
      <c r="DG66" s="217">
        <v>0.5</v>
      </c>
      <c r="DH66" s="218">
        <v>0.75</v>
      </c>
      <c r="DI66" s="11">
        <v>2</v>
      </c>
      <c r="DJ66" s="223"/>
    </row>
    <row r="67" spans="98:114" x14ac:dyDescent="0.25">
      <c r="CT67" s="666"/>
      <c r="CU67" s="200" t="s">
        <v>169</v>
      </c>
      <c r="CV67" s="70">
        <f t="shared" si="59"/>
        <v>1</v>
      </c>
      <c r="CW67" s="70">
        <f t="shared" si="63"/>
        <v>2</v>
      </c>
      <c r="CX67" s="201">
        <v>10000000</v>
      </c>
      <c r="CY67" s="200" t="str">
        <f t="shared" si="17"/>
        <v>金币</v>
      </c>
      <c r="CZ67" s="202">
        <f t="shared" si="60"/>
        <v>1</v>
      </c>
      <c r="DA67" s="202">
        <f t="shared" si="61"/>
        <v>2</v>
      </c>
      <c r="DB67" s="201">
        <f t="shared" ref="DB67:DB84" si="69">ROUNDUP(CX67/5,0)</f>
        <v>2000000</v>
      </c>
      <c r="DC67" s="202">
        <f t="shared" si="67"/>
        <v>11500000</v>
      </c>
      <c r="DD67" s="202">
        <f t="shared" si="68"/>
        <v>2000000</v>
      </c>
      <c r="DE67" s="70">
        <f t="shared" si="66"/>
        <v>10000000</v>
      </c>
      <c r="DF67" s="70">
        <v>0</v>
      </c>
      <c r="DG67" s="217">
        <v>1</v>
      </c>
      <c r="DH67" s="218">
        <v>0.75</v>
      </c>
      <c r="DI67" s="11">
        <v>4</v>
      </c>
      <c r="DJ67" s="223"/>
    </row>
    <row r="68" spans="98:114" x14ac:dyDescent="0.25">
      <c r="CT68" s="666"/>
      <c r="CU68" s="200" t="s">
        <v>169</v>
      </c>
      <c r="CV68" s="70">
        <f t="shared" si="59"/>
        <v>1</v>
      </c>
      <c r="CW68" s="70">
        <f t="shared" si="63"/>
        <v>2</v>
      </c>
      <c r="CX68" s="201">
        <v>12000000</v>
      </c>
      <c r="CY68" s="200" t="str">
        <f t="shared" si="17"/>
        <v>金币</v>
      </c>
      <c r="CZ68" s="202">
        <f t="shared" si="60"/>
        <v>1</v>
      </c>
      <c r="DA68" s="202">
        <f t="shared" si="61"/>
        <v>2</v>
      </c>
      <c r="DB68" s="201">
        <f t="shared" si="69"/>
        <v>2400000</v>
      </c>
      <c r="DC68" s="202">
        <f t="shared" si="67"/>
        <v>13800000</v>
      </c>
      <c r="DD68" s="202">
        <f t="shared" si="68"/>
        <v>2400000</v>
      </c>
      <c r="DE68" s="228">
        <f t="shared" si="66"/>
        <v>12000000</v>
      </c>
      <c r="DF68" s="70">
        <v>0</v>
      </c>
      <c r="DG68" s="217">
        <v>1</v>
      </c>
      <c r="DH68" s="217">
        <v>0.75</v>
      </c>
      <c r="DI68" s="11">
        <v>7</v>
      </c>
      <c r="DJ68" s="223"/>
    </row>
    <row r="69" spans="98:114" x14ac:dyDescent="0.25">
      <c r="CT69" s="666"/>
      <c r="CU69" s="200" t="s">
        <v>169</v>
      </c>
      <c r="CV69" s="70">
        <f t="shared" si="59"/>
        <v>1</v>
      </c>
      <c r="CW69" s="70">
        <f t="shared" si="63"/>
        <v>2</v>
      </c>
      <c r="CX69" s="201">
        <v>14000000</v>
      </c>
      <c r="CY69" s="200" t="str">
        <f t="shared" si="17"/>
        <v>金币</v>
      </c>
      <c r="CZ69" s="202">
        <f t="shared" si="60"/>
        <v>1</v>
      </c>
      <c r="DA69" s="202">
        <f t="shared" si="61"/>
        <v>2</v>
      </c>
      <c r="DB69" s="201">
        <f t="shared" si="69"/>
        <v>2800000</v>
      </c>
      <c r="DC69" s="202">
        <f t="shared" si="67"/>
        <v>15400000</v>
      </c>
      <c r="DD69" s="202">
        <f t="shared" si="68"/>
        <v>2800000</v>
      </c>
      <c r="DE69" s="70">
        <f t="shared" si="66"/>
        <v>14000000</v>
      </c>
      <c r="DF69" s="70">
        <v>0</v>
      </c>
      <c r="DG69" s="217">
        <v>1</v>
      </c>
      <c r="DH69" s="218">
        <v>0.5</v>
      </c>
      <c r="DI69" s="11">
        <v>9</v>
      </c>
      <c r="DJ69" s="223"/>
    </row>
    <row r="70" spans="98:114" x14ac:dyDescent="0.25">
      <c r="CT70" s="666"/>
      <c r="CU70" s="200" t="s">
        <v>169</v>
      </c>
      <c r="CV70" s="70">
        <f t="shared" si="59"/>
        <v>1</v>
      </c>
      <c r="CW70" s="70">
        <f t="shared" si="63"/>
        <v>2</v>
      </c>
      <c r="CX70" s="201">
        <v>16000000</v>
      </c>
      <c r="CY70" s="200" t="str">
        <f t="shared" ref="CY70:CY84" si="70">CU70</f>
        <v>金币</v>
      </c>
      <c r="CZ70" s="202">
        <f t="shared" si="60"/>
        <v>1</v>
      </c>
      <c r="DA70" s="202">
        <f t="shared" si="61"/>
        <v>2</v>
      </c>
      <c r="DB70" s="201">
        <f t="shared" si="69"/>
        <v>3200000</v>
      </c>
      <c r="DC70" s="202">
        <f t="shared" si="67"/>
        <v>16960000</v>
      </c>
      <c r="DD70" s="202">
        <f t="shared" si="68"/>
        <v>3200000</v>
      </c>
      <c r="DE70" s="70">
        <f t="shared" si="66"/>
        <v>16000000</v>
      </c>
      <c r="DF70" s="70">
        <v>0</v>
      </c>
      <c r="DG70" s="217">
        <v>1</v>
      </c>
      <c r="DH70" s="217">
        <v>0.3</v>
      </c>
      <c r="DI70" s="11">
        <v>10</v>
      </c>
      <c r="DJ70" s="223"/>
    </row>
    <row r="71" spans="98:114" x14ac:dyDescent="0.25">
      <c r="CT71" s="666"/>
      <c r="CU71" s="200" t="s">
        <v>169</v>
      </c>
      <c r="CV71" s="70">
        <f t="shared" si="59"/>
        <v>1</v>
      </c>
      <c r="CW71" s="70">
        <f t="shared" si="63"/>
        <v>2</v>
      </c>
      <c r="CX71" s="201">
        <v>18000000</v>
      </c>
      <c r="CY71" s="200" t="str">
        <f t="shared" si="70"/>
        <v>金币</v>
      </c>
      <c r="CZ71" s="202">
        <f t="shared" si="60"/>
        <v>1</v>
      </c>
      <c r="DA71" s="202">
        <f t="shared" si="61"/>
        <v>2</v>
      </c>
      <c r="DB71" s="201">
        <f t="shared" si="69"/>
        <v>3600000</v>
      </c>
      <c r="DC71" s="202">
        <f t="shared" ref="DC71:DC84" si="71">DD71*DH71+DE71</f>
        <v>18000000</v>
      </c>
      <c r="DD71" s="202">
        <f>VLOOKUP(CY71,DN:DR,3,0)/$DP$7*DB71*VLOOKUP(CY71,DN:DS,6,0)</f>
        <v>3600000</v>
      </c>
      <c r="DE71" s="70">
        <f t="shared" si="66"/>
        <v>18000000</v>
      </c>
      <c r="DF71" s="70">
        <v>0</v>
      </c>
      <c r="DG71" s="11"/>
      <c r="DH71" s="11"/>
      <c r="DI71" s="11">
        <v>5</v>
      </c>
      <c r="DJ71" s="223"/>
    </row>
    <row r="72" spans="98:114" x14ac:dyDescent="0.25">
      <c r="CT72" s="666"/>
      <c r="CU72" s="200" t="s">
        <v>169</v>
      </c>
      <c r="CV72" s="70">
        <f t="shared" si="59"/>
        <v>1</v>
      </c>
      <c r="CW72" s="70">
        <f t="shared" si="63"/>
        <v>2</v>
      </c>
      <c r="CX72" s="201">
        <v>20000000</v>
      </c>
      <c r="CY72" s="200" t="str">
        <f t="shared" si="70"/>
        <v>金币</v>
      </c>
      <c r="CZ72" s="202">
        <f t="shared" si="60"/>
        <v>1</v>
      </c>
      <c r="DA72" s="202">
        <f t="shared" si="61"/>
        <v>2</v>
      </c>
      <c r="DB72" s="201">
        <f t="shared" si="69"/>
        <v>4000000</v>
      </c>
      <c r="DC72" s="202">
        <f t="shared" si="71"/>
        <v>20000000</v>
      </c>
      <c r="DD72" s="202">
        <f>VLOOKUP(CY72,DN:DR,3,0)/$DP$7*DB72*VLOOKUP(CY72,DN:DS,6,0)</f>
        <v>4000000</v>
      </c>
      <c r="DE72" s="70">
        <f t="shared" si="66"/>
        <v>20000000</v>
      </c>
      <c r="DF72" s="70">
        <v>0</v>
      </c>
      <c r="DG72" s="11"/>
      <c r="DH72" s="11"/>
      <c r="DI72" s="11">
        <v>8</v>
      </c>
      <c r="DJ72" s="223"/>
    </row>
    <row r="73" spans="98:114" x14ac:dyDescent="0.25">
      <c r="CT73" s="666"/>
      <c r="CU73" s="200" t="s">
        <v>1119</v>
      </c>
      <c r="CV73" s="70">
        <f t="shared" si="59"/>
        <v>2</v>
      </c>
      <c r="CW73" s="70">
        <f t="shared" si="63"/>
        <v>1007</v>
      </c>
      <c r="CX73" s="201">
        <v>4</v>
      </c>
      <c r="CY73" s="200" t="str">
        <f t="shared" si="70"/>
        <v>超级武器3</v>
      </c>
      <c r="CZ73" s="202">
        <f t="shared" si="60"/>
        <v>2</v>
      </c>
      <c r="DA73" s="202">
        <f t="shared" si="61"/>
        <v>1007</v>
      </c>
      <c r="DB73" s="201">
        <f t="shared" si="69"/>
        <v>1</v>
      </c>
      <c r="DC73" s="202">
        <f t="shared" si="71"/>
        <v>20000000</v>
      </c>
      <c r="DD73" s="202">
        <f>VLOOKUP(CY73,DN:DR,3,0)/$DP$7*DB73*VLOOKUP(CY73,DN:DS,6,0)</f>
        <v>5000000</v>
      </c>
      <c r="DE73" s="70">
        <f t="shared" si="66"/>
        <v>20000000</v>
      </c>
      <c r="DF73" s="70">
        <v>0</v>
      </c>
      <c r="DG73" s="11"/>
      <c r="DH73" s="11"/>
      <c r="DI73" s="11">
        <v>3</v>
      </c>
      <c r="DJ73" s="223"/>
    </row>
    <row r="74" spans="98:114" x14ac:dyDescent="0.25">
      <c r="CT74" s="667"/>
      <c r="CU74" s="203" t="s">
        <v>1108</v>
      </c>
      <c r="CV74" s="204">
        <f t="shared" si="59"/>
        <v>2</v>
      </c>
      <c r="CW74" s="204">
        <f t="shared" si="63"/>
        <v>1008</v>
      </c>
      <c r="CX74" s="207">
        <v>3</v>
      </c>
      <c r="CY74" s="203" t="str">
        <f t="shared" si="70"/>
        <v>超级武器4</v>
      </c>
      <c r="CZ74" s="205">
        <f t="shared" si="60"/>
        <v>2</v>
      </c>
      <c r="DA74" s="205">
        <f t="shared" si="61"/>
        <v>1008</v>
      </c>
      <c r="DB74" s="207">
        <f t="shared" si="69"/>
        <v>1</v>
      </c>
      <c r="DC74" s="205">
        <f t="shared" si="71"/>
        <v>30000000</v>
      </c>
      <c r="DD74" s="205">
        <f>VLOOKUP(CY74,DN:DR,3,0)/$DP$7*DB74*VLOOKUP(CY74,DN:DS,6,0)</f>
        <v>10000000</v>
      </c>
      <c r="DE74" s="204">
        <f t="shared" si="66"/>
        <v>30000000</v>
      </c>
      <c r="DF74" s="204">
        <v>0</v>
      </c>
      <c r="DG74" s="137"/>
      <c r="DH74" s="137"/>
      <c r="DI74" s="137">
        <v>6</v>
      </c>
      <c r="DJ74" s="224"/>
    </row>
    <row r="75" spans="98:114" x14ac:dyDescent="0.25">
      <c r="CT75" s="665" t="str">
        <f>"抽奖
第8档
"&amp;D12&amp;"~
"&amp;E12</f>
        <v>抽奖
第8档
24000000~
999999999</v>
      </c>
      <c r="CU75" s="196" t="s">
        <v>1108</v>
      </c>
      <c r="CV75" s="197">
        <f t="shared" si="59"/>
        <v>2</v>
      </c>
      <c r="CW75" s="197">
        <f t="shared" si="63"/>
        <v>1008</v>
      </c>
      <c r="CX75" s="198">
        <v>6</v>
      </c>
      <c r="CY75" s="196" t="str">
        <f t="shared" si="70"/>
        <v>超级武器4</v>
      </c>
      <c r="CZ75" s="199">
        <f t="shared" si="60"/>
        <v>2</v>
      </c>
      <c r="DA75" s="199">
        <f t="shared" si="61"/>
        <v>1008</v>
      </c>
      <c r="DB75" s="198">
        <f t="shared" si="69"/>
        <v>2</v>
      </c>
      <c r="DC75" s="199">
        <f t="shared" si="71"/>
        <v>66000000</v>
      </c>
      <c r="DD75" s="199">
        <f>VLOOKUP(CY75,DN:DR,3,0)/$DP$7*DB75*VLOOKUP(CY75,DN:DS,6,0)</f>
        <v>20000000</v>
      </c>
      <c r="DE75" s="219">
        <f t="shared" si="66"/>
        <v>60000000</v>
      </c>
      <c r="DF75" s="197">
        <v>1</v>
      </c>
      <c r="DG75" s="216">
        <v>1</v>
      </c>
      <c r="DH75" s="216">
        <v>0.3</v>
      </c>
      <c r="DI75" s="129">
        <v>1</v>
      </c>
      <c r="DJ75" s="225"/>
    </row>
    <row r="76" spans="98:114" x14ac:dyDescent="0.25">
      <c r="CT76" s="666"/>
      <c r="CU76" s="200" t="s">
        <v>169</v>
      </c>
      <c r="CV76" s="70">
        <f t="shared" si="59"/>
        <v>1</v>
      </c>
      <c r="CW76" s="70">
        <f t="shared" si="63"/>
        <v>2</v>
      </c>
      <c r="CX76" s="201">
        <v>20000000</v>
      </c>
      <c r="CY76" s="200" t="str">
        <f t="shared" si="70"/>
        <v>金币</v>
      </c>
      <c r="CZ76" s="202">
        <f t="shared" si="60"/>
        <v>1</v>
      </c>
      <c r="DA76" s="202">
        <f t="shared" si="61"/>
        <v>2</v>
      </c>
      <c r="DB76" s="201">
        <f t="shared" si="69"/>
        <v>4000000</v>
      </c>
      <c r="DC76" s="202">
        <f t="shared" si="71"/>
        <v>23000000</v>
      </c>
      <c r="DD76" s="202">
        <f t="shared" ref="DD76:DD80" si="72">VLOOKUP(CY76,DN:DR,3,0)/$DP$7*DB76*VLOOKUP(CY76,DN:DS,6,0)</f>
        <v>4000000</v>
      </c>
      <c r="DE76" s="228">
        <f t="shared" ref="DE76:DE80" si="73">VLOOKUP(CU76,DN:DR,3,0)/$DP$7*CX76*VLOOKUP(CU76,DN:DS,6,0)</f>
        <v>20000000</v>
      </c>
      <c r="DF76" s="70">
        <v>0</v>
      </c>
      <c r="DG76" s="217">
        <v>0.5</v>
      </c>
      <c r="DH76" s="218">
        <v>0.75</v>
      </c>
      <c r="DI76" s="11">
        <v>2</v>
      </c>
      <c r="DJ76" s="223"/>
    </row>
    <row r="77" spans="98:114" x14ac:dyDescent="0.25">
      <c r="CT77" s="666"/>
      <c r="CU77" s="200" t="s">
        <v>169</v>
      </c>
      <c r="CV77" s="70">
        <f t="shared" si="59"/>
        <v>1</v>
      </c>
      <c r="CW77" s="70">
        <f t="shared" si="63"/>
        <v>2</v>
      </c>
      <c r="CX77" s="201">
        <v>25000000</v>
      </c>
      <c r="CY77" s="200" t="str">
        <f t="shared" si="70"/>
        <v>金币</v>
      </c>
      <c r="CZ77" s="202">
        <f t="shared" si="60"/>
        <v>1</v>
      </c>
      <c r="DA77" s="202">
        <f t="shared" si="61"/>
        <v>2</v>
      </c>
      <c r="DB77" s="201">
        <f t="shared" si="69"/>
        <v>5000000</v>
      </c>
      <c r="DC77" s="202">
        <f t="shared" si="71"/>
        <v>28750000</v>
      </c>
      <c r="DD77" s="202">
        <f t="shared" si="72"/>
        <v>5000000</v>
      </c>
      <c r="DE77" s="228">
        <f t="shared" si="73"/>
        <v>25000000</v>
      </c>
      <c r="DF77" s="70">
        <v>0</v>
      </c>
      <c r="DG77" s="217">
        <v>1</v>
      </c>
      <c r="DH77" s="218">
        <v>0.75</v>
      </c>
      <c r="DI77" s="11">
        <v>7</v>
      </c>
      <c r="DJ77" s="223"/>
    </row>
    <row r="78" spans="98:114" x14ac:dyDescent="0.25">
      <c r="CT78" s="666"/>
      <c r="CU78" s="200" t="s">
        <v>169</v>
      </c>
      <c r="CV78" s="70">
        <f t="shared" si="59"/>
        <v>1</v>
      </c>
      <c r="CW78" s="70">
        <f t="shared" si="63"/>
        <v>2</v>
      </c>
      <c r="CX78" s="201">
        <v>30000000</v>
      </c>
      <c r="CY78" s="200" t="str">
        <f t="shared" si="70"/>
        <v>金币</v>
      </c>
      <c r="CZ78" s="202">
        <f t="shared" si="60"/>
        <v>1</v>
      </c>
      <c r="DA78" s="202">
        <f t="shared" si="61"/>
        <v>2</v>
      </c>
      <c r="DB78" s="201">
        <f t="shared" si="69"/>
        <v>6000000</v>
      </c>
      <c r="DC78" s="202">
        <f t="shared" si="71"/>
        <v>34500000</v>
      </c>
      <c r="DD78" s="202">
        <f t="shared" si="72"/>
        <v>6000000</v>
      </c>
      <c r="DE78" s="70">
        <f t="shared" si="73"/>
        <v>30000000</v>
      </c>
      <c r="DF78" s="70">
        <v>0</v>
      </c>
      <c r="DG78" s="217">
        <v>1</v>
      </c>
      <c r="DH78" s="217">
        <v>0.75</v>
      </c>
      <c r="DI78" s="11">
        <v>4</v>
      </c>
      <c r="DJ78" s="223"/>
    </row>
    <row r="79" spans="98:114" x14ac:dyDescent="0.25">
      <c r="CT79" s="666"/>
      <c r="CU79" s="200" t="s">
        <v>169</v>
      </c>
      <c r="CV79" s="70">
        <f t="shared" si="59"/>
        <v>1</v>
      </c>
      <c r="CW79" s="70">
        <f t="shared" si="63"/>
        <v>2</v>
      </c>
      <c r="CX79" s="201">
        <v>35000000</v>
      </c>
      <c r="CY79" s="200" t="str">
        <f t="shared" si="70"/>
        <v>金币</v>
      </c>
      <c r="CZ79" s="202">
        <f t="shared" si="60"/>
        <v>1</v>
      </c>
      <c r="DA79" s="202">
        <f t="shared" si="61"/>
        <v>2</v>
      </c>
      <c r="DB79" s="201">
        <f t="shared" si="69"/>
        <v>7000000</v>
      </c>
      <c r="DC79" s="202">
        <f t="shared" si="71"/>
        <v>38500000</v>
      </c>
      <c r="DD79" s="202">
        <f t="shared" si="72"/>
        <v>7000000</v>
      </c>
      <c r="DE79" s="70">
        <f t="shared" si="73"/>
        <v>35000000</v>
      </c>
      <c r="DF79" s="70">
        <v>0</v>
      </c>
      <c r="DG79" s="217">
        <v>1</v>
      </c>
      <c r="DH79" s="218">
        <v>0.5</v>
      </c>
      <c r="DI79" s="11">
        <v>9</v>
      </c>
      <c r="DJ79" s="223"/>
    </row>
    <row r="80" spans="98:114" x14ac:dyDescent="0.25">
      <c r="CT80" s="666"/>
      <c r="CU80" s="200" t="s">
        <v>169</v>
      </c>
      <c r="CV80" s="70">
        <f t="shared" si="59"/>
        <v>1</v>
      </c>
      <c r="CW80" s="70">
        <f t="shared" si="63"/>
        <v>2</v>
      </c>
      <c r="CX80" s="201">
        <v>40000000</v>
      </c>
      <c r="CY80" s="200" t="str">
        <f t="shared" si="70"/>
        <v>金币</v>
      </c>
      <c r="CZ80" s="202">
        <f t="shared" si="60"/>
        <v>1</v>
      </c>
      <c r="DA80" s="202">
        <f t="shared" si="61"/>
        <v>2</v>
      </c>
      <c r="DB80" s="201">
        <f t="shared" si="69"/>
        <v>8000000</v>
      </c>
      <c r="DC80" s="202">
        <f t="shared" si="71"/>
        <v>42400000</v>
      </c>
      <c r="DD80" s="202">
        <f t="shared" si="72"/>
        <v>8000000</v>
      </c>
      <c r="DE80" s="70">
        <f t="shared" si="73"/>
        <v>40000000</v>
      </c>
      <c r="DF80" s="70">
        <v>0</v>
      </c>
      <c r="DG80" s="217">
        <v>1</v>
      </c>
      <c r="DH80" s="217">
        <v>0.3</v>
      </c>
      <c r="DI80" s="11">
        <v>10</v>
      </c>
      <c r="DJ80" s="223"/>
    </row>
    <row r="81" spans="98:114" x14ac:dyDescent="0.25">
      <c r="CT81" s="666"/>
      <c r="CU81" s="200" t="s">
        <v>169</v>
      </c>
      <c r="CV81" s="70">
        <f>VLOOKUP(CU81,DN:DR,4,0)</f>
        <v>1</v>
      </c>
      <c r="CW81" s="70">
        <f>VLOOKUP(CU81,DN:DR,5,0)</f>
        <v>2</v>
      </c>
      <c r="CX81" s="201">
        <v>45000000</v>
      </c>
      <c r="CY81" s="200" t="str">
        <f t="shared" si="70"/>
        <v>金币</v>
      </c>
      <c r="CZ81" s="202">
        <f t="shared" si="60"/>
        <v>1</v>
      </c>
      <c r="DA81" s="202">
        <f t="shared" si="61"/>
        <v>2</v>
      </c>
      <c r="DB81" s="201">
        <f t="shared" si="69"/>
        <v>9000000</v>
      </c>
      <c r="DC81" s="202">
        <f t="shared" si="71"/>
        <v>45000000</v>
      </c>
      <c r="DD81" s="202">
        <f>VLOOKUP(CY81,DN:DR,3,0)/$DP$7*DB81*VLOOKUP(CY81,DN:DS,6,0)</f>
        <v>9000000</v>
      </c>
      <c r="DE81" s="70">
        <f>VLOOKUP(CU81,DN:DR,3,0)/$DP$7*CX81*VLOOKUP(CU81,DN:DS,6,0)</f>
        <v>45000000</v>
      </c>
      <c r="DF81" s="70">
        <v>0</v>
      </c>
      <c r="DG81" s="11"/>
      <c r="DH81" s="11"/>
      <c r="DI81" s="11">
        <v>5</v>
      </c>
      <c r="DJ81" s="223"/>
    </row>
    <row r="82" spans="98:114" x14ac:dyDescent="0.25">
      <c r="CT82" s="666"/>
      <c r="CU82" s="200" t="s">
        <v>1119</v>
      </c>
      <c r="CV82" s="70">
        <f>VLOOKUP(CU82,DN:DR,4,0)</f>
        <v>2</v>
      </c>
      <c r="CW82" s="70">
        <f>VLOOKUP(CU82,DN:DR,5,0)</f>
        <v>1007</v>
      </c>
      <c r="CX82" s="201">
        <v>7</v>
      </c>
      <c r="CY82" s="200" t="str">
        <f t="shared" si="70"/>
        <v>超级武器3</v>
      </c>
      <c r="CZ82" s="202">
        <f t="shared" si="60"/>
        <v>2</v>
      </c>
      <c r="DA82" s="202">
        <f t="shared" si="61"/>
        <v>1007</v>
      </c>
      <c r="DB82" s="201">
        <f t="shared" si="69"/>
        <v>2</v>
      </c>
      <c r="DC82" s="202">
        <f t="shared" si="71"/>
        <v>35000000</v>
      </c>
      <c r="DD82" s="202">
        <f>VLOOKUP(CY82,DN:DR,3,0)/$DP$7*DB82*VLOOKUP(CY82,DN:DS,6,0)</f>
        <v>10000000</v>
      </c>
      <c r="DE82" s="70">
        <f>VLOOKUP(CU82,DN:DR,3,0)/$DP$7*CX82*VLOOKUP(CU82,DN:DS,6,0)</f>
        <v>35000000</v>
      </c>
      <c r="DF82" s="70">
        <v>0</v>
      </c>
      <c r="DG82" s="11"/>
      <c r="DH82" s="11"/>
      <c r="DI82" s="11">
        <v>8</v>
      </c>
      <c r="DJ82" s="223"/>
    </row>
    <row r="83" spans="98:114" x14ac:dyDescent="0.25">
      <c r="CT83" s="666"/>
      <c r="CU83" s="200" t="s">
        <v>1119</v>
      </c>
      <c r="CV83" s="70">
        <f>VLOOKUP(CU83,DN:DR,4,0)</f>
        <v>2</v>
      </c>
      <c r="CW83" s="70">
        <f>VLOOKUP(CU83,DN:DR,5,0)</f>
        <v>1007</v>
      </c>
      <c r="CX83" s="201">
        <v>8</v>
      </c>
      <c r="CY83" s="200" t="str">
        <f t="shared" si="70"/>
        <v>超级武器3</v>
      </c>
      <c r="CZ83" s="202">
        <f t="shared" si="60"/>
        <v>2</v>
      </c>
      <c r="DA83" s="202">
        <f t="shared" si="61"/>
        <v>1007</v>
      </c>
      <c r="DB83" s="201">
        <f t="shared" si="69"/>
        <v>2</v>
      </c>
      <c r="DC83" s="202">
        <f t="shared" si="71"/>
        <v>40000000</v>
      </c>
      <c r="DD83" s="202">
        <f>VLOOKUP(CY83,DN:DR,3,0)/$DP$7*DB83*VLOOKUP(CY83,DN:DS,6,0)</f>
        <v>10000000</v>
      </c>
      <c r="DE83" s="70">
        <f>VLOOKUP(CU83,DN:DR,3,0)/$DP$7*CX83*VLOOKUP(CU83,DN:DS,6,0)</f>
        <v>40000000</v>
      </c>
      <c r="DF83" s="70">
        <v>0</v>
      </c>
      <c r="DG83" s="11"/>
      <c r="DH83" s="11"/>
      <c r="DI83" s="11">
        <v>3</v>
      </c>
      <c r="DJ83" s="223"/>
    </row>
    <row r="84" spans="98:114" x14ac:dyDescent="0.25">
      <c r="CT84" s="667"/>
      <c r="CU84" s="203" t="s">
        <v>1108</v>
      </c>
      <c r="CV84" s="204">
        <f>VLOOKUP(CU84,DN:DR,4,0)</f>
        <v>2</v>
      </c>
      <c r="CW84" s="204">
        <f>VLOOKUP(CU84,DN:DR,5,0)</f>
        <v>1008</v>
      </c>
      <c r="CX84" s="207">
        <v>5</v>
      </c>
      <c r="CY84" s="203" t="str">
        <f t="shared" si="70"/>
        <v>超级武器4</v>
      </c>
      <c r="CZ84" s="205">
        <f t="shared" si="60"/>
        <v>2</v>
      </c>
      <c r="DA84" s="205">
        <f t="shared" si="61"/>
        <v>1008</v>
      </c>
      <c r="DB84" s="207">
        <f t="shared" si="69"/>
        <v>1</v>
      </c>
      <c r="DC84" s="205">
        <f t="shared" si="71"/>
        <v>50000000</v>
      </c>
      <c r="DD84" s="205">
        <f>VLOOKUP(CY84,DN:DR,3,0)/$DP$7*DB84*VLOOKUP(CY84,DN:DS,6,0)</f>
        <v>10000000</v>
      </c>
      <c r="DE84" s="204">
        <f>VLOOKUP(CU84,DN:DR,3,0)/$DP$7*CX84*VLOOKUP(CU84,DN:DS,6,0)</f>
        <v>50000000</v>
      </c>
      <c r="DF84" s="204">
        <v>0</v>
      </c>
      <c r="DG84" s="137"/>
      <c r="DH84" s="137"/>
      <c r="DI84" s="137">
        <v>6</v>
      </c>
      <c r="DJ84" s="224"/>
    </row>
  </sheetData>
  <mergeCells count="10">
    <mergeCell ref="CU3:CX3"/>
    <mergeCell ref="CY3:DB3"/>
    <mergeCell ref="CT5:CT14"/>
    <mergeCell ref="CT15:CT24"/>
    <mergeCell ref="CT25:CT34"/>
    <mergeCell ref="CT35:CT44"/>
    <mergeCell ref="CT45:CT54"/>
    <mergeCell ref="CT55:CT64"/>
    <mergeCell ref="CT65:CT74"/>
    <mergeCell ref="CT75:CT84"/>
  </mergeCells>
  <phoneticPr fontId="57" type="noConversion"/>
  <conditionalFormatting sqref="DE4">
    <cfRule type="containsText" dxfId="697" priority="20" operator="containsText" text=" ">
      <formula>NOT(ISERROR(SEARCH(" ",DE4)))</formula>
    </cfRule>
  </conditionalFormatting>
  <conditionalFormatting sqref="DJ4">
    <cfRule type="containsText" dxfId="696" priority="113" operator="containsText" text=" ">
      <formula>NOT(ISERROR(SEARCH(" ",DJ4)))</formula>
    </cfRule>
  </conditionalFormatting>
  <conditionalFormatting sqref="AY12">
    <cfRule type="containsText" dxfId="695" priority="4" operator="containsText" text=" ">
      <formula>NOT(ISERROR(SEARCH(" ",AY12)))</formula>
    </cfRule>
  </conditionalFormatting>
  <conditionalFormatting sqref="DF25">
    <cfRule type="containsText" dxfId="694" priority="168" operator="containsText" text=" ">
      <formula>NOT(ISERROR(SEARCH(" ",DF25)))</formula>
    </cfRule>
  </conditionalFormatting>
  <conditionalFormatting sqref="DF35">
    <cfRule type="containsText" dxfId="693" priority="167" operator="containsText" text=" ">
      <formula>NOT(ISERROR(SEARCH(" ",DF35)))</formula>
    </cfRule>
  </conditionalFormatting>
  <conditionalFormatting sqref="DF45">
    <cfRule type="containsText" dxfId="692" priority="166" operator="containsText" text=" ">
      <formula>NOT(ISERROR(SEARCH(" ",DF45)))</formula>
    </cfRule>
  </conditionalFormatting>
  <conditionalFormatting sqref="DF55">
    <cfRule type="containsText" dxfId="691" priority="184" operator="containsText" text=" ">
      <formula>NOT(ISERROR(SEARCH(" ",DF55)))</formula>
    </cfRule>
  </conditionalFormatting>
  <conditionalFormatting sqref="DE65">
    <cfRule type="containsText" dxfId="690" priority="79" operator="containsText" text=" ">
      <formula>NOT(ISERROR(SEARCH(" ",DE65)))</formula>
    </cfRule>
  </conditionalFormatting>
  <conditionalFormatting sqref="DF65">
    <cfRule type="containsText" dxfId="689" priority="107" operator="containsText" text=" ">
      <formula>NOT(ISERROR(SEARCH(" ",DF65)))</formula>
    </cfRule>
  </conditionalFormatting>
  <conditionalFormatting sqref="CX66">
    <cfRule type="containsText" dxfId="688" priority="15" operator="containsText" text=" ">
      <formula>NOT(ISERROR(SEARCH(" ",CX66)))</formula>
    </cfRule>
  </conditionalFormatting>
  <conditionalFormatting sqref="CX72">
    <cfRule type="containsText" dxfId="687" priority="13" operator="containsText" text=" ">
      <formula>NOT(ISERROR(SEARCH(" ",CX72)))</formula>
    </cfRule>
  </conditionalFormatting>
  <conditionalFormatting sqref="DE75">
    <cfRule type="containsText" dxfId="686" priority="78" operator="containsText" text=" ">
      <formula>NOT(ISERROR(SEARCH(" ",DE75)))</formula>
    </cfRule>
  </conditionalFormatting>
  <conditionalFormatting sqref="DF75">
    <cfRule type="containsText" dxfId="685" priority="100" operator="containsText" text=" ">
      <formula>NOT(ISERROR(SEARCH(" ",DF75)))</formula>
    </cfRule>
  </conditionalFormatting>
  <conditionalFormatting sqref="D11:D12">
    <cfRule type="containsText" dxfId="684" priority="111" operator="containsText" text=" ">
      <formula>NOT(ISERROR(SEARCH(" ",D11)))</formula>
    </cfRule>
  </conditionalFormatting>
  <conditionalFormatting sqref="O5:O12">
    <cfRule type="containsText" dxfId="683" priority="11" operator="containsText" text=" ">
      <formula>NOT(ISERROR(SEARCH(" ",O5)))</formula>
    </cfRule>
  </conditionalFormatting>
  <conditionalFormatting sqref="R13:R1048576">
    <cfRule type="containsText" dxfId="682" priority="154" operator="containsText" text=" ">
      <formula>NOT(ISERROR(SEARCH(" ",R13)))</formula>
    </cfRule>
  </conditionalFormatting>
  <conditionalFormatting sqref="X5:X12">
    <cfRule type="containsText" dxfId="681" priority="33" operator="containsText" text=" ">
      <formula>NOT(ISERROR(SEARCH(" ",X5)))</formula>
    </cfRule>
  </conditionalFormatting>
  <conditionalFormatting sqref="AG5:AG12">
    <cfRule type="containsText" dxfId="680" priority="10" operator="containsText" text=" ">
      <formula>NOT(ISERROR(SEARCH(" ",AG5)))</formula>
    </cfRule>
  </conditionalFormatting>
  <conditionalFormatting sqref="AG13:AG1048576">
    <cfRule type="containsText" dxfId="679" priority="60" operator="containsText" text=" ">
      <formula>NOT(ISERROR(SEARCH(" ",AG13)))</formula>
    </cfRule>
  </conditionalFormatting>
  <conditionalFormatting sqref="AJ13:AJ1048576">
    <cfRule type="containsText" dxfId="678" priority="152" operator="containsText" text=" ">
      <formula>NOT(ISERROR(SEARCH(" ",AJ13)))</formula>
    </cfRule>
  </conditionalFormatting>
  <conditionalFormatting sqref="AP5:AP12">
    <cfRule type="containsText" dxfId="677" priority="9" operator="containsText" text=" ">
      <formula>NOT(ISERROR(SEARCH(" ",AP5)))</formula>
    </cfRule>
  </conditionalFormatting>
  <conditionalFormatting sqref="AP13:AP1048576">
    <cfRule type="containsText" dxfId="676" priority="58" operator="containsText" text=" ">
      <formula>NOT(ISERROR(SEARCH(" ",AP13)))</formula>
    </cfRule>
  </conditionalFormatting>
  <conditionalFormatting sqref="AS13:AS1048576">
    <cfRule type="containsText" dxfId="675" priority="151" operator="containsText" text=" ">
      <formula>NOT(ISERROR(SEARCH(" ",AS13)))</formula>
    </cfRule>
  </conditionalFormatting>
  <conditionalFormatting sqref="AY5:AY11">
    <cfRule type="containsText" dxfId="674" priority="8" operator="containsText" text=" ">
      <formula>NOT(ISERROR(SEARCH(" ",AY5)))</formula>
    </cfRule>
  </conditionalFormatting>
  <conditionalFormatting sqref="AY13:AY1048576">
    <cfRule type="containsText" dxfId="673" priority="56" operator="containsText" text=" ">
      <formula>NOT(ISERROR(SEARCH(" ",AY13)))</formula>
    </cfRule>
  </conditionalFormatting>
  <conditionalFormatting sqref="BB13:BB1048576">
    <cfRule type="containsText" dxfId="672" priority="150" operator="containsText" text=" ">
      <formula>NOT(ISERROR(SEARCH(" ",BB13)))</formula>
    </cfRule>
  </conditionalFormatting>
  <conditionalFormatting sqref="BH5:BH12">
    <cfRule type="containsText" dxfId="671" priority="7" operator="containsText" text=" ">
      <formula>NOT(ISERROR(SEARCH(" ",BH5)))</formula>
    </cfRule>
  </conditionalFormatting>
  <conditionalFormatting sqref="BH13:BH1048576">
    <cfRule type="containsText" dxfId="670" priority="54" operator="containsText" text=" ">
      <formula>NOT(ISERROR(SEARCH(" ",BH13)))</formula>
    </cfRule>
  </conditionalFormatting>
  <conditionalFormatting sqref="BJ5:BJ12">
    <cfRule type="containsText" dxfId="669" priority="63" operator="containsText" text=" ">
      <formula>NOT(ISERROR(SEARCH(" ",BJ5)))</formula>
    </cfRule>
  </conditionalFormatting>
  <conditionalFormatting sqref="BK5:BK10">
    <cfRule type="containsText" dxfId="668" priority="65" operator="containsText" text=" ">
      <formula>NOT(ISERROR(SEARCH(" ",BK5)))</formula>
    </cfRule>
  </conditionalFormatting>
  <conditionalFormatting sqref="BK11:BK12">
    <cfRule type="containsText" dxfId="667" priority="64" operator="containsText" text=" ">
      <formula>NOT(ISERROR(SEARCH(" ",BK11)))</formula>
    </cfRule>
  </conditionalFormatting>
  <conditionalFormatting sqref="BQ5:BQ12">
    <cfRule type="containsText" dxfId="666" priority="6" operator="containsText" text=" ">
      <formula>NOT(ISERROR(SEARCH(" ",BQ5)))</formula>
    </cfRule>
  </conditionalFormatting>
  <conditionalFormatting sqref="BQ13:BQ1048576">
    <cfRule type="containsText" dxfId="665" priority="52" operator="containsText" text=" ">
      <formula>NOT(ISERROR(SEARCH(" ",BQ13)))</formula>
    </cfRule>
  </conditionalFormatting>
  <conditionalFormatting sqref="BZ5:BZ8">
    <cfRule type="containsText" dxfId="664" priority="38" operator="containsText" text=" ">
      <formula>NOT(ISERROR(SEARCH(" ",BZ5)))</formula>
    </cfRule>
  </conditionalFormatting>
  <conditionalFormatting sqref="BZ9:BZ12">
    <cfRule type="containsText" dxfId="663" priority="5" operator="containsText" text=" ">
      <formula>NOT(ISERROR(SEARCH(" ",BZ9)))</formula>
    </cfRule>
  </conditionalFormatting>
  <conditionalFormatting sqref="BZ13:BZ1048576">
    <cfRule type="containsText" dxfId="662" priority="50" operator="containsText" text=" ">
      <formula>NOT(ISERROR(SEARCH(" ",BZ13)))</formula>
    </cfRule>
  </conditionalFormatting>
  <conditionalFormatting sqref="CI5:CI12">
    <cfRule type="containsText" dxfId="661" priority="12" operator="containsText" text=" ">
      <formula>NOT(ISERROR(SEARCH(" ",CI5)))</formula>
    </cfRule>
  </conditionalFormatting>
  <conditionalFormatting sqref="CI13:CI1048576">
    <cfRule type="containsText" dxfId="660" priority="48" operator="containsText" text=" ">
      <formula>NOT(ISERROR(SEARCH(" ",CI13)))</formula>
    </cfRule>
  </conditionalFormatting>
  <conditionalFormatting sqref="CR5:CR7">
    <cfRule type="containsText" dxfId="659" priority="1" operator="containsText" text=" ">
      <formula>NOT(ISERROR(SEARCH(" ",CR5)))</formula>
    </cfRule>
  </conditionalFormatting>
  <conditionalFormatting sqref="CR8:CR12">
    <cfRule type="containsText" dxfId="658" priority="36" operator="containsText" text=" ">
      <formula>NOT(ISERROR(SEARCH(" ",CR8)))</formula>
    </cfRule>
  </conditionalFormatting>
  <conditionalFormatting sqref="CR13:CR1048576">
    <cfRule type="containsText" dxfId="657" priority="46" operator="containsText" text=" ">
      <formula>NOT(ISERROR(SEARCH(" ",CR13)))</formula>
    </cfRule>
  </conditionalFormatting>
  <conditionalFormatting sqref="CU6:CU10">
    <cfRule type="containsText" dxfId="656" priority="21" operator="containsText" text=" ">
      <formula>NOT(ISERROR(SEARCH(" ",CU6)))</formula>
    </cfRule>
  </conditionalFormatting>
  <conditionalFormatting sqref="CU16:CU17">
    <cfRule type="containsText" dxfId="655" priority="19" operator="containsText" text=" ">
      <formula>NOT(ISERROR(SEARCH(" ",CU16)))</formula>
    </cfRule>
  </conditionalFormatting>
  <conditionalFormatting sqref="CX67:CX71">
    <cfRule type="containsText" dxfId="654" priority="16" operator="containsText" text=" ">
      <formula>NOT(ISERROR(SEARCH(" ",CX67)))</formula>
    </cfRule>
  </conditionalFormatting>
  <conditionalFormatting sqref="DC25:DC44">
    <cfRule type="containsText" dxfId="653" priority="121" operator="containsText" text=" ">
      <formula>NOT(ISERROR(SEARCH(" ",DC25)))</formula>
    </cfRule>
  </conditionalFormatting>
  <conditionalFormatting sqref="DC45:DC64">
    <cfRule type="containsText" dxfId="652" priority="120" operator="containsText" text=" ">
      <formula>NOT(ISERROR(SEARCH(" ",DC45)))</formula>
    </cfRule>
  </conditionalFormatting>
  <conditionalFormatting sqref="DC65:DC74">
    <cfRule type="containsText" dxfId="651" priority="104" operator="containsText" text=" ">
      <formula>NOT(ISERROR(SEARCH(" ",DC65)))</formula>
    </cfRule>
  </conditionalFormatting>
  <conditionalFormatting sqref="DC75:DC84">
    <cfRule type="containsText" dxfId="650" priority="97" operator="containsText" text=" ">
      <formula>NOT(ISERROR(SEARCH(" ",DC75)))</formula>
    </cfRule>
  </conditionalFormatting>
  <conditionalFormatting sqref="DD25:DD34">
    <cfRule type="containsText" dxfId="649" priority="125" operator="containsText" text=" ">
      <formula>NOT(ISERROR(SEARCH(" ",DD25)))</formula>
    </cfRule>
  </conditionalFormatting>
  <conditionalFormatting sqref="DD35:DD44">
    <cfRule type="containsText" dxfId="648" priority="124" operator="containsText" text=" ">
      <formula>NOT(ISERROR(SEARCH(" ",DD35)))</formula>
    </cfRule>
  </conditionalFormatting>
  <conditionalFormatting sqref="DD45:DD54">
    <cfRule type="containsText" dxfId="647" priority="123" operator="containsText" text=" ">
      <formula>NOT(ISERROR(SEARCH(" ",DD45)))</formula>
    </cfRule>
  </conditionalFormatting>
  <conditionalFormatting sqref="DD55:DD64">
    <cfRule type="containsText" dxfId="646" priority="122" operator="containsText" text=" ">
      <formula>NOT(ISERROR(SEARCH(" ",DD55)))</formula>
    </cfRule>
  </conditionalFormatting>
  <conditionalFormatting sqref="DD65:DD74">
    <cfRule type="containsText" dxfId="645" priority="105" operator="containsText" text=" ">
      <formula>NOT(ISERROR(SEARCH(" ",DD65)))</formula>
    </cfRule>
  </conditionalFormatting>
  <conditionalFormatting sqref="DD75:DD84">
    <cfRule type="containsText" dxfId="644" priority="98" operator="containsText" text=" ">
      <formula>NOT(ISERROR(SEARCH(" ",DD75)))</formula>
    </cfRule>
  </conditionalFormatting>
  <conditionalFormatting sqref="DF15:DF24">
    <cfRule type="containsText" dxfId="643" priority="169" operator="containsText" text=" ">
      <formula>NOT(ISERROR(SEARCH(" ",DF15)))</formula>
    </cfRule>
  </conditionalFormatting>
  <conditionalFormatting sqref="DF26:DF34">
    <cfRule type="containsText" dxfId="642" priority="31" operator="containsText" text=" ">
      <formula>NOT(ISERROR(SEARCH(" ",DF26)))</formula>
    </cfRule>
  </conditionalFormatting>
  <conditionalFormatting sqref="DF36:DF44">
    <cfRule type="containsText" dxfId="641" priority="30" operator="containsText" text=" ">
      <formula>NOT(ISERROR(SEARCH(" ",DF36)))</formula>
    </cfRule>
  </conditionalFormatting>
  <conditionalFormatting sqref="DF46:DF54">
    <cfRule type="containsText" dxfId="640" priority="29" operator="containsText" text=" ">
      <formula>NOT(ISERROR(SEARCH(" ",DF46)))</formula>
    </cfRule>
  </conditionalFormatting>
  <conditionalFormatting sqref="DF56:DF64">
    <cfRule type="containsText" dxfId="639" priority="28" operator="containsText" text=" ">
      <formula>NOT(ISERROR(SEARCH(" ",DF56)))</formula>
    </cfRule>
  </conditionalFormatting>
  <conditionalFormatting sqref="DF66:DF74">
    <cfRule type="containsText" dxfId="638" priority="27" operator="containsText" text=" ">
      <formula>NOT(ISERROR(SEARCH(" ",DF66)))</formula>
    </cfRule>
  </conditionalFormatting>
  <conditionalFormatting sqref="DF76:DF84">
    <cfRule type="containsText" dxfId="637" priority="26" operator="containsText" text=" ">
      <formula>NOT(ISERROR(SEARCH(" ",DF76)))</formula>
    </cfRule>
  </conditionalFormatting>
  <conditionalFormatting sqref="DG15:DG20">
    <cfRule type="containsText" dxfId="636" priority="137" operator="containsText" text=" ">
      <formula>NOT(ISERROR(SEARCH(" ",DG15)))</formula>
    </cfRule>
  </conditionalFormatting>
  <conditionalFormatting sqref="DG25:DG30">
    <cfRule type="containsText" dxfId="635" priority="136" operator="containsText" text=" ">
      <formula>NOT(ISERROR(SEARCH(" ",DG25)))</formula>
    </cfRule>
  </conditionalFormatting>
  <conditionalFormatting sqref="DG35:DG40">
    <cfRule type="containsText" dxfId="634" priority="135" operator="containsText" text=" ">
      <formula>NOT(ISERROR(SEARCH(" ",DG35)))</formula>
    </cfRule>
  </conditionalFormatting>
  <conditionalFormatting sqref="DH5:DH10">
    <cfRule type="containsText" dxfId="633" priority="117" operator="containsText" text=" ">
      <formula>NOT(ISERROR(SEARCH(" ",DH5)))</formula>
    </cfRule>
  </conditionalFormatting>
  <conditionalFormatting sqref="DH15:DH20">
    <cfRule type="containsText" dxfId="632" priority="116" operator="containsText" text=" ">
      <formula>NOT(ISERROR(SEARCH(" ",DH15)))</formula>
    </cfRule>
  </conditionalFormatting>
  <conditionalFormatting sqref="DH25:DH30">
    <cfRule type="containsText" dxfId="631" priority="118" operator="containsText" text=" ">
      <formula>NOT(ISERROR(SEARCH(" ",DH25)))</formula>
    </cfRule>
  </conditionalFormatting>
  <conditionalFormatting sqref="DH35:DH40">
    <cfRule type="containsText" dxfId="630" priority="119" operator="containsText" text=" ">
      <formula>NOT(ISERROR(SEARCH(" ",DH35)))</formula>
    </cfRule>
  </conditionalFormatting>
  <conditionalFormatting sqref="DI15:DI20">
    <cfRule type="containsText" dxfId="629" priority="2" operator="containsText" text=" ">
      <formula>NOT(ISERROR(SEARCH(" ",DI15)))</formula>
    </cfRule>
  </conditionalFormatting>
  <conditionalFormatting sqref="DJ65:DJ70">
    <cfRule type="containsText" dxfId="628" priority="103" operator="containsText" text=" ">
      <formula>NOT(ISERROR(SEARCH(" ",DJ65)))</formula>
    </cfRule>
  </conditionalFormatting>
  <conditionalFormatting sqref="DJ75:DJ80">
    <cfRule type="containsText" dxfId="627" priority="96" operator="containsText" text=" ">
      <formula>NOT(ISERROR(SEARCH(" ",DJ75)))</formula>
    </cfRule>
  </conditionalFormatting>
  <conditionalFormatting sqref="DN20:DN21">
    <cfRule type="containsText" dxfId="626" priority="181" operator="containsText" text=" ">
      <formula>NOT(ISERROR(SEARCH(" ",DN20)))</formula>
    </cfRule>
  </conditionalFormatting>
  <conditionalFormatting sqref="DN23:DN26">
    <cfRule type="containsText" dxfId="625" priority="130" operator="containsText" text="话费">
      <formula>NOT(ISERROR(SEARCH("话费",DN23)))</formula>
    </cfRule>
    <cfRule type="cellIs" dxfId="624" priority="131" operator="equal">
      <formula>"话费"</formula>
    </cfRule>
    <cfRule type="containsText" dxfId="623" priority="132" operator="containsText" text="话费">
      <formula>NOT(ISERROR(SEARCH("话费",DN23)))</formula>
    </cfRule>
    <cfRule type="containsText" dxfId="622" priority="133" operator="containsText" text=" ">
      <formula>NOT(ISERROR(SEARCH(" ",DN23)))</formula>
    </cfRule>
  </conditionalFormatting>
  <conditionalFormatting sqref="DP8:DP11">
    <cfRule type="containsText" dxfId="621" priority="191" operator="containsText" text=" ">
      <formula>NOT(ISERROR(SEARCH(" ",DP8)))</formula>
    </cfRule>
  </conditionalFormatting>
  <conditionalFormatting sqref="DP13:DP16">
    <cfRule type="containsText" dxfId="620" priority="187" operator="containsText" text=" ">
      <formula>NOT(ISERROR(SEARCH(" ",DP13)))</formula>
    </cfRule>
  </conditionalFormatting>
  <conditionalFormatting sqref="DR8:DR11">
    <cfRule type="containsText" dxfId="619" priority="192" operator="containsText" text=" ">
      <formula>NOT(ISERROR(SEARCH(" ",DR8)))</formula>
    </cfRule>
  </conditionalFormatting>
  <conditionalFormatting sqref="DR13:DR16">
    <cfRule type="containsText" dxfId="618" priority="188" operator="containsText" text=" ">
      <formula>NOT(ISERROR(SEARCH(" ",DR13)))</formula>
    </cfRule>
  </conditionalFormatting>
  <conditionalFormatting sqref="DR20:DR21">
    <cfRule type="containsText" dxfId="617" priority="182" operator="containsText" text=" ">
      <formula>NOT(ISERROR(SEARCH(" ",DR20)))</formula>
    </cfRule>
  </conditionalFormatting>
  <conditionalFormatting sqref="A9:A10 A11:B12 L5:N12 C9:C10 E5:K9 P5:W10 S13:Y1048576 AB13:AF1048576 AH13:AI1048576 Y5:Y10 AB5:AF10 AQ5:AX10 AZ5:BG10 AT13:AX1048576 AZ13:BA1048576 AH5:AO10 AK13:AO1048576 AQ13:AR1048576 BC13:BG1048576 CT55 DM1:DN19 DB1:DI2 DB4:DD4 CS2:CT2 CV2:CY2 DC3:DI3 DM22:DN22 DM20:DM21 DI4:DI10 DO7:DO19 DP12:DQ12 DP7:DR7 DQ13:DQ16 DQ8:DQ11 DO22:DR26 CT15 CS1:CY1 CT5 CS5:CS1048576 CT25 CT85:DI1048576 CT45 DI35:DI40 CT35 DI25:DI30 DI45:DI50 DI55:DI60 DG81:DI84 F10:K10 E10:E11 DS1:XFD24 DP17:DR19 DO20:DQ21 DS25:DT26 EA25:XFD28 DT27:DT28 DT29:XFD30 DM23:DM30 DM31:XFD63 DF4 DM74:XFD1048576 DN64:XFD73 DO1:DR6">
    <cfRule type="containsText" dxfId="616" priority="193" operator="containsText" text=" ">
      <formula>NOT(ISERROR(SEARCH(" ",A1)))</formula>
    </cfRule>
  </conditionalFormatting>
  <conditionalFormatting sqref="CZ4:DA4 CU1:DB2">
    <cfRule type="containsText" dxfId="615" priority="126" operator="containsText" text=" ">
      <formula>NOT(ISERROR(SEARCH(" ",CU1)))</formula>
    </cfRule>
  </conditionalFormatting>
  <conditionalFormatting sqref="DJ1:DJ3 DJ81:DJ1048576">
    <cfRule type="containsText" dxfId="614" priority="115" operator="containsText" text=" ">
      <formula>NOT(ISERROR(SEARCH(" ",DJ1)))</formula>
    </cfRule>
  </conditionalFormatting>
  <conditionalFormatting sqref="DK1:DL15 DK85:DL1048576 DL74:DL84 DL16:DL63 DK16:DK84">
    <cfRule type="containsText" dxfId="613" priority="129" operator="containsText" text=" ">
      <formula>NOT(ISERROR(SEARCH(" ",DK1)))</formula>
    </cfRule>
  </conditionalFormatting>
  <conditionalFormatting sqref="Z13:AA1048576 Z5:AA10 CY3 CS3:CT3 CS4:CY4 DR12 CU2">
    <cfRule type="containsText" dxfId="612" priority="189" operator="containsText" text=" ">
      <formula>NOT(ISERROR(SEARCH(" ",Z2)))</formula>
    </cfRule>
  </conditionalFormatting>
  <conditionalFormatting sqref="A5:B10 A18:C22 A12 A13:C16 A24:C28 A36:C40 A30:C34">
    <cfRule type="colorScale" priority="7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6:B10 A5:C5 A6:A8 C6:C8 D5:D10 A13:Q1048576">
    <cfRule type="containsText" dxfId="611" priority="190" operator="containsText" text=" ">
      <formula>NOT(ISERROR(SEARCH(" ",A5)))</formula>
    </cfRule>
  </conditionalFormatting>
  <conditionalFormatting sqref="BL5:BM10 BI5:BI12 BN5:BP12">
    <cfRule type="containsText" dxfId="610" priority="77" operator="containsText" text=" ">
      <formula>NOT(ISERROR(SEARCH(" ",BI5)))</formula>
    </cfRule>
  </conditionalFormatting>
  <conditionalFormatting sqref="BW5:BY12 BR5:BV10">
    <cfRule type="containsText" dxfId="609" priority="74" operator="containsText" text=" ">
      <formula>NOT(ISERROR(SEARCH(" ",BR5)))</formula>
    </cfRule>
  </conditionalFormatting>
  <conditionalFormatting sqref="CA5:CE10 CF5:CH12">
    <cfRule type="containsText" dxfId="608" priority="71" operator="containsText" text=" ">
      <formula>NOT(ISERROR(SEARCH(" ",CA5)))</formula>
    </cfRule>
  </conditionalFormatting>
  <conditionalFormatting sqref="CJ5:CN10 CO5:CQ12">
    <cfRule type="containsText" dxfId="607" priority="68" operator="containsText" text=" ">
      <formula>NOT(ISERROR(SEARCH(" ",CJ5)))</formula>
    </cfRule>
  </conditionalFormatting>
  <conditionalFormatting sqref="CZ41:DA84 CV41:CW80 DB41:DB66 CU15:DE15 CU5:DF5 DE21:DE64 CV6:DF10 CX41:CY64 CU11:DF14 CU25:DB40 CU21:DD24 CV16:DE17 CU18:DE20 CU40:CU64">
    <cfRule type="containsText" dxfId="606" priority="186" operator="containsText" text=" ">
      <formula>NOT(ISERROR(SEARCH(" ",CU5)))</formula>
    </cfRule>
  </conditionalFormatting>
  <conditionalFormatting sqref="DG5:DG10 DG55:DH60">
    <cfRule type="containsText" dxfId="605" priority="138" operator="containsText" text=" ">
      <formula>NOT(ISERROR(SEARCH(" ",DG5)))</formula>
    </cfRule>
  </conditionalFormatting>
  <conditionalFormatting sqref="DJ5:DJ10 DJ55:DJ60 DJ45:DJ50 DJ35:DJ40 DJ25:DJ30 DJ15:DJ20">
    <cfRule type="containsText" dxfId="604" priority="114" operator="containsText" text=" ">
      <formula>NOT(ISERROR(SEARCH(" ",DJ5)))</formula>
    </cfRule>
  </conditionalFormatting>
  <conditionalFormatting sqref="C11:C12 E12:F12 F11">
    <cfRule type="containsText" dxfId="603" priority="112" operator="containsText" text=" ">
      <formula>NOT(ISERROR(SEARCH(" ",C11)))</formula>
    </cfRule>
  </conditionalFormatting>
  <conditionalFormatting sqref="G11:M12">
    <cfRule type="containsText" dxfId="602" priority="83" operator="containsText" text=" ">
      <formula>NOT(ISERROR(SEARCH(" ",G11)))</formula>
    </cfRule>
  </conditionalFormatting>
  <conditionalFormatting sqref="P11:W12 AB11:AF12 Y11:Y12 AH11:AO12 AQ11:AX12 AZ11:BG12">
    <cfRule type="containsText" dxfId="601" priority="81" operator="containsText" text=" ">
      <formula>NOT(ISERROR(SEARCH(" ",P11)))</formula>
    </cfRule>
  </conditionalFormatting>
  <conditionalFormatting sqref="Z11:AA12">
    <cfRule type="containsText" dxfId="600" priority="80" operator="containsText" text=" ">
      <formula>NOT(ISERROR(SEARCH(" ",Z11)))</formula>
    </cfRule>
  </conditionalFormatting>
  <conditionalFormatting sqref="BL11:BP12">
    <cfRule type="containsText" dxfId="599" priority="75" operator="containsText" text=" ">
      <formula>NOT(ISERROR(SEARCH(" ",BL11)))</formula>
    </cfRule>
  </conditionalFormatting>
  <conditionalFormatting sqref="BR11:BY12">
    <cfRule type="containsText" dxfId="598" priority="72" operator="containsText" text=" ">
      <formula>NOT(ISERROR(SEARCH(" ",BR11)))</formula>
    </cfRule>
  </conditionalFormatting>
  <conditionalFormatting sqref="CA11:CH12">
    <cfRule type="containsText" dxfId="597" priority="69" operator="containsText" text=" ">
      <formula>NOT(ISERROR(SEARCH(" ",CA11)))</formula>
    </cfRule>
  </conditionalFormatting>
  <conditionalFormatting sqref="CJ11:CQ12">
    <cfRule type="containsText" dxfId="596" priority="66" operator="containsText" text=" ">
      <formula>NOT(ISERROR(SEARCH(" ",CJ11)))</formula>
    </cfRule>
  </conditionalFormatting>
  <conditionalFormatting sqref="BI13:BP1048576">
    <cfRule type="containsText" dxfId="595" priority="76" operator="containsText" text=" ">
      <formula>NOT(ISERROR(SEARCH(" ",BI13)))</formula>
    </cfRule>
  </conditionalFormatting>
  <conditionalFormatting sqref="BR13:BY1048576">
    <cfRule type="containsText" dxfId="594" priority="73" operator="containsText" text=" ">
      <formula>NOT(ISERROR(SEARCH(" ",BR13)))</formula>
    </cfRule>
  </conditionalFormatting>
  <conditionalFormatting sqref="CA13:CH1048576">
    <cfRule type="containsText" dxfId="593" priority="70" operator="containsText" text=" ">
      <formula>NOT(ISERROR(SEARCH(" ",CA13)))</formula>
    </cfRule>
  </conditionalFormatting>
  <conditionalFormatting sqref="CJ13:CQ1048576">
    <cfRule type="containsText" dxfId="592" priority="67" operator="containsText" text=" ">
      <formula>NOT(ISERROR(SEARCH(" ",CJ13)))</formula>
    </cfRule>
  </conditionalFormatting>
  <conditionalFormatting sqref="DU25:DY28 DN27:DR30">
    <cfRule type="containsText" dxfId="591" priority="22" operator="containsText" text=" ">
      <formula>NOT(ISERROR(SEARCH(" ",DN25)))</formula>
    </cfRule>
  </conditionalFormatting>
  <conditionalFormatting sqref="DS27:DS30 DZ25:DZ28">
    <cfRule type="containsText" dxfId="590" priority="23" operator="containsText" text=" ">
      <formula>NOT(ISERROR(SEARCH(" ",DS25)))</formula>
    </cfRule>
  </conditionalFormatting>
  <conditionalFormatting sqref="DG45:DH50">
    <cfRule type="containsText" dxfId="589" priority="134" operator="containsText" text=" ">
      <formula>NOT(ISERROR(SEARCH(" ",DG45)))</formula>
    </cfRule>
  </conditionalFormatting>
  <conditionalFormatting sqref="DL64:DM73">
    <cfRule type="containsText" dxfId="588" priority="14" operator="containsText" text=" ">
      <formula>NOT(ISERROR(SEARCH(" ",DL64)))</formula>
    </cfRule>
  </conditionalFormatting>
  <conditionalFormatting sqref="CT65 DI65:DI70">
    <cfRule type="containsText" dxfId="587" priority="109" operator="containsText" text=" ">
      <formula>NOT(ISERROR(SEARCH(" ",CT65)))</formula>
    </cfRule>
  </conditionalFormatting>
  <conditionalFormatting sqref="DE66:DE74 DB67:DB74 CX65:CY65 CX73:CY74 CU65:CU74 CY66:CY72">
    <cfRule type="containsText" dxfId="586" priority="108" operator="containsText" text=" ">
      <formula>NOT(ISERROR(SEARCH(" ",CU65)))</formula>
    </cfRule>
  </conditionalFormatting>
  <conditionalFormatting sqref="DG65:DH70">
    <cfRule type="containsText" dxfId="585" priority="106" operator="containsText" text=" ">
      <formula>NOT(ISERROR(SEARCH(" ",DG65)))</formula>
    </cfRule>
  </conditionalFormatting>
  <conditionalFormatting sqref="CT75 DI75:DI80">
    <cfRule type="containsText" dxfId="584" priority="102" operator="containsText" text=" ">
      <formula>NOT(ISERROR(SEARCH(" ",CT75)))</formula>
    </cfRule>
  </conditionalFormatting>
  <conditionalFormatting sqref="DE76:DE84 DB75:DB84 CU75:CU80 CX75:CY80 CX77:CX81 CU81:CY84">
    <cfRule type="containsText" dxfId="583" priority="101" operator="containsText" text=" ">
      <formula>NOT(ISERROR(SEARCH(" ",CU75)))</formula>
    </cfRule>
  </conditionalFormatting>
  <conditionalFormatting sqref="DG75:DH80">
    <cfRule type="containsText" dxfId="582" priority="99" operator="containsText" text=" ">
      <formula>NOT(ISERROR(SEARCH(" ",DG75)))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2"/>
  <sheetViews>
    <sheetView workbookViewId="0">
      <selection activeCell="M18" sqref="M18"/>
    </sheetView>
  </sheetViews>
  <sheetFormatPr defaultColWidth="9" defaultRowHeight="15.6" x14ac:dyDescent="0.25"/>
  <cols>
    <col min="1" max="1" width="9.88671875" style="1" customWidth="1"/>
    <col min="2" max="2" width="21.88671875" style="1" customWidth="1"/>
    <col min="3" max="3" width="14.88671875" style="1" customWidth="1"/>
    <col min="4" max="5" width="12" style="1" customWidth="1"/>
    <col min="6" max="6" width="31.77734375" style="1" customWidth="1"/>
    <col min="7" max="7" width="18.6640625" style="72" customWidth="1"/>
    <col min="8" max="8" width="11.33203125" style="1" customWidth="1"/>
    <col min="9" max="9" width="9.6640625" style="72" customWidth="1"/>
    <col min="10" max="10" width="10" style="1" customWidth="1"/>
    <col min="11" max="11" width="15.44140625" style="72" customWidth="1"/>
    <col min="12" max="12" width="11.33203125" style="1" customWidth="1"/>
    <col min="13" max="13" width="9" style="72" customWidth="1"/>
    <col min="14" max="14" width="9.44140625" style="1" customWidth="1"/>
    <col min="15" max="15" width="8.88671875" style="72" customWidth="1"/>
    <col min="16" max="16" width="9" style="1"/>
    <col min="17" max="17" width="12.109375" style="1" customWidth="1"/>
    <col min="18" max="22" width="9" style="1"/>
    <col min="23" max="24" width="10" style="1" customWidth="1"/>
    <col min="25" max="25" width="9.6640625" style="1" customWidth="1"/>
    <col min="26" max="16384" width="9" style="1"/>
  </cols>
  <sheetData>
    <row r="1" spans="1:31" x14ac:dyDescent="0.35">
      <c r="A1" s="2" t="s">
        <v>1</v>
      </c>
      <c r="B1" s="2" t="s">
        <v>1</v>
      </c>
      <c r="C1" s="2" t="s">
        <v>1</v>
      </c>
      <c r="D1" s="2" t="s">
        <v>1</v>
      </c>
      <c r="E1" s="2" t="s">
        <v>1</v>
      </c>
      <c r="F1" s="30" t="s">
        <v>1</v>
      </c>
      <c r="G1" s="121" t="s">
        <v>1</v>
      </c>
      <c r="H1" s="122" t="s">
        <v>1</v>
      </c>
      <c r="I1" s="144" t="s">
        <v>1</v>
      </c>
      <c r="J1" s="30" t="s">
        <v>1</v>
      </c>
      <c r="K1" s="121" t="s">
        <v>1</v>
      </c>
      <c r="L1" s="122" t="s">
        <v>1</v>
      </c>
      <c r="M1" s="144" t="s">
        <v>1</v>
      </c>
      <c r="N1" s="30" t="s">
        <v>1</v>
      </c>
      <c r="O1" s="121" t="s">
        <v>1</v>
      </c>
      <c r="Q1" s="153" t="s">
        <v>1677</v>
      </c>
    </row>
    <row r="2" spans="1:31" x14ac:dyDescent="0.35">
      <c r="A2" s="2" t="s">
        <v>11</v>
      </c>
      <c r="B2" s="2" t="s">
        <v>11</v>
      </c>
      <c r="C2" s="2" t="s">
        <v>11</v>
      </c>
      <c r="D2" s="2" t="s">
        <v>11</v>
      </c>
      <c r="E2" s="2" t="s">
        <v>13</v>
      </c>
      <c r="F2" s="30" t="s">
        <v>14</v>
      </c>
      <c r="G2" s="121" t="s">
        <v>13</v>
      </c>
      <c r="H2" s="122" t="s">
        <v>14</v>
      </c>
      <c r="I2" s="144" t="s">
        <v>13</v>
      </c>
      <c r="J2" s="30" t="s">
        <v>14</v>
      </c>
      <c r="K2" s="121" t="s">
        <v>13</v>
      </c>
      <c r="L2" s="122" t="s">
        <v>14</v>
      </c>
      <c r="M2" s="144" t="s">
        <v>13</v>
      </c>
      <c r="N2" s="30" t="s">
        <v>14</v>
      </c>
      <c r="O2" s="121" t="s">
        <v>13</v>
      </c>
    </row>
    <row r="3" spans="1:31" x14ac:dyDescent="0.35">
      <c r="A3" s="2" t="s">
        <v>1678</v>
      </c>
      <c r="B3" s="2" t="s">
        <v>1679</v>
      </c>
      <c r="C3" s="2" t="s">
        <v>1680</v>
      </c>
      <c r="D3" s="2" t="s">
        <v>1681</v>
      </c>
      <c r="E3" s="2" t="s">
        <v>1682</v>
      </c>
      <c r="F3" s="30" t="s">
        <v>1683</v>
      </c>
      <c r="G3" s="121" t="s">
        <v>1684</v>
      </c>
      <c r="H3" s="122" t="s">
        <v>1685</v>
      </c>
      <c r="I3" s="144" t="s">
        <v>1686</v>
      </c>
      <c r="J3" s="30" t="s">
        <v>1687</v>
      </c>
      <c r="K3" s="121" t="s">
        <v>1688</v>
      </c>
      <c r="L3" s="122" t="s">
        <v>1689</v>
      </c>
      <c r="M3" s="144" t="s">
        <v>1690</v>
      </c>
      <c r="N3" s="30" t="s">
        <v>1691</v>
      </c>
      <c r="O3" s="121" t="s">
        <v>1692</v>
      </c>
    </row>
    <row r="4" spans="1:31" ht="92.4" x14ac:dyDescent="0.25">
      <c r="A4" s="86" t="s">
        <v>1693</v>
      </c>
      <c r="B4" s="60" t="s">
        <v>1694</v>
      </c>
      <c r="C4" s="60" t="s">
        <v>1695</v>
      </c>
      <c r="D4" s="60" t="s">
        <v>1696</v>
      </c>
      <c r="E4" s="60" t="s">
        <v>1697</v>
      </c>
      <c r="F4" s="4" t="s">
        <v>1698</v>
      </c>
      <c r="G4" s="123" t="s">
        <v>1699</v>
      </c>
      <c r="H4" s="124">
        <v>2</v>
      </c>
      <c r="I4" s="145">
        <v>2</v>
      </c>
      <c r="J4" s="146">
        <v>3</v>
      </c>
      <c r="K4" s="147">
        <v>3</v>
      </c>
      <c r="L4" s="124">
        <v>4</v>
      </c>
      <c r="M4" s="145">
        <v>4</v>
      </c>
      <c r="N4" s="146">
        <v>5</v>
      </c>
      <c r="O4" s="147">
        <v>5</v>
      </c>
      <c r="Q4" s="56" t="s">
        <v>1700</v>
      </c>
      <c r="Z4" s="1">
        <f>'抽奖|MoonBless'!DN4</f>
        <v>0</v>
      </c>
      <c r="AA4" s="1" t="str">
        <f>'抽奖|MoonBless'!DO4</f>
        <v>人民币价值</v>
      </c>
      <c r="AB4" s="1" t="str">
        <f>'抽奖|MoonBless'!DP4</f>
        <v>价值
钻石价值</v>
      </c>
      <c r="AC4" s="1" t="str">
        <f>'抽奖|MoonBless'!DQ4</f>
        <v>物品类型</v>
      </c>
      <c r="AD4" s="1" t="str">
        <f>'抽奖|MoonBless'!DR4</f>
        <v>id</v>
      </c>
      <c r="AE4" s="1" t="str">
        <f>'抽奖|MoonBless'!DS4</f>
        <v>价值加成</v>
      </c>
    </row>
    <row r="5" spans="1:31" x14ac:dyDescent="0.35">
      <c r="A5" s="1">
        <v>4101</v>
      </c>
      <c r="B5" s="1">
        <v>1</v>
      </c>
      <c r="C5" s="1">
        <v>1</v>
      </c>
      <c r="D5" s="1">
        <v>1</v>
      </c>
      <c r="E5" s="1">
        <v>-1</v>
      </c>
      <c r="F5" s="39" t="s">
        <v>1701</v>
      </c>
      <c r="G5" s="72">
        <v>1</v>
      </c>
      <c r="Q5" s="154" t="str">
        <f>IF(AND((B5=1),(G5+I5+K5+M5+O5&gt;1)),G5+I5+K5+M5+O5&amp;"，错误概率",G5+I5+K5+M5+O5&amp;"，正确")</f>
        <v>1，正确</v>
      </c>
      <c r="R5" s="1" t="s">
        <v>1702</v>
      </c>
      <c r="S5" s="1" t="s">
        <v>1703</v>
      </c>
      <c r="Z5" s="1" t="str">
        <f>'抽奖|MoonBless'!DN5</f>
        <v>人民币</v>
      </c>
      <c r="AA5" s="1">
        <f>'抽奖|MoonBless'!DO5</f>
        <v>1</v>
      </c>
      <c r="AB5" s="1">
        <f>'抽奖|MoonBless'!DP5</f>
        <v>10</v>
      </c>
      <c r="AC5" s="1">
        <f>'抽奖|MoonBless'!DQ5</f>
        <v>1</v>
      </c>
      <c r="AD5" s="1">
        <f>'抽奖|MoonBless'!DR5</f>
        <v>0</v>
      </c>
      <c r="AE5" s="167">
        <f>'抽奖|MoonBless'!DS5</f>
        <v>1</v>
      </c>
    </row>
    <row r="6" spans="1:31" x14ac:dyDescent="0.35">
      <c r="A6" s="1">
        <v>4102</v>
      </c>
      <c r="B6" s="1">
        <v>1</v>
      </c>
      <c r="C6" s="1">
        <v>1</v>
      </c>
      <c r="D6" s="1">
        <v>1</v>
      </c>
      <c r="E6" s="1">
        <v>-1</v>
      </c>
      <c r="F6" s="39" t="s">
        <v>1704</v>
      </c>
      <c r="G6" s="72">
        <v>0</v>
      </c>
      <c r="H6" s="39" t="s">
        <v>1705</v>
      </c>
      <c r="I6" s="72">
        <v>0.34</v>
      </c>
      <c r="J6" s="39" t="s">
        <v>1706</v>
      </c>
      <c r="K6" s="72">
        <v>0.33</v>
      </c>
      <c r="L6" s="39" t="s">
        <v>1707</v>
      </c>
      <c r="M6" s="72">
        <v>0.33</v>
      </c>
      <c r="Q6" s="154" t="str">
        <f t="shared" ref="Q6:Q88" si="0">IF(AND((B6=1),(G6+I6+K6+M6+O6&gt;1)),G6+I6+K6+M6+O6&amp;"，错误概率",G6+I6+K6+M6+O6&amp;"，正确")</f>
        <v>1，正确</v>
      </c>
      <c r="S6" s="1" t="s">
        <v>1708</v>
      </c>
      <c r="Z6" s="1" t="str">
        <f>'抽奖|MoonBless'!DN6</f>
        <v>钻石</v>
      </c>
      <c r="AA6" s="1">
        <f>'抽奖|MoonBless'!DO6</f>
        <v>0.1</v>
      </c>
      <c r="AB6" s="1">
        <f>'抽奖|MoonBless'!DP6</f>
        <v>1</v>
      </c>
      <c r="AC6" s="1">
        <f>'抽奖|MoonBless'!DQ6</f>
        <v>1</v>
      </c>
      <c r="AD6" s="1">
        <f>'抽奖|MoonBless'!DR6</f>
        <v>1</v>
      </c>
      <c r="AE6" s="167">
        <f>'抽奖|MoonBless'!DS6</f>
        <v>1</v>
      </c>
    </row>
    <row r="7" spans="1:31" s="83" customFormat="1" x14ac:dyDescent="0.35">
      <c r="A7" s="83">
        <v>4103</v>
      </c>
      <c r="B7" s="83">
        <v>1</v>
      </c>
      <c r="C7" s="83">
        <v>1</v>
      </c>
      <c r="D7" s="83">
        <v>1</v>
      </c>
      <c r="E7" s="1">
        <v>-1</v>
      </c>
      <c r="F7" s="63" t="s">
        <v>1701</v>
      </c>
      <c r="G7" s="125">
        <v>0.1</v>
      </c>
      <c r="H7" s="63" t="s">
        <v>1709</v>
      </c>
      <c r="I7" s="125">
        <v>0.3</v>
      </c>
      <c r="J7" s="63" t="s">
        <v>1710</v>
      </c>
      <c r="K7" s="125">
        <v>0.25</v>
      </c>
      <c r="L7" s="63" t="s">
        <v>1711</v>
      </c>
      <c r="M7" s="125">
        <v>0.25</v>
      </c>
      <c r="N7" s="63" t="s">
        <v>1712</v>
      </c>
      <c r="O7" s="125">
        <v>0.05</v>
      </c>
      <c r="Q7" s="155" t="str">
        <f t="shared" si="0"/>
        <v>0.95，正确</v>
      </c>
      <c r="Z7" s="1" t="str">
        <f>'抽奖|MoonBless'!DN7</f>
        <v>金币</v>
      </c>
      <c r="AA7" s="1">
        <f>'抽奖|MoonBless'!DO7</f>
        <v>5.0000000000000004E-6</v>
      </c>
      <c r="AB7" s="1">
        <f>'抽奖|MoonBless'!DP7</f>
        <v>5.0000000000000002E-5</v>
      </c>
      <c r="AC7" s="1">
        <f>'抽奖|MoonBless'!DQ7</f>
        <v>1</v>
      </c>
      <c r="AD7" s="1">
        <f>'抽奖|MoonBless'!DR7</f>
        <v>2</v>
      </c>
      <c r="AE7" s="167">
        <f>'抽奖|MoonBless'!DS7</f>
        <v>1</v>
      </c>
    </row>
    <row r="8" spans="1:31" s="83" customFormat="1" x14ac:dyDescent="0.35">
      <c r="A8" s="83">
        <v>4104</v>
      </c>
      <c r="B8" s="83">
        <v>2</v>
      </c>
      <c r="C8" s="83">
        <v>1</v>
      </c>
      <c r="D8" s="83">
        <v>1</v>
      </c>
      <c r="E8" s="1">
        <v>-1</v>
      </c>
      <c r="F8" s="63" t="s">
        <v>1704</v>
      </c>
      <c r="G8" s="125">
        <v>0.1</v>
      </c>
      <c r="H8" s="63" t="s">
        <v>1709</v>
      </c>
      <c r="I8" s="125">
        <v>0.3</v>
      </c>
      <c r="J8" s="63" t="s">
        <v>1710</v>
      </c>
      <c r="K8" s="125">
        <v>0.25</v>
      </c>
      <c r="L8" s="63" t="s">
        <v>1711</v>
      </c>
      <c r="M8" s="125">
        <v>0.25</v>
      </c>
      <c r="N8" s="63" t="s">
        <v>1712</v>
      </c>
      <c r="O8" s="125">
        <v>0.05</v>
      </c>
      <c r="Q8" s="155" t="str">
        <f t="shared" si="0"/>
        <v>0.95，正确</v>
      </c>
      <c r="Z8" s="1" t="str">
        <f>'抽奖|MoonBless'!DN8</f>
        <v>锁定</v>
      </c>
      <c r="AA8" s="1">
        <f>'抽奖|MoonBless'!DO8</f>
        <v>0.2</v>
      </c>
      <c r="AB8" s="1">
        <f>'抽奖|MoonBless'!DP8</f>
        <v>2</v>
      </c>
      <c r="AC8" s="1">
        <f>'抽奖|MoonBless'!DQ8</f>
        <v>2</v>
      </c>
      <c r="AD8" s="1">
        <f>'抽奖|MoonBless'!DR8</f>
        <v>1001</v>
      </c>
      <c r="AE8" s="167">
        <f>'抽奖|MoonBless'!DS8</f>
        <v>1</v>
      </c>
    </row>
    <row r="9" spans="1:31" s="83" customFormat="1" x14ac:dyDescent="0.35">
      <c r="A9" s="83">
        <v>4201</v>
      </c>
      <c r="B9" s="83">
        <v>1</v>
      </c>
      <c r="C9" s="83">
        <v>1</v>
      </c>
      <c r="D9" s="83">
        <v>1</v>
      </c>
      <c r="E9" s="1">
        <v>-1</v>
      </c>
      <c r="F9" s="63" t="s">
        <v>457</v>
      </c>
      <c r="G9" s="125">
        <v>1</v>
      </c>
      <c r="I9" s="125"/>
      <c r="K9" s="125"/>
      <c r="M9" s="125"/>
      <c r="O9" s="125"/>
      <c r="Q9" s="155" t="str">
        <f t="shared" si="0"/>
        <v>1，正确</v>
      </c>
      <c r="R9" s="83" t="s">
        <v>1713</v>
      </c>
      <c r="Z9" s="1" t="str">
        <f>'抽奖|MoonBless'!DN9</f>
        <v>冰冻</v>
      </c>
      <c r="AA9" s="1">
        <f>'抽奖|MoonBless'!DO9</f>
        <v>0.5</v>
      </c>
      <c r="AB9" s="1">
        <f>'抽奖|MoonBless'!DP9</f>
        <v>5</v>
      </c>
      <c r="AC9" s="1">
        <f>'抽奖|MoonBless'!DQ9</f>
        <v>2</v>
      </c>
      <c r="AD9" s="1">
        <f>'抽奖|MoonBless'!DR9</f>
        <v>1002</v>
      </c>
      <c r="AE9" s="167">
        <f>'抽奖|MoonBless'!DS9</f>
        <v>1</v>
      </c>
    </row>
    <row r="10" spans="1:31" s="83" customFormat="1" x14ac:dyDescent="0.35">
      <c r="A10" s="83">
        <v>4202</v>
      </c>
      <c r="B10" s="83">
        <v>1</v>
      </c>
      <c r="C10" s="83">
        <v>1</v>
      </c>
      <c r="D10" s="83">
        <v>1</v>
      </c>
      <c r="E10" s="1">
        <v>-1</v>
      </c>
      <c r="F10" s="63" t="s">
        <v>1714</v>
      </c>
      <c r="G10" s="125">
        <v>0</v>
      </c>
      <c r="H10" s="63" t="s">
        <v>1715</v>
      </c>
      <c r="I10" s="125">
        <v>0.34</v>
      </c>
      <c r="J10" s="63" t="s">
        <v>1716</v>
      </c>
      <c r="K10" s="125">
        <v>0.33</v>
      </c>
      <c r="L10" s="63" t="s">
        <v>1717</v>
      </c>
      <c r="M10" s="125">
        <v>0.33</v>
      </c>
      <c r="O10" s="125"/>
      <c r="Q10" s="155" t="str">
        <f t="shared" si="0"/>
        <v>1，正确</v>
      </c>
      <c r="Z10" s="1" t="str">
        <f>'抽奖|MoonBless'!DN10</f>
        <v>狂暴</v>
      </c>
      <c r="AA10" s="1">
        <f>'抽奖|MoonBless'!DO10</f>
        <v>1</v>
      </c>
      <c r="AB10" s="1">
        <f>'抽奖|MoonBless'!DP10</f>
        <v>10</v>
      </c>
      <c r="AC10" s="1">
        <f>'抽奖|MoonBless'!DQ10</f>
        <v>2</v>
      </c>
      <c r="AD10" s="1">
        <f>'抽奖|MoonBless'!DR10</f>
        <v>1003</v>
      </c>
      <c r="AE10" s="167">
        <f>'抽奖|MoonBless'!DS10</f>
        <v>1</v>
      </c>
    </row>
    <row r="11" spans="1:31" s="83" customFormat="1" x14ac:dyDescent="0.35">
      <c r="A11" s="83">
        <v>4301</v>
      </c>
      <c r="B11" s="83">
        <v>1</v>
      </c>
      <c r="C11" s="83">
        <v>1</v>
      </c>
      <c r="D11" s="83">
        <v>1</v>
      </c>
      <c r="E11" s="1">
        <v>-1</v>
      </c>
      <c r="F11" s="63" t="s">
        <v>1718</v>
      </c>
      <c r="G11" s="125">
        <v>1</v>
      </c>
      <c r="I11" s="125"/>
      <c r="K11" s="125"/>
      <c r="M11" s="125"/>
      <c r="O11" s="125"/>
      <c r="Q11" s="155" t="str">
        <f t="shared" si="0"/>
        <v>1，正确</v>
      </c>
      <c r="R11" s="83" t="s">
        <v>1719</v>
      </c>
      <c r="Z11" s="1" t="str">
        <f>'抽奖|MoonBless'!DN11</f>
        <v>召唤</v>
      </c>
      <c r="AA11" s="1">
        <f>'抽奖|MoonBless'!DO11</f>
        <v>0.2</v>
      </c>
      <c r="AB11" s="1">
        <f>'抽奖|MoonBless'!DP11</f>
        <v>2</v>
      </c>
      <c r="AC11" s="1">
        <f>'抽奖|MoonBless'!DQ11</f>
        <v>2</v>
      </c>
      <c r="AD11" s="1">
        <f>'抽奖|MoonBless'!DR11</f>
        <v>1004</v>
      </c>
      <c r="AE11" s="167">
        <f>'抽奖|MoonBless'!DS11</f>
        <v>1</v>
      </c>
    </row>
    <row r="12" spans="1:31" s="83" customFormat="1" x14ac:dyDescent="0.35">
      <c r="A12" s="83">
        <v>4302</v>
      </c>
      <c r="B12" s="83">
        <v>1</v>
      </c>
      <c r="C12" s="83">
        <v>1</v>
      </c>
      <c r="D12" s="83">
        <v>1</v>
      </c>
      <c r="E12" s="1">
        <v>-1</v>
      </c>
      <c r="F12" s="63" t="s">
        <v>1720</v>
      </c>
      <c r="G12" s="125">
        <v>0</v>
      </c>
      <c r="H12" s="63" t="s">
        <v>1721</v>
      </c>
      <c r="I12" s="125">
        <v>0.34</v>
      </c>
      <c r="J12" s="63" t="s">
        <v>1722</v>
      </c>
      <c r="K12" s="125">
        <v>0.33</v>
      </c>
      <c r="L12" s="63" t="s">
        <v>1723</v>
      </c>
      <c r="M12" s="125">
        <v>0.33</v>
      </c>
      <c r="O12" s="125"/>
      <c r="Q12" s="155" t="str">
        <f t="shared" si="0"/>
        <v>1，正确</v>
      </c>
      <c r="Z12" s="1" t="str">
        <f>'抽奖|MoonBless'!DN12</f>
        <v>福卡</v>
      </c>
      <c r="AA12" s="1">
        <f>'抽奖|MoonBless'!DO12</f>
        <v>2.5000000000000001E-3</v>
      </c>
      <c r="AB12" s="1">
        <f>'抽奖|MoonBless'!DP12</f>
        <v>2.5000000000000001E-2</v>
      </c>
      <c r="AC12" s="1">
        <f>'抽奖|MoonBless'!DQ12</f>
        <v>2</v>
      </c>
      <c r="AD12" s="1">
        <f>'抽奖|MoonBless'!DR12</f>
        <v>1204</v>
      </c>
      <c r="AE12" s="167">
        <f>'抽奖|MoonBless'!DS12</f>
        <v>1</v>
      </c>
    </row>
    <row r="13" spans="1:31" s="83" customFormat="1" x14ac:dyDescent="0.35">
      <c r="A13" s="83">
        <v>4401</v>
      </c>
      <c r="B13" s="83">
        <v>1</v>
      </c>
      <c r="C13" s="83">
        <v>1</v>
      </c>
      <c r="D13" s="83">
        <v>1</v>
      </c>
      <c r="E13" s="1">
        <v>-1</v>
      </c>
      <c r="F13" s="63" t="s">
        <v>1724</v>
      </c>
      <c r="G13" s="125">
        <v>1</v>
      </c>
      <c r="I13" s="125"/>
      <c r="K13" s="125"/>
      <c r="M13" s="125"/>
      <c r="O13" s="125"/>
      <c r="Q13" s="155" t="str">
        <f t="shared" si="0"/>
        <v>1，正确</v>
      </c>
      <c r="R13" s="83" t="s">
        <v>1725</v>
      </c>
      <c r="Z13" s="1" t="str">
        <f>'抽奖|MoonBless'!DN13</f>
        <v>超级武器1</v>
      </c>
      <c r="AA13" s="1">
        <f>'抽奖|MoonBless'!DO13</f>
        <v>5</v>
      </c>
      <c r="AB13" s="1">
        <f>'抽奖|MoonBless'!DP13</f>
        <v>50</v>
      </c>
      <c r="AC13" s="1">
        <f>'抽奖|MoonBless'!DQ13</f>
        <v>2</v>
      </c>
      <c r="AD13" s="1">
        <f>'抽奖|MoonBless'!DR13</f>
        <v>1005</v>
      </c>
      <c r="AE13" s="167">
        <f>'抽奖|MoonBless'!DS13</f>
        <v>1</v>
      </c>
    </row>
    <row r="14" spans="1:31" s="83" customFormat="1" x14ac:dyDescent="0.35">
      <c r="A14" s="83">
        <v>4402</v>
      </c>
      <c r="B14" s="83">
        <v>1</v>
      </c>
      <c r="C14" s="83">
        <v>1</v>
      </c>
      <c r="D14" s="83">
        <v>1</v>
      </c>
      <c r="E14" s="1">
        <v>-1</v>
      </c>
      <c r="F14" s="63" t="s">
        <v>457</v>
      </c>
      <c r="G14" s="125">
        <v>0.25</v>
      </c>
      <c r="H14" s="63" t="s">
        <v>1726</v>
      </c>
      <c r="I14" s="125">
        <v>0.25</v>
      </c>
      <c r="J14" s="63" t="s">
        <v>1727</v>
      </c>
      <c r="K14" s="125">
        <v>0.25</v>
      </c>
      <c r="L14" s="63" t="s">
        <v>1728</v>
      </c>
      <c r="M14" s="125">
        <v>0.25</v>
      </c>
      <c r="O14" s="125"/>
      <c r="Q14" s="155" t="str">
        <f t="shared" si="0"/>
        <v>1，正确</v>
      </c>
      <c r="Z14" s="1" t="str">
        <f>'抽奖|MoonBless'!DN14</f>
        <v>超级武器2</v>
      </c>
      <c r="AA14" s="1">
        <f>'抽奖|MoonBless'!DO14</f>
        <v>10</v>
      </c>
      <c r="AB14" s="1">
        <f>'抽奖|MoonBless'!DP14</f>
        <v>100</v>
      </c>
      <c r="AC14" s="1">
        <f>'抽奖|MoonBless'!DQ14</f>
        <v>2</v>
      </c>
      <c r="AD14" s="1">
        <f>'抽奖|MoonBless'!DR14</f>
        <v>1006</v>
      </c>
      <c r="AE14" s="167">
        <f>'抽奖|MoonBless'!DS14</f>
        <v>1</v>
      </c>
    </row>
    <row r="15" spans="1:31" s="83" customFormat="1" ht="16.2" x14ac:dyDescent="0.4">
      <c r="A15" s="83">
        <v>4501</v>
      </c>
      <c r="B15" s="83">
        <v>1</v>
      </c>
      <c r="C15" s="83">
        <v>1</v>
      </c>
      <c r="D15" s="83">
        <v>1</v>
      </c>
      <c r="E15" s="1">
        <v>-1</v>
      </c>
      <c r="F15" s="126" t="s">
        <v>1729</v>
      </c>
      <c r="G15" s="125">
        <f>0.6/30</f>
        <v>0.02</v>
      </c>
      <c r="H15" s="63"/>
      <c r="I15" s="125"/>
      <c r="J15" s="63"/>
      <c r="K15" s="125"/>
      <c r="L15" s="63"/>
      <c r="M15" s="125"/>
      <c r="O15" s="125"/>
      <c r="Q15" s="155" t="str">
        <f t="shared" si="0"/>
        <v>0.02，正确</v>
      </c>
      <c r="R15" s="83" t="s">
        <v>1730</v>
      </c>
      <c r="Z15" s="1" t="str">
        <f>'抽奖|MoonBless'!DN15</f>
        <v>超级武器3</v>
      </c>
      <c r="AA15" s="1">
        <f>'抽奖|MoonBless'!DO15</f>
        <v>25</v>
      </c>
      <c r="AB15" s="1">
        <f>'抽奖|MoonBless'!DP15</f>
        <v>250</v>
      </c>
      <c r="AC15" s="1">
        <f>'抽奖|MoonBless'!DQ15</f>
        <v>2</v>
      </c>
      <c r="AD15" s="1">
        <f>'抽奖|MoonBless'!DR15</f>
        <v>1007</v>
      </c>
      <c r="AE15" s="167">
        <f>'抽奖|MoonBless'!DS15</f>
        <v>1</v>
      </c>
    </row>
    <row r="16" spans="1:31" s="83" customFormat="1" ht="16.2" x14ac:dyDescent="0.4">
      <c r="A16" s="83">
        <v>4502</v>
      </c>
      <c r="B16" s="83">
        <v>1</v>
      </c>
      <c r="C16" s="83">
        <v>1</v>
      </c>
      <c r="D16" s="83">
        <v>1</v>
      </c>
      <c r="E16" s="1">
        <v>-1</v>
      </c>
      <c r="F16" s="126" t="s">
        <v>1731</v>
      </c>
      <c r="G16" s="125">
        <v>1</v>
      </c>
      <c r="H16" s="63"/>
      <c r="I16" s="125"/>
      <c r="J16" s="63"/>
      <c r="K16" s="125"/>
      <c r="L16" s="63"/>
      <c r="M16" s="125"/>
      <c r="O16" s="125"/>
      <c r="Q16" s="155" t="str">
        <f t="shared" ref="Q16" si="1">IF(AND((B16=1),(G16+I16+K16+M16+O16&gt;1)),G16+I16+K16+M16+O16&amp;"，错误概率",G16+I16+K16+M16+O16&amp;"，正确")</f>
        <v>1，正确</v>
      </c>
      <c r="Z16" s="1" t="str">
        <f>'抽奖|MoonBless'!DN16</f>
        <v>超级武器4</v>
      </c>
      <c r="AA16" s="1">
        <f>'抽奖|MoonBless'!DO16</f>
        <v>50</v>
      </c>
      <c r="AB16" s="1">
        <f>'抽奖|MoonBless'!DP16</f>
        <v>500</v>
      </c>
      <c r="AC16" s="1">
        <f>'抽奖|MoonBless'!DQ16</f>
        <v>2</v>
      </c>
      <c r="AD16" s="1">
        <f>'抽奖|MoonBless'!DR16</f>
        <v>1008</v>
      </c>
      <c r="AE16" s="167">
        <f>'抽奖|MoonBless'!DS16</f>
        <v>1</v>
      </c>
    </row>
    <row r="17" spans="1:31" s="83" customFormat="1" x14ac:dyDescent="0.35">
      <c r="A17" s="83">
        <v>4503</v>
      </c>
      <c r="B17" s="83">
        <v>1</v>
      </c>
      <c r="C17" s="83">
        <v>1</v>
      </c>
      <c r="D17" s="83">
        <v>1</v>
      </c>
      <c r="E17" s="1">
        <v>-1</v>
      </c>
      <c r="F17" s="63" t="s">
        <v>1732</v>
      </c>
      <c r="G17" s="125">
        <v>0.6</v>
      </c>
      <c r="H17" s="63" t="s">
        <v>1727</v>
      </c>
      <c r="I17" s="125">
        <v>0</v>
      </c>
      <c r="J17" s="63" t="s">
        <v>1722</v>
      </c>
      <c r="K17" s="125">
        <v>0.4</v>
      </c>
      <c r="L17" s="63" t="s">
        <v>1733</v>
      </c>
      <c r="M17" s="125">
        <v>0</v>
      </c>
      <c r="O17" s="125"/>
      <c r="Q17" s="155" t="str">
        <f t="shared" si="0"/>
        <v>1，正确</v>
      </c>
      <c r="Z17" s="1" t="str">
        <f>'抽奖|MoonBless'!DN17</f>
        <v>5元话费卡</v>
      </c>
      <c r="AA17" s="1">
        <f>'抽奖|MoonBless'!DO17</f>
        <v>5</v>
      </c>
      <c r="AB17" s="1">
        <f>'抽奖|MoonBless'!DP17</f>
        <v>50</v>
      </c>
      <c r="AC17" s="1">
        <f>'抽奖|MoonBless'!DQ17</f>
        <v>2</v>
      </c>
      <c r="AD17" s="1">
        <f>'抽奖|MoonBless'!DR17</f>
        <v>1206</v>
      </c>
      <c r="AE17" s="167">
        <f>'抽奖|MoonBless'!DS17</f>
        <v>1</v>
      </c>
    </row>
    <row r="18" spans="1:31" s="83" customFormat="1" x14ac:dyDescent="0.35">
      <c r="A18" s="83">
        <v>4504</v>
      </c>
      <c r="B18" s="83">
        <v>1</v>
      </c>
      <c r="C18" s="83">
        <v>1</v>
      </c>
      <c r="D18" s="83">
        <v>1</v>
      </c>
      <c r="E18" s="1">
        <v>-1</v>
      </c>
      <c r="F18" s="63" t="s">
        <v>1732</v>
      </c>
      <c r="G18" s="125">
        <v>0</v>
      </c>
      <c r="H18" s="63" t="s">
        <v>1727</v>
      </c>
      <c r="I18" s="125">
        <v>0.6</v>
      </c>
      <c r="J18" s="63" t="s">
        <v>1722</v>
      </c>
      <c r="K18" s="125">
        <v>0</v>
      </c>
      <c r="L18" s="63" t="s">
        <v>1733</v>
      </c>
      <c r="M18" s="125">
        <v>0.4</v>
      </c>
      <c r="O18" s="125"/>
      <c r="Q18" s="155" t="str">
        <f t="shared" si="0"/>
        <v>1，正确</v>
      </c>
      <c r="Z18" s="1" t="str">
        <f>'抽奖|MoonBless'!DN18</f>
        <v>2元话费卡</v>
      </c>
      <c r="AA18" s="1">
        <f>'抽奖|MoonBless'!DO18</f>
        <v>2</v>
      </c>
      <c r="AB18" s="1">
        <f>'抽奖|MoonBless'!DP18</f>
        <v>20</v>
      </c>
      <c r="AC18" s="1">
        <f>'抽奖|MoonBless'!DQ18</f>
        <v>2</v>
      </c>
      <c r="AD18" s="1">
        <f>'抽奖|MoonBless'!DR18</f>
        <v>1205</v>
      </c>
      <c r="AE18" s="167">
        <f>'抽奖|MoonBless'!DS18</f>
        <v>1</v>
      </c>
    </row>
    <row r="19" spans="1:31" s="83" customFormat="1" x14ac:dyDescent="0.35">
      <c r="A19" s="83">
        <v>4505</v>
      </c>
      <c r="B19" s="83">
        <v>1</v>
      </c>
      <c r="C19" s="83">
        <v>1</v>
      </c>
      <c r="D19" s="83">
        <v>1</v>
      </c>
      <c r="E19" s="1">
        <v>-1</v>
      </c>
      <c r="F19" s="39" t="s">
        <v>1701</v>
      </c>
      <c r="G19" s="125">
        <v>0.4</v>
      </c>
      <c r="H19" s="39"/>
      <c r="I19" s="125"/>
      <c r="J19" s="63"/>
      <c r="K19" s="125"/>
      <c r="L19" s="63"/>
      <c r="M19" s="125"/>
      <c r="O19" s="125"/>
      <c r="Q19" s="155" t="str">
        <f t="shared" si="0"/>
        <v>0.4，正确</v>
      </c>
      <c r="U19" s="156"/>
      <c r="W19" s="157" t="s">
        <v>1734</v>
      </c>
      <c r="X19" s="158" t="s">
        <v>97</v>
      </c>
      <c r="Y19" s="1"/>
      <c r="Z19" s="1" t="str">
        <f>'抽奖|MoonBless'!DN19</f>
        <v>高压锅</v>
      </c>
      <c r="AA19" s="1">
        <f>'抽奖|MoonBless'!DO19</f>
        <v>200</v>
      </c>
      <c r="AB19" s="1">
        <f>'抽奖|MoonBless'!DP19</f>
        <v>2000</v>
      </c>
      <c r="AC19" s="1">
        <f>'抽奖|MoonBless'!DQ19</f>
        <v>2</v>
      </c>
      <c r="AD19" s="1">
        <f>'抽奖|MoonBless'!DR19</f>
        <v>1208</v>
      </c>
      <c r="AE19" s="167">
        <f>'抽奖|MoonBless'!DS19</f>
        <v>1</v>
      </c>
    </row>
    <row r="20" spans="1:31" s="83" customFormat="1" x14ac:dyDescent="0.35">
      <c r="A20" s="127">
        <v>4506</v>
      </c>
      <c r="B20" s="128">
        <v>1</v>
      </c>
      <c r="C20" s="128">
        <v>1</v>
      </c>
      <c r="D20" s="128">
        <v>1</v>
      </c>
      <c r="E20" s="129">
        <v>-1</v>
      </c>
      <c r="F20" s="130" t="s">
        <v>1735</v>
      </c>
      <c r="G20" s="131">
        <v>1</v>
      </c>
      <c r="H20" s="130"/>
      <c r="I20" s="131"/>
      <c r="J20" s="130"/>
      <c r="K20" s="131"/>
      <c r="L20" s="130"/>
      <c r="M20" s="131"/>
      <c r="N20" s="128"/>
      <c r="O20" s="131"/>
      <c r="P20" s="148"/>
      <c r="Q20" s="155" t="str">
        <f t="shared" ref="Q20:Q34" si="2">IF(AND((B20=1),(G20+I20+K20+M20+O20&gt;1)),G20+I20+K20+M20+O20&amp;"，错误概率",G20+I20+K20+M20+O20&amp;"，正确")</f>
        <v>1，正确</v>
      </c>
      <c r="U20" s="156"/>
      <c r="W20" s="159" t="s">
        <v>1736</v>
      </c>
      <c r="X20" s="160">
        <v>500</v>
      </c>
      <c r="Y20" s="1">
        <f>RIGHT(F35,LEN(F35)-4)*G35+RIGHT(H35,LEN(H35)-4)*I35+RIGHT(J35,LEN(J35)-4)*K35+RIGHT(L35,LEN(L35)-4)*M35+RIGHT(N35,LEN(N35)-4)*O35</f>
        <v>500.05220408163336</v>
      </c>
      <c r="Z20" s="1" t="str">
        <f>'抽奖|MoonBless'!DN20</f>
        <v>30元话费卡</v>
      </c>
      <c r="AA20" s="1">
        <f>'抽奖|MoonBless'!DO20</f>
        <v>30</v>
      </c>
      <c r="AB20" s="1">
        <f>'抽奖|MoonBless'!DP20</f>
        <v>300</v>
      </c>
      <c r="AC20" s="1">
        <f>'抽奖|MoonBless'!DQ20</f>
        <v>2</v>
      </c>
      <c r="AD20" s="1">
        <f>'抽奖|MoonBless'!DR20</f>
        <v>1209</v>
      </c>
      <c r="AE20" s="167">
        <f>'抽奖|MoonBless'!DS20</f>
        <v>1</v>
      </c>
    </row>
    <row r="21" spans="1:31" s="83" customFormat="1" x14ac:dyDescent="0.35">
      <c r="A21" s="132">
        <v>4507</v>
      </c>
      <c r="B21" s="106">
        <v>1</v>
      </c>
      <c r="C21" s="106">
        <v>1</v>
      </c>
      <c r="D21" s="106">
        <v>1</v>
      </c>
      <c r="E21" s="11">
        <v>-1</v>
      </c>
      <c r="F21" s="133" t="s">
        <v>1737</v>
      </c>
      <c r="G21" s="134">
        <v>1</v>
      </c>
      <c r="H21" s="133"/>
      <c r="I21" s="134"/>
      <c r="J21" s="133"/>
      <c r="K21" s="134"/>
      <c r="L21" s="133"/>
      <c r="M21" s="134"/>
      <c r="N21" s="106"/>
      <c r="O21" s="134"/>
      <c r="P21" s="149"/>
      <c r="Q21" s="155" t="str">
        <f t="shared" si="2"/>
        <v>1，正确</v>
      </c>
      <c r="U21" s="156"/>
      <c r="W21" s="159" t="s">
        <v>1738</v>
      </c>
      <c r="X21" s="160">
        <v>1000</v>
      </c>
      <c r="Y21" s="1">
        <f>RIGHT(F36,LEN(F36)-4)*G36+RIGHT(H36,LEN(H36)-4)*I36+RIGHT(J36,LEN(J36)-4)*K36+RIGHT(L36,LEN(L36)-4)*M36+RIGHT(N36,LEN(N36)-4)*O36</f>
        <v>1000.4872060004725</v>
      </c>
      <c r="Z21" s="1" t="str">
        <f>'抽奖|MoonBless'!DN21</f>
        <v>50元话费卡</v>
      </c>
      <c r="AA21" s="1">
        <f>'抽奖|MoonBless'!DO21</f>
        <v>50</v>
      </c>
      <c r="AB21" s="1">
        <f>'抽奖|MoonBless'!DP21</f>
        <v>500</v>
      </c>
      <c r="AC21" s="1">
        <f>'抽奖|MoonBless'!DQ21</f>
        <v>2</v>
      </c>
      <c r="AD21" s="1">
        <f>'抽奖|MoonBless'!DR21</f>
        <v>1210</v>
      </c>
      <c r="AE21" s="167">
        <f>'抽奖|MoonBless'!DS21</f>
        <v>1</v>
      </c>
    </row>
    <row r="22" spans="1:31" s="83" customFormat="1" x14ac:dyDescent="0.35">
      <c r="A22" s="132">
        <v>4508</v>
      </c>
      <c r="B22" s="106">
        <v>1</v>
      </c>
      <c r="C22" s="106">
        <v>1</v>
      </c>
      <c r="D22" s="106">
        <v>1</v>
      </c>
      <c r="E22" s="11">
        <v>-1</v>
      </c>
      <c r="F22" s="133" t="s">
        <v>1739</v>
      </c>
      <c r="G22" s="134">
        <v>0.6</v>
      </c>
      <c r="H22" s="133" t="s">
        <v>1715</v>
      </c>
      <c r="I22" s="134">
        <v>0</v>
      </c>
      <c r="J22" s="133" t="s">
        <v>1706</v>
      </c>
      <c r="K22" s="134">
        <f>1-G22</f>
        <v>0.4</v>
      </c>
      <c r="L22" s="133" t="s">
        <v>1722</v>
      </c>
      <c r="M22" s="134">
        <v>0</v>
      </c>
      <c r="N22" s="106"/>
      <c r="O22" s="134"/>
      <c r="P22" s="149"/>
      <c r="Q22" s="155" t="str">
        <f t="shared" si="2"/>
        <v>1，正确</v>
      </c>
      <c r="U22" s="156"/>
      <c r="W22" s="159" t="s">
        <v>1740</v>
      </c>
      <c r="X22" s="160">
        <v>2000</v>
      </c>
      <c r="Y22" s="1">
        <f>RIGHT(F37,LEN(F37)-4)*G37+RIGHT(H37,LEN(H37)-4)*I37+RIGHT(J37,LEN(J37)-4)*K37+RIGHT(L37,LEN(L37)-4)*M37+RIGHT(N37,LEN(N37)-4)*O37</f>
        <v>2000.1313520884387</v>
      </c>
      <c r="Z22" s="1" t="str">
        <f>'抽奖|MoonBless'!DN22</f>
        <v>活跃度</v>
      </c>
      <c r="AA22" s="1">
        <f>'抽奖|MoonBless'!DO22</f>
        <v>1</v>
      </c>
      <c r="AB22" s="1">
        <f>'抽奖|MoonBless'!DP22</f>
        <v>10</v>
      </c>
      <c r="AC22" s="1">
        <f>'抽奖|MoonBless'!DQ22</f>
        <v>1</v>
      </c>
      <c r="AD22" s="1">
        <f>'抽奖|MoonBless'!DR22</f>
        <v>6</v>
      </c>
      <c r="AE22" s="167">
        <f>'抽奖|MoonBless'!DS22</f>
        <v>1</v>
      </c>
    </row>
    <row r="23" spans="1:31" s="83" customFormat="1" x14ac:dyDescent="0.35">
      <c r="A23" s="132">
        <v>4509</v>
      </c>
      <c r="B23" s="106">
        <v>1</v>
      </c>
      <c r="C23" s="106">
        <v>1</v>
      </c>
      <c r="D23" s="106">
        <v>1</v>
      </c>
      <c r="E23" s="11">
        <v>-1</v>
      </c>
      <c r="F23" s="133" t="s">
        <v>1739</v>
      </c>
      <c r="G23" s="134">
        <v>0</v>
      </c>
      <c r="H23" s="133" t="s">
        <v>1715</v>
      </c>
      <c r="I23" s="134">
        <f>1-M23</f>
        <v>0.5</v>
      </c>
      <c r="J23" s="133" t="s">
        <v>1706</v>
      </c>
      <c r="K23" s="134">
        <v>0</v>
      </c>
      <c r="L23" s="133" t="s">
        <v>1722</v>
      </c>
      <c r="M23" s="134">
        <v>0.5</v>
      </c>
      <c r="N23" s="106"/>
      <c r="O23" s="134"/>
      <c r="P23" s="149"/>
      <c r="Q23" s="155" t="str">
        <f t="shared" si="2"/>
        <v>1，正确</v>
      </c>
      <c r="U23" s="156"/>
      <c r="W23" s="161" t="s">
        <v>1741</v>
      </c>
      <c r="X23" s="162">
        <v>3500</v>
      </c>
      <c r="Y23" s="1">
        <f>RIGHT(F38,LEN(F38)-4)*G38+RIGHT(H38,LEN(H38)-4)*I38+RIGHT(J38,LEN(J38)-4)*K38+RIGHT(L38,LEN(L38)-4)*M38+RIGHT(N38,LEN(N38)-4)*O38</f>
        <v>3500.4895781515115</v>
      </c>
      <c r="Z23" s="1" t="str">
        <f>'抽奖|MoonBless'!DN23</f>
        <v>红包【恭】</v>
      </c>
      <c r="AA23" s="1">
        <f>'抽奖|MoonBless'!DO23</f>
        <v>1</v>
      </c>
      <c r="AB23" s="1">
        <f>'抽奖|MoonBless'!DP23</f>
        <v>10</v>
      </c>
      <c r="AC23" s="1">
        <f>'抽奖|MoonBless'!DQ23</f>
        <v>2</v>
      </c>
      <c r="AD23" s="1">
        <f>'抽奖|MoonBless'!DR23</f>
        <v>1301</v>
      </c>
      <c r="AE23" s="167">
        <f>'抽奖|MoonBless'!DS23</f>
        <v>1</v>
      </c>
    </row>
    <row r="24" spans="1:31" s="83" customFormat="1" x14ac:dyDescent="0.35">
      <c r="A24" s="135">
        <v>4510</v>
      </c>
      <c r="B24" s="136">
        <v>1</v>
      </c>
      <c r="C24" s="136">
        <v>1</v>
      </c>
      <c r="D24" s="136">
        <v>1</v>
      </c>
      <c r="E24" s="137">
        <v>-1</v>
      </c>
      <c r="F24" s="138" t="s">
        <v>1701</v>
      </c>
      <c r="G24" s="139">
        <v>0.4</v>
      </c>
      <c r="H24" s="138"/>
      <c r="I24" s="139"/>
      <c r="J24" s="150"/>
      <c r="K24" s="139"/>
      <c r="L24" s="150"/>
      <c r="M24" s="139"/>
      <c r="N24" s="136"/>
      <c r="O24" s="139"/>
      <c r="P24" s="151"/>
      <c r="Q24" s="155" t="str">
        <f t="shared" si="2"/>
        <v>0.4，正确</v>
      </c>
      <c r="U24" s="156"/>
      <c r="V24" s="1"/>
      <c r="W24" s="1"/>
      <c r="X24" s="1"/>
      <c r="Y24" s="1"/>
      <c r="Z24" s="1" t="str">
        <f>'抽奖|MoonBless'!DN24</f>
        <v>红包【喜】</v>
      </c>
      <c r="AA24" s="1">
        <f>'抽奖|MoonBless'!DO24</f>
        <v>1</v>
      </c>
      <c r="AB24" s="1">
        <f>'抽奖|MoonBless'!DP24</f>
        <v>10</v>
      </c>
      <c r="AC24" s="1">
        <f>'抽奖|MoonBless'!DQ24</f>
        <v>2</v>
      </c>
      <c r="AD24" s="1">
        <f>'抽奖|MoonBless'!DR24</f>
        <v>1302</v>
      </c>
      <c r="AE24" s="167">
        <f>'抽奖|MoonBless'!DS24</f>
        <v>1</v>
      </c>
    </row>
    <row r="25" spans="1:31" s="83" customFormat="1" x14ac:dyDescent="0.35">
      <c r="A25" s="140">
        <v>4511</v>
      </c>
      <c r="B25" s="128">
        <v>1</v>
      </c>
      <c r="C25" s="128">
        <v>1</v>
      </c>
      <c r="D25" s="128">
        <v>1</v>
      </c>
      <c r="E25" s="129">
        <v>-1</v>
      </c>
      <c r="F25" s="130" t="s">
        <v>1742</v>
      </c>
      <c r="G25" s="131">
        <v>1</v>
      </c>
      <c r="H25" s="130"/>
      <c r="I25" s="131"/>
      <c r="J25" s="130"/>
      <c r="K25" s="131"/>
      <c r="L25" s="130"/>
      <c r="M25" s="131"/>
      <c r="N25" s="128"/>
      <c r="O25" s="131"/>
      <c r="P25" s="148"/>
      <c r="Q25" s="155" t="str">
        <f t="shared" si="2"/>
        <v>1，正确</v>
      </c>
      <c r="U25" s="156"/>
      <c r="V25" s="1"/>
      <c r="W25" s="1"/>
      <c r="X25" s="1"/>
      <c r="Y25" s="1"/>
      <c r="Z25" s="1" t="str">
        <f>'抽奖|MoonBless'!DN25</f>
        <v>红包【发】</v>
      </c>
      <c r="AA25" s="1">
        <f>'抽奖|MoonBless'!DO25</f>
        <v>1</v>
      </c>
      <c r="AB25" s="1">
        <f>'抽奖|MoonBless'!DP25</f>
        <v>10</v>
      </c>
      <c r="AC25" s="1">
        <f>'抽奖|MoonBless'!DQ25</f>
        <v>2</v>
      </c>
      <c r="AD25" s="1">
        <f>'抽奖|MoonBless'!DR25</f>
        <v>1303</v>
      </c>
      <c r="AE25" s="167">
        <f>'抽奖|MoonBless'!DS25</f>
        <v>1</v>
      </c>
    </row>
    <row r="26" spans="1:31" s="83" customFormat="1" x14ac:dyDescent="0.35">
      <c r="A26" s="141">
        <v>4512</v>
      </c>
      <c r="B26" s="106">
        <v>1</v>
      </c>
      <c r="C26" s="106">
        <v>1</v>
      </c>
      <c r="D26" s="106">
        <v>1</v>
      </c>
      <c r="E26" s="11">
        <v>-1</v>
      </c>
      <c r="F26" s="133" t="s">
        <v>1743</v>
      </c>
      <c r="G26" s="134">
        <v>1</v>
      </c>
      <c r="H26" s="133"/>
      <c r="I26" s="134"/>
      <c r="J26" s="133"/>
      <c r="K26" s="134"/>
      <c r="L26" s="133"/>
      <c r="M26" s="134"/>
      <c r="N26" s="106"/>
      <c r="O26" s="134"/>
      <c r="P26" s="149"/>
      <c r="Q26" s="155" t="str">
        <f t="shared" si="2"/>
        <v>1，正确</v>
      </c>
      <c r="U26" s="156"/>
      <c r="V26" s="1"/>
      <c r="W26" s="1"/>
      <c r="X26" s="1"/>
      <c r="Y26" s="1"/>
      <c r="Z26" s="1" t="str">
        <f>'抽奖|MoonBless'!DN26</f>
        <v>红包【财】</v>
      </c>
      <c r="AA26" s="1">
        <f>'抽奖|MoonBless'!DO26</f>
        <v>1</v>
      </c>
      <c r="AB26" s="1">
        <f>'抽奖|MoonBless'!DP26</f>
        <v>10</v>
      </c>
      <c r="AC26" s="1">
        <f>'抽奖|MoonBless'!DQ26</f>
        <v>2</v>
      </c>
      <c r="AD26" s="1">
        <f>'抽奖|MoonBless'!DR26</f>
        <v>1304</v>
      </c>
      <c r="AE26" s="167">
        <f>'抽奖|MoonBless'!DS26</f>
        <v>1</v>
      </c>
    </row>
    <row r="27" spans="1:31" s="83" customFormat="1" x14ac:dyDescent="0.35">
      <c r="A27" s="141">
        <v>4513</v>
      </c>
      <c r="B27" s="106">
        <v>1</v>
      </c>
      <c r="C27" s="106">
        <v>1</v>
      </c>
      <c r="D27" s="106">
        <v>1</v>
      </c>
      <c r="E27" s="11">
        <v>-1</v>
      </c>
      <c r="F27" s="133" t="s">
        <v>1744</v>
      </c>
      <c r="G27" s="134">
        <v>0.6</v>
      </c>
      <c r="H27" s="133" t="s">
        <v>1721</v>
      </c>
      <c r="I27" s="134">
        <v>0</v>
      </c>
      <c r="J27" s="133" t="s">
        <v>1745</v>
      </c>
      <c r="K27" s="134">
        <f>1-G27</f>
        <v>0.4</v>
      </c>
      <c r="L27" s="133" t="s">
        <v>1746</v>
      </c>
      <c r="M27" s="134">
        <v>0</v>
      </c>
      <c r="N27" s="106"/>
      <c r="O27" s="134"/>
      <c r="P27" s="149"/>
      <c r="Q27" s="155" t="str">
        <f t="shared" si="2"/>
        <v>1，正确</v>
      </c>
      <c r="U27" s="156"/>
      <c r="V27" s="1"/>
      <c r="W27" s="1"/>
      <c r="X27" s="1"/>
      <c r="Y27" s="1"/>
      <c r="Z27" s="1" t="str">
        <f>'抽奖|MoonBless'!DN27</f>
        <v>双轮</v>
      </c>
      <c r="AA27" s="1">
        <f>'抽奖|MoonBless'!DO27</f>
        <v>100</v>
      </c>
      <c r="AB27" s="1">
        <f>'抽奖|MoonBless'!DP27</f>
        <v>1000</v>
      </c>
      <c r="AC27" s="1">
        <f>'抽奖|MoonBless'!DQ27</f>
        <v>2</v>
      </c>
      <c r="AD27" s="1">
        <f>'抽奖|MoonBless'!DR27</f>
        <v>1500</v>
      </c>
      <c r="AE27" s="167">
        <f>'抽奖|MoonBless'!DS27</f>
        <v>1</v>
      </c>
    </row>
    <row r="28" spans="1:31" s="83" customFormat="1" x14ac:dyDescent="0.35">
      <c r="A28" s="141">
        <v>4514</v>
      </c>
      <c r="B28" s="106">
        <v>1</v>
      </c>
      <c r="C28" s="106">
        <v>1</v>
      </c>
      <c r="D28" s="106">
        <v>1</v>
      </c>
      <c r="E28" s="11">
        <v>-1</v>
      </c>
      <c r="F28" s="133" t="s">
        <v>1744</v>
      </c>
      <c r="G28" s="134">
        <v>0</v>
      </c>
      <c r="H28" s="133" t="s">
        <v>1721</v>
      </c>
      <c r="I28" s="134">
        <f>1-M28</f>
        <v>0.5</v>
      </c>
      <c r="J28" s="133" t="s">
        <v>1745</v>
      </c>
      <c r="K28" s="134">
        <v>0</v>
      </c>
      <c r="L28" s="133" t="s">
        <v>1746</v>
      </c>
      <c r="M28" s="134">
        <v>0.5</v>
      </c>
      <c r="N28" s="106"/>
      <c r="O28" s="134"/>
      <c r="P28" s="149"/>
      <c r="Q28" s="155" t="str">
        <f t="shared" si="2"/>
        <v>1，正确</v>
      </c>
      <c r="U28" s="156"/>
      <c r="V28" s="1"/>
      <c r="W28" s="1"/>
      <c r="X28" s="1"/>
      <c r="Y28" s="1"/>
      <c r="Z28" s="1" t="str">
        <f>'抽奖|MoonBless'!DN28</f>
        <v>橄榄油</v>
      </c>
      <c r="AA28" s="1">
        <f>'抽奖|MoonBless'!DO28</f>
        <v>200</v>
      </c>
      <c r="AB28" s="1">
        <f>'抽奖|MoonBless'!DP28</f>
        <v>2000</v>
      </c>
      <c r="AC28" s="1">
        <f>'抽奖|MoonBless'!DQ28</f>
        <v>2</v>
      </c>
      <c r="AD28" s="1">
        <f>'抽奖|MoonBless'!DR28</f>
        <v>1503</v>
      </c>
      <c r="AE28" s="167">
        <f>'抽奖|MoonBless'!DS28</f>
        <v>1</v>
      </c>
    </row>
    <row r="29" spans="1:31" s="83" customFormat="1" x14ac:dyDescent="0.35">
      <c r="A29" s="142">
        <v>4515</v>
      </c>
      <c r="B29" s="136">
        <v>1</v>
      </c>
      <c r="C29" s="136">
        <v>1</v>
      </c>
      <c r="D29" s="136">
        <v>1</v>
      </c>
      <c r="E29" s="137">
        <v>-1</v>
      </c>
      <c r="F29" s="138" t="s">
        <v>1701</v>
      </c>
      <c r="G29" s="139">
        <v>0.4</v>
      </c>
      <c r="H29" s="138"/>
      <c r="I29" s="139"/>
      <c r="J29" s="150"/>
      <c r="K29" s="139"/>
      <c r="L29" s="150"/>
      <c r="M29" s="139"/>
      <c r="N29" s="136"/>
      <c r="O29" s="139"/>
      <c r="P29" s="151"/>
      <c r="Q29" s="155" t="str">
        <f t="shared" si="2"/>
        <v>0.4，正确</v>
      </c>
      <c r="U29" s="156"/>
      <c r="V29" s="1"/>
      <c r="W29" s="1"/>
      <c r="X29" s="1"/>
      <c r="Y29" s="1"/>
      <c r="Z29" s="1" t="str">
        <f>'抽奖|MoonBless'!DN29</f>
        <v>米面礼包</v>
      </c>
      <c r="AA29" s="1">
        <f>'抽奖|MoonBless'!DO29</f>
        <v>275</v>
      </c>
      <c r="AB29" s="1">
        <f>'抽奖|MoonBless'!DP29</f>
        <v>2750</v>
      </c>
      <c r="AC29" s="1">
        <f>'抽奖|MoonBless'!DQ29</f>
        <v>2</v>
      </c>
      <c r="AD29" s="1">
        <f>'抽奖|MoonBless'!DR29</f>
        <v>1504</v>
      </c>
      <c r="AE29" s="167">
        <f>'抽奖|MoonBless'!DS29</f>
        <v>1</v>
      </c>
    </row>
    <row r="30" spans="1:31" s="83" customFormat="1" x14ac:dyDescent="0.35">
      <c r="A30" s="127">
        <v>4516</v>
      </c>
      <c r="B30" s="128">
        <v>1</v>
      </c>
      <c r="C30" s="128">
        <v>1</v>
      </c>
      <c r="D30" s="128">
        <v>1</v>
      </c>
      <c r="E30" s="129">
        <v>-1</v>
      </c>
      <c r="F30" s="130" t="s">
        <v>1742</v>
      </c>
      <c r="G30" s="131">
        <v>1</v>
      </c>
      <c r="H30" s="130"/>
      <c r="I30" s="131"/>
      <c r="J30" s="130"/>
      <c r="K30" s="131"/>
      <c r="L30" s="130"/>
      <c r="M30" s="131"/>
      <c r="N30" s="128"/>
      <c r="O30" s="131"/>
      <c r="P30" s="148"/>
      <c r="Q30" s="155" t="str">
        <f t="shared" si="2"/>
        <v>1，正确</v>
      </c>
      <c r="U30" s="156"/>
      <c r="V30" s="1"/>
      <c r="W30" s="1"/>
      <c r="X30" s="1"/>
      <c r="Y30" s="1"/>
      <c r="Z30" s="1" t="str">
        <f>'抽奖|MoonBless'!DN30</f>
        <v>买单券</v>
      </c>
      <c r="AA30" s="1">
        <f>'抽奖|MoonBless'!DO30</f>
        <v>2.5</v>
      </c>
      <c r="AB30" s="1">
        <f>'抽奖|MoonBless'!DP30</f>
        <v>25</v>
      </c>
      <c r="AC30" s="1">
        <f>'抽奖|MoonBless'!DQ30</f>
        <v>2</v>
      </c>
      <c r="AD30" s="1">
        <f>'抽奖|MoonBless'!DR30</f>
        <v>1213</v>
      </c>
      <c r="AE30" s="167">
        <f>'抽奖|MoonBless'!DS30</f>
        <v>1</v>
      </c>
    </row>
    <row r="31" spans="1:31" s="83" customFormat="1" x14ac:dyDescent="0.35">
      <c r="A31" s="132">
        <v>4517</v>
      </c>
      <c r="B31" s="106">
        <v>1</v>
      </c>
      <c r="C31" s="106">
        <v>1</v>
      </c>
      <c r="D31" s="106">
        <v>1</v>
      </c>
      <c r="E31" s="11">
        <v>-1</v>
      </c>
      <c r="F31" s="133" t="s">
        <v>1724</v>
      </c>
      <c r="G31" s="134">
        <v>1</v>
      </c>
      <c r="H31" s="133"/>
      <c r="I31" s="134"/>
      <c r="J31" s="133"/>
      <c r="K31" s="134"/>
      <c r="L31" s="133"/>
      <c r="M31" s="134"/>
      <c r="N31" s="106"/>
      <c r="O31" s="134"/>
      <c r="P31" s="149"/>
      <c r="Q31" s="155" t="str">
        <f t="shared" si="2"/>
        <v>1，正确</v>
      </c>
      <c r="U31" s="156"/>
      <c r="V31" s="1"/>
      <c r="W31" s="1"/>
      <c r="X31" s="1"/>
      <c r="Y31" s="1"/>
      <c r="Z31" s="1">
        <f>'抽奖|MoonBless'!DN31</f>
        <v>0</v>
      </c>
      <c r="AA31" s="1">
        <f>'抽奖|MoonBless'!DO31</f>
        <v>0</v>
      </c>
      <c r="AB31" s="1">
        <f>'抽奖|MoonBless'!DP31</f>
        <v>0</v>
      </c>
      <c r="AC31" s="1">
        <f>'抽奖|MoonBless'!DQ31</f>
        <v>0</v>
      </c>
      <c r="AD31" s="1">
        <f>'抽奖|MoonBless'!DR31</f>
        <v>0</v>
      </c>
      <c r="AE31" s="167">
        <f>'抽奖|MoonBless'!DS31</f>
        <v>0</v>
      </c>
    </row>
    <row r="32" spans="1:31" s="83" customFormat="1" x14ac:dyDescent="0.35">
      <c r="A32" s="132">
        <v>4518</v>
      </c>
      <c r="B32" s="106">
        <v>1</v>
      </c>
      <c r="C32" s="106">
        <v>1</v>
      </c>
      <c r="D32" s="106">
        <v>1</v>
      </c>
      <c r="E32" s="11">
        <v>-1</v>
      </c>
      <c r="F32" s="133" t="s">
        <v>1747</v>
      </c>
      <c r="G32" s="134">
        <v>0.6</v>
      </c>
      <c r="H32" s="133" t="s">
        <v>1726</v>
      </c>
      <c r="I32" s="134">
        <v>0</v>
      </c>
      <c r="J32" s="133" t="s">
        <v>1727</v>
      </c>
      <c r="K32" s="134">
        <f>1-G32</f>
        <v>0.4</v>
      </c>
      <c r="L32" s="133" t="s">
        <v>1748</v>
      </c>
      <c r="M32" s="134">
        <v>0</v>
      </c>
      <c r="N32" s="106"/>
      <c r="O32" s="134"/>
      <c r="P32" s="149"/>
      <c r="Q32" s="155" t="str">
        <f t="shared" si="2"/>
        <v>1，正确</v>
      </c>
      <c r="U32" s="156"/>
      <c r="V32" s="1"/>
      <c r="W32" s="1"/>
      <c r="X32" s="1"/>
      <c r="Y32" s="1"/>
      <c r="Z32" s="1">
        <f>'抽奖|MoonBless'!DN32</f>
        <v>0</v>
      </c>
      <c r="AA32" s="1">
        <f>'抽奖|MoonBless'!DO32</f>
        <v>0</v>
      </c>
      <c r="AB32" s="1">
        <f>'抽奖|MoonBless'!DP32</f>
        <v>0</v>
      </c>
      <c r="AC32" s="1">
        <f>'抽奖|MoonBless'!DQ32</f>
        <v>0</v>
      </c>
      <c r="AD32" s="1">
        <f>'抽奖|MoonBless'!DR32</f>
        <v>0</v>
      </c>
      <c r="AE32" s="167">
        <f>'抽奖|MoonBless'!DS32</f>
        <v>0</v>
      </c>
    </row>
    <row r="33" spans="1:31" s="83" customFormat="1" x14ac:dyDescent="0.35">
      <c r="A33" s="132">
        <v>4519</v>
      </c>
      <c r="B33" s="106">
        <v>1</v>
      </c>
      <c r="C33" s="106">
        <v>1</v>
      </c>
      <c r="D33" s="106">
        <v>1</v>
      </c>
      <c r="E33" s="11">
        <v>-1</v>
      </c>
      <c r="F33" s="133" t="s">
        <v>1747</v>
      </c>
      <c r="G33" s="134">
        <v>0</v>
      </c>
      <c r="H33" s="133" t="s">
        <v>1726</v>
      </c>
      <c r="I33" s="134">
        <f>1-M33</f>
        <v>0.5</v>
      </c>
      <c r="J33" s="133" t="s">
        <v>1727</v>
      </c>
      <c r="K33" s="134">
        <v>0</v>
      </c>
      <c r="L33" s="133" t="s">
        <v>1748</v>
      </c>
      <c r="M33" s="134">
        <v>0.5</v>
      </c>
      <c r="N33" s="106"/>
      <c r="O33" s="134"/>
      <c r="P33" s="149"/>
      <c r="Q33" s="155" t="str">
        <f t="shared" si="2"/>
        <v>1，正确</v>
      </c>
      <c r="U33" s="156"/>
      <c r="V33" s="1"/>
      <c r="W33" s="1"/>
      <c r="X33" s="1"/>
      <c r="Y33" s="1"/>
      <c r="Z33" s="1"/>
      <c r="AA33" s="1"/>
      <c r="AB33" s="1"/>
      <c r="AC33" s="1"/>
      <c r="AD33" s="1"/>
      <c r="AE33" s="167"/>
    </row>
    <row r="34" spans="1:31" s="83" customFormat="1" x14ac:dyDescent="0.35">
      <c r="A34" s="135">
        <v>4520</v>
      </c>
      <c r="B34" s="136">
        <v>1</v>
      </c>
      <c r="C34" s="136">
        <v>1</v>
      </c>
      <c r="D34" s="136">
        <v>1</v>
      </c>
      <c r="E34" s="137">
        <v>-1</v>
      </c>
      <c r="F34" s="138" t="s">
        <v>1701</v>
      </c>
      <c r="G34" s="139">
        <v>0.4</v>
      </c>
      <c r="H34" s="138"/>
      <c r="I34" s="139"/>
      <c r="J34" s="150"/>
      <c r="K34" s="139"/>
      <c r="L34" s="150"/>
      <c r="M34" s="139"/>
      <c r="N34" s="136"/>
      <c r="O34" s="139"/>
      <c r="P34" s="151"/>
      <c r="Q34" s="155" t="str">
        <f t="shared" si="2"/>
        <v>0.4，正确</v>
      </c>
      <c r="U34" s="156"/>
      <c r="V34" s="1"/>
      <c r="W34" s="1"/>
      <c r="X34" s="1"/>
      <c r="Y34" s="1"/>
      <c r="Z34" s="1"/>
      <c r="AA34" s="1"/>
      <c r="AB34" s="1"/>
      <c r="AC34" s="1"/>
      <c r="AD34" s="1"/>
      <c r="AE34" s="167"/>
    </row>
    <row r="35" spans="1:31" s="83" customFormat="1" ht="16.2" x14ac:dyDescent="0.35">
      <c r="A35" s="83">
        <v>4701</v>
      </c>
      <c r="B35" s="83">
        <v>1</v>
      </c>
      <c r="C35" s="83">
        <v>1</v>
      </c>
      <c r="D35" s="83">
        <v>1</v>
      </c>
      <c r="E35" s="1">
        <v>-1</v>
      </c>
      <c r="F35" s="39" t="s">
        <v>1749</v>
      </c>
      <c r="G35" s="125">
        <v>0.27915000000000001</v>
      </c>
      <c r="H35" s="39" t="s">
        <v>1750</v>
      </c>
      <c r="I35" s="125">
        <v>0.24198250728862999</v>
      </c>
      <c r="J35" s="39" t="s">
        <v>1751</v>
      </c>
      <c r="K35" s="125">
        <v>0.233236151603499</v>
      </c>
      <c r="L35" s="39" t="s">
        <v>1752</v>
      </c>
      <c r="M35" s="125">
        <v>0.233236151603499</v>
      </c>
      <c r="N35" s="39" t="s">
        <v>1753</v>
      </c>
      <c r="O35" s="125">
        <v>1.23951895043732E-2</v>
      </c>
      <c r="P35" s="152" t="s">
        <v>1736</v>
      </c>
      <c r="Q35" s="155" t="str">
        <f t="shared" si="0"/>
        <v>1，正确</v>
      </c>
      <c r="R35" s="152"/>
      <c r="S35" s="156" t="s">
        <v>1754</v>
      </c>
      <c r="U35" s="156"/>
    </row>
    <row r="36" spans="1:31" s="83" customFormat="1" ht="16.2" x14ac:dyDescent="0.35">
      <c r="A36" s="83">
        <v>4702</v>
      </c>
      <c r="B36" s="83">
        <v>1</v>
      </c>
      <c r="C36" s="83">
        <v>1</v>
      </c>
      <c r="D36" s="83">
        <v>1</v>
      </c>
      <c r="E36" s="1">
        <v>-1</v>
      </c>
      <c r="F36" s="39" t="s">
        <v>1755</v>
      </c>
      <c r="G36" s="125">
        <v>0.28279500000000002</v>
      </c>
      <c r="H36" s="39" t="s">
        <v>1756</v>
      </c>
      <c r="I36" s="125">
        <v>0.23623907394283</v>
      </c>
      <c r="J36" s="39" t="s">
        <v>1757</v>
      </c>
      <c r="K36" s="125">
        <v>0.23623907394283</v>
      </c>
      <c r="L36" s="39" t="s">
        <v>1758</v>
      </c>
      <c r="M36" s="125">
        <v>0.23623907394283</v>
      </c>
      <c r="N36" s="39" t="s">
        <v>1759</v>
      </c>
      <c r="O36" s="125">
        <v>8.4877781715096395E-3</v>
      </c>
      <c r="P36" s="152" t="s">
        <v>1738</v>
      </c>
      <c r="Q36" s="155" t="str">
        <f t="shared" si="0"/>
        <v>1，正确</v>
      </c>
      <c r="R36" s="152"/>
      <c r="S36" s="68"/>
      <c r="U36" s="156"/>
    </row>
    <row r="37" spans="1:31" s="83" customFormat="1" ht="16.2" x14ac:dyDescent="0.35">
      <c r="A37" s="83">
        <v>4703</v>
      </c>
      <c r="B37" s="83">
        <v>1</v>
      </c>
      <c r="C37" s="83">
        <v>1</v>
      </c>
      <c r="D37" s="83">
        <v>1</v>
      </c>
      <c r="E37" s="1">
        <v>-1</v>
      </c>
      <c r="F37" s="39" t="s">
        <v>1760</v>
      </c>
      <c r="G37" s="125">
        <v>0.21572</v>
      </c>
      <c r="H37" s="39" t="s">
        <v>1761</v>
      </c>
      <c r="I37" s="125">
        <v>0.23830012576951101</v>
      </c>
      <c r="J37" s="39" t="s">
        <v>1762</v>
      </c>
      <c r="K37" s="125">
        <v>0.26477791752167901</v>
      </c>
      <c r="L37" s="39" t="s">
        <v>1763</v>
      </c>
      <c r="M37" s="125">
        <v>0.26477791752167901</v>
      </c>
      <c r="N37" s="39" t="s">
        <v>1764</v>
      </c>
      <c r="O37" s="125">
        <v>1.6424039187131902E-2</v>
      </c>
      <c r="P37" s="152" t="s">
        <v>1740</v>
      </c>
      <c r="Q37" s="155" t="str">
        <f t="shared" si="0"/>
        <v>1，正确</v>
      </c>
      <c r="R37" s="152"/>
      <c r="S37" s="68"/>
      <c r="U37" s="156"/>
    </row>
    <row r="38" spans="1:31" s="83" customFormat="1" ht="16.2" x14ac:dyDescent="0.35">
      <c r="A38" s="83">
        <v>4704</v>
      </c>
      <c r="B38" s="83">
        <v>1</v>
      </c>
      <c r="C38" s="83">
        <v>1</v>
      </c>
      <c r="D38" s="83">
        <v>1</v>
      </c>
      <c r="E38" s="1">
        <v>-1</v>
      </c>
      <c r="F38" s="39" t="s">
        <v>1765</v>
      </c>
      <c r="G38" s="125">
        <v>0.206459</v>
      </c>
      <c r="H38" s="39" t="s">
        <v>1753</v>
      </c>
      <c r="I38" s="125">
        <v>0.25904260505020998</v>
      </c>
      <c r="J38" s="39" t="s">
        <v>1766</v>
      </c>
      <c r="K38" s="125">
        <v>0.25998505085957602</v>
      </c>
      <c r="L38" s="39" t="s">
        <v>1767</v>
      </c>
      <c r="M38" s="125">
        <v>0.25998505085957602</v>
      </c>
      <c r="N38" s="39" t="s">
        <v>1768</v>
      </c>
      <c r="O38" s="125">
        <v>1.45282932306393E-2</v>
      </c>
      <c r="P38" s="152" t="s">
        <v>1741</v>
      </c>
      <c r="Q38" s="155" t="str">
        <f t="shared" si="0"/>
        <v>1，正确</v>
      </c>
      <c r="R38" s="156" t="s">
        <v>1769</v>
      </c>
      <c r="S38" s="68" t="s">
        <v>1770</v>
      </c>
      <c r="T38" s="83" t="s">
        <v>1151</v>
      </c>
      <c r="U38" s="156"/>
    </row>
    <row r="39" spans="1:31" x14ac:dyDescent="0.35">
      <c r="A39" s="1">
        <v>4601</v>
      </c>
      <c r="B39" s="1">
        <v>3</v>
      </c>
      <c r="C39" s="1">
        <v>1</v>
      </c>
      <c r="D39" s="1">
        <v>1</v>
      </c>
      <c r="E39" s="143">
        <f>$R39/(60*5)/$T$39*50%/RIGHT(F39,1)/3+$R39/(60*5)/$T$39*25%/RIGHT(H39,1)/3+$R39/(60*5)/$T$39*25%/RIGHT(J39,1)/3</f>
        <v>2.3148148148148151E-3</v>
      </c>
      <c r="F39" s="39" t="s">
        <v>1710</v>
      </c>
      <c r="G39" s="125">
        <f>$R39/(60*5)/$T$39*50%/RIGHT(F39,1)/3</f>
        <v>1.1574074074074076E-3</v>
      </c>
      <c r="H39" s="39" t="s">
        <v>1711</v>
      </c>
      <c r="I39" s="125">
        <f>$R39/(60*5)/$T$39*25%/RIGHT(H39,1)/3</f>
        <v>5.7870370370370378E-4</v>
      </c>
      <c r="J39" s="39" t="s">
        <v>1712</v>
      </c>
      <c r="K39" s="125">
        <f>$R39/(60*5)/$T$39*25%/RIGHT(J39,1)/3</f>
        <v>5.7870370370370378E-4</v>
      </c>
      <c r="L39" s="39"/>
      <c r="Q39" s="154" t="str">
        <f t="shared" si="0"/>
        <v>0.00231481481481482，正确</v>
      </c>
      <c r="R39" s="63">
        <f>'鱼属性|FishAttribute'!E5</f>
        <v>2</v>
      </c>
      <c r="S39" s="163">
        <f t="shared" ref="S39:S88" si="3">G39+I39+K39+M39</f>
        <v>2.3148148148148151E-3</v>
      </c>
      <c r="T39" s="164">
        <f>'全局参数|GlobalPar'!B18/10000</f>
        <v>0.96</v>
      </c>
      <c r="V39" s="83"/>
      <c r="W39" s="83"/>
    </row>
    <row r="40" spans="1:31" x14ac:dyDescent="0.35">
      <c r="A40" s="1">
        <v>4602</v>
      </c>
      <c r="B40" s="1">
        <v>3</v>
      </c>
      <c r="C40" s="1">
        <v>1</v>
      </c>
      <c r="D40" s="1">
        <v>1</v>
      </c>
      <c r="E40" s="143">
        <f t="shared" ref="E40:E88" si="4">$R40/(60*5)/$T$39*50%/RIGHT(F40,1)/3+$R40/(60*5)/$T$39*25%/RIGHT(H40,1)/3+$R40/(60*5)/$T$39*25%/RIGHT(J40,1)/3</f>
        <v>2.3148148148148151E-3</v>
      </c>
      <c r="F40" s="39" t="s">
        <v>1710</v>
      </c>
      <c r="G40" s="125">
        <f t="shared" ref="G40:G88" si="5">$R40/(60*5)/$T$39*50%/RIGHT(F40,1)/3</f>
        <v>1.1574074074074076E-3</v>
      </c>
      <c r="H40" s="39" t="s">
        <v>1711</v>
      </c>
      <c r="I40" s="125">
        <f t="shared" ref="I40:I88" si="6">$R40/(60*5)/$T$39*25%/RIGHT(H40,1)/3</f>
        <v>5.7870370370370378E-4</v>
      </c>
      <c r="J40" s="39" t="s">
        <v>1712</v>
      </c>
      <c r="K40" s="125">
        <f t="shared" ref="K40:K88" si="7">$R40/(60*5)/$T$39*25%/RIGHT(J40,1)/3</f>
        <v>5.7870370370370378E-4</v>
      </c>
      <c r="Q40" s="154" t="str">
        <f t="shared" si="0"/>
        <v>0.00231481481481482，正确</v>
      </c>
      <c r="R40" s="63">
        <f>'鱼属性|FishAttribute'!E6</f>
        <v>2</v>
      </c>
      <c r="S40" s="163">
        <f t="shared" si="3"/>
        <v>2.3148148148148151E-3</v>
      </c>
    </row>
    <row r="41" spans="1:31" x14ac:dyDescent="0.35">
      <c r="A41" s="1">
        <v>4603</v>
      </c>
      <c r="B41" s="1">
        <v>3</v>
      </c>
      <c r="C41" s="1">
        <v>1</v>
      </c>
      <c r="D41" s="1">
        <v>1</v>
      </c>
      <c r="E41" s="143">
        <f t="shared" si="4"/>
        <v>3.4722222222222225E-3</v>
      </c>
      <c r="F41" s="39" t="s">
        <v>1710</v>
      </c>
      <c r="G41" s="125">
        <f t="shared" si="5"/>
        <v>1.7361111111111112E-3</v>
      </c>
      <c r="H41" s="39" t="s">
        <v>1711</v>
      </c>
      <c r="I41" s="125">
        <f t="shared" si="6"/>
        <v>8.6805555555555562E-4</v>
      </c>
      <c r="J41" s="39" t="s">
        <v>1712</v>
      </c>
      <c r="K41" s="125">
        <f t="shared" si="7"/>
        <v>8.6805555555555562E-4</v>
      </c>
      <c r="Q41" s="154" t="str">
        <f t="shared" si="0"/>
        <v>0.00347222222222222，正确</v>
      </c>
      <c r="R41" s="63">
        <f>'鱼属性|FishAttribute'!E7</f>
        <v>3</v>
      </c>
      <c r="S41" s="163">
        <f t="shared" si="3"/>
        <v>3.4722222222222225E-3</v>
      </c>
      <c r="V41" s="58"/>
      <c r="W41" s="165"/>
      <c r="X41" s="165"/>
    </row>
    <row r="42" spans="1:31" x14ac:dyDescent="0.35">
      <c r="A42" s="1">
        <v>4604</v>
      </c>
      <c r="B42" s="1">
        <v>3</v>
      </c>
      <c r="C42" s="1">
        <v>1</v>
      </c>
      <c r="D42" s="1">
        <v>1</v>
      </c>
      <c r="E42" s="143">
        <f t="shared" si="4"/>
        <v>4.6296296296296302E-3</v>
      </c>
      <c r="F42" s="39" t="s">
        <v>1710</v>
      </c>
      <c r="G42" s="125">
        <f t="shared" si="5"/>
        <v>2.3148148148148151E-3</v>
      </c>
      <c r="H42" s="39" t="s">
        <v>1711</v>
      </c>
      <c r="I42" s="125">
        <f t="shared" si="6"/>
        <v>1.1574074074074076E-3</v>
      </c>
      <c r="J42" s="39" t="s">
        <v>1712</v>
      </c>
      <c r="K42" s="125">
        <f t="shared" si="7"/>
        <v>1.1574074074074076E-3</v>
      </c>
      <c r="Q42" s="154" t="str">
        <f t="shared" si="0"/>
        <v>0.00462962962962963，正确</v>
      </c>
      <c r="R42" s="63">
        <f>'鱼属性|FishAttribute'!E8</f>
        <v>4</v>
      </c>
      <c r="S42" s="163">
        <f t="shared" si="3"/>
        <v>4.6296296296296302E-3</v>
      </c>
      <c r="W42" s="166"/>
      <c r="X42" s="166"/>
    </row>
    <row r="43" spans="1:31" x14ac:dyDescent="0.35">
      <c r="A43" s="1">
        <v>4605</v>
      </c>
      <c r="B43" s="1">
        <v>3</v>
      </c>
      <c r="C43" s="1">
        <v>1</v>
      </c>
      <c r="D43" s="1">
        <v>1</v>
      </c>
      <c r="E43" s="143">
        <f t="shared" si="4"/>
        <v>5.7870370370370376E-3</v>
      </c>
      <c r="F43" s="39" t="s">
        <v>1710</v>
      </c>
      <c r="G43" s="125">
        <f t="shared" si="5"/>
        <v>2.8935185185185188E-3</v>
      </c>
      <c r="H43" s="39" t="s">
        <v>1711</v>
      </c>
      <c r="I43" s="125">
        <f t="shared" si="6"/>
        <v>1.4467592592592594E-3</v>
      </c>
      <c r="J43" s="39" t="s">
        <v>1712</v>
      </c>
      <c r="K43" s="125">
        <f t="shared" si="7"/>
        <v>1.4467592592592594E-3</v>
      </c>
      <c r="Q43" s="154" t="str">
        <f t="shared" si="0"/>
        <v>0.00578703703703704，正确</v>
      </c>
      <c r="R43" s="63">
        <f>'鱼属性|FishAttribute'!E9</f>
        <v>5</v>
      </c>
      <c r="S43" s="163">
        <f t="shared" si="3"/>
        <v>5.7870370370370376E-3</v>
      </c>
    </row>
    <row r="44" spans="1:31" x14ac:dyDescent="0.35">
      <c r="A44" s="1">
        <v>4606</v>
      </c>
      <c r="B44" s="1">
        <v>3</v>
      </c>
      <c r="C44" s="1">
        <v>1</v>
      </c>
      <c r="D44" s="1">
        <v>1</v>
      </c>
      <c r="E44" s="143">
        <f t="shared" si="4"/>
        <v>5.7870370370370376E-3</v>
      </c>
      <c r="F44" s="39" t="s">
        <v>1710</v>
      </c>
      <c r="G44" s="125">
        <f t="shared" si="5"/>
        <v>2.8935185185185188E-3</v>
      </c>
      <c r="H44" s="39" t="s">
        <v>1711</v>
      </c>
      <c r="I44" s="125">
        <f t="shared" si="6"/>
        <v>1.4467592592592594E-3</v>
      </c>
      <c r="J44" s="39" t="s">
        <v>1712</v>
      </c>
      <c r="K44" s="125">
        <f t="shared" si="7"/>
        <v>1.4467592592592594E-3</v>
      </c>
      <c r="Q44" s="154" t="str">
        <f t="shared" si="0"/>
        <v>0.00578703703703704，正确</v>
      </c>
      <c r="R44" s="63">
        <f>'鱼属性|FishAttribute'!E10</f>
        <v>5</v>
      </c>
      <c r="S44" s="163">
        <f t="shared" si="3"/>
        <v>5.7870370370370376E-3</v>
      </c>
    </row>
    <row r="45" spans="1:31" x14ac:dyDescent="0.35">
      <c r="A45" s="1">
        <v>4607</v>
      </c>
      <c r="B45" s="1">
        <v>3</v>
      </c>
      <c r="C45" s="1">
        <v>1</v>
      </c>
      <c r="D45" s="1">
        <v>1</v>
      </c>
      <c r="E45" s="143">
        <f t="shared" si="4"/>
        <v>6.9444444444444449E-3</v>
      </c>
      <c r="F45" s="39" t="s">
        <v>1710</v>
      </c>
      <c r="G45" s="125">
        <f t="shared" si="5"/>
        <v>3.4722222222222225E-3</v>
      </c>
      <c r="H45" s="39" t="s">
        <v>1711</v>
      </c>
      <c r="I45" s="125">
        <f t="shared" si="6"/>
        <v>1.7361111111111112E-3</v>
      </c>
      <c r="J45" s="39" t="s">
        <v>1712</v>
      </c>
      <c r="K45" s="125">
        <f t="shared" si="7"/>
        <v>1.7361111111111112E-3</v>
      </c>
      <c r="Q45" s="154" t="str">
        <f t="shared" si="0"/>
        <v>0.00694444444444444，正确</v>
      </c>
      <c r="R45" s="63">
        <f>'鱼属性|FishAttribute'!E11</f>
        <v>6</v>
      </c>
      <c r="S45" s="163">
        <f t="shared" si="3"/>
        <v>6.9444444444444449E-3</v>
      </c>
    </row>
    <row r="46" spans="1:31" x14ac:dyDescent="0.35">
      <c r="A46" s="1">
        <v>4608</v>
      </c>
      <c r="B46" s="1">
        <v>3</v>
      </c>
      <c r="C46" s="1">
        <v>1</v>
      </c>
      <c r="D46" s="1">
        <v>1</v>
      </c>
      <c r="E46" s="143">
        <f t="shared" si="4"/>
        <v>8.1018518518518514E-3</v>
      </c>
      <c r="F46" s="39" t="s">
        <v>1710</v>
      </c>
      <c r="G46" s="125">
        <f t="shared" si="5"/>
        <v>4.0509259259259257E-3</v>
      </c>
      <c r="H46" s="39" t="s">
        <v>1711</v>
      </c>
      <c r="I46" s="125">
        <f t="shared" si="6"/>
        <v>2.0254629629629629E-3</v>
      </c>
      <c r="J46" s="39" t="s">
        <v>1712</v>
      </c>
      <c r="K46" s="125">
        <f t="shared" si="7"/>
        <v>2.0254629629629629E-3</v>
      </c>
      <c r="Q46" s="154" t="str">
        <f t="shared" si="0"/>
        <v>0.00810185185185185，正确</v>
      </c>
      <c r="R46" s="63">
        <f>'鱼属性|FishAttribute'!E12</f>
        <v>7</v>
      </c>
      <c r="S46" s="163">
        <f t="shared" si="3"/>
        <v>8.1018518518518514E-3</v>
      </c>
    </row>
    <row r="47" spans="1:31" x14ac:dyDescent="0.35">
      <c r="A47" s="1">
        <v>4609</v>
      </c>
      <c r="B47" s="1">
        <v>3</v>
      </c>
      <c r="C47" s="1">
        <v>1</v>
      </c>
      <c r="D47" s="1">
        <v>1</v>
      </c>
      <c r="E47" s="143">
        <f t="shared" si="4"/>
        <v>4.6296296296296302E-3</v>
      </c>
      <c r="F47" s="39" t="s">
        <v>1710</v>
      </c>
      <c r="G47" s="125">
        <f t="shared" si="5"/>
        <v>2.3148148148148151E-3</v>
      </c>
      <c r="H47" s="39" t="s">
        <v>1711</v>
      </c>
      <c r="I47" s="125">
        <f t="shared" si="6"/>
        <v>1.1574074074074076E-3</v>
      </c>
      <c r="J47" s="39" t="s">
        <v>1712</v>
      </c>
      <c r="K47" s="125">
        <f t="shared" si="7"/>
        <v>1.1574074074074076E-3</v>
      </c>
      <c r="Q47" s="154" t="str">
        <f t="shared" si="0"/>
        <v>0.00462962962962963，正确</v>
      </c>
      <c r="R47" s="63">
        <f>'鱼属性|FishAttribute'!E13</f>
        <v>4</v>
      </c>
      <c r="S47" s="163">
        <f t="shared" si="3"/>
        <v>4.6296296296296302E-3</v>
      </c>
    </row>
    <row r="48" spans="1:31" x14ac:dyDescent="0.35">
      <c r="A48" s="1">
        <v>4610</v>
      </c>
      <c r="B48" s="1">
        <v>3</v>
      </c>
      <c r="C48" s="1">
        <v>1</v>
      </c>
      <c r="D48" s="1">
        <v>1</v>
      </c>
      <c r="E48" s="143">
        <f t="shared" si="4"/>
        <v>1.0416666666666666E-2</v>
      </c>
      <c r="F48" s="39" t="s">
        <v>1710</v>
      </c>
      <c r="G48" s="125">
        <f t="shared" si="5"/>
        <v>5.208333333333333E-3</v>
      </c>
      <c r="H48" s="39" t="s">
        <v>1711</v>
      </c>
      <c r="I48" s="125">
        <f t="shared" si="6"/>
        <v>2.6041666666666665E-3</v>
      </c>
      <c r="J48" s="39" t="s">
        <v>1712</v>
      </c>
      <c r="K48" s="125">
        <f t="shared" si="7"/>
        <v>2.6041666666666665E-3</v>
      </c>
      <c r="Q48" s="154" t="str">
        <f t="shared" si="0"/>
        <v>0.0104166666666667，正确</v>
      </c>
      <c r="R48" s="63">
        <f>'鱼属性|FishAttribute'!E14</f>
        <v>9</v>
      </c>
      <c r="S48" s="163">
        <f t="shared" si="3"/>
        <v>1.0416666666666666E-2</v>
      </c>
    </row>
    <row r="49" spans="1:19" x14ac:dyDescent="0.35">
      <c r="A49" s="1">
        <v>4611</v>
      </c>
      <c r="B49" s="1">
        <v>3</v>
      </c>
      <c r="C49" s="1">
        <v>1</v>
      </c>
      <c r="D49" s="1">
        <v>1</v>
      </c>
      <c r="E49" s="143">
        <f t="shared" si="4"/>
        <v>1.1574074074074075E-2</v>
      </c>
      <c r="F49" s="39" t="s">
        <v>1710</v>
      </c>
      <c r="G49" s="125">
        <f t="shared" si="5"/>
        <v>5.7870370370370376E-3</v>
      </c>
      <c r="H49" s="39" t="s">
        <v>1711</v>
      </c>
      <c r="I49" s="125">
        <f t="shared" si="6"/>
        <v>2.8935185185185188E-3</v>
      </c>
      <c r="J49" s="39" t="s">
        <v>1712</v>
      </c>
      <c r="K49" s="125">
        <f t="shared" si="7"/>
        <v>2.8935185185185188E-3</v>
      </c>
      <c r="Q49" s="154" t="str">
        <f t="shared" si="0"/>
        <v>0.0115740740740741，正确</v>
      </c>
      <c r="R49" s="63">
        <f>'鱼属性|FishAttribute'!E15</f>
        <v>10</v>
      </c>
      <c r="S49" s="163">
        <f t="shared" si="3"/>
        <v>1.1574074074074075E-2</v>
      </c>
    </row>
    <row r="50" spans="1:19" x14ac:dyDescent="0.35">
      <c r="A50" s="1">
        <v>4612</v>
      </c>
      <c r="B50" s="1">
        <v>3</v>
      </c>
      <c r="C50" s="1">
        <v>1</v>
      </c>
      <c r="D50" s="1">
        <v>1</v>
      </c>
      <c r="E50" s="143">
        <f t="shared" si="4"/>
        <v>1.388888888888889E-2</v>
      </c>
      <c r="F50" s="39" t="s">
        <v>1710</v>
      </c>
      <c r="G50" s="125">
        <f t="shared" si="5"/>
        <v>6.9444444444444449E-3</v>
      </c>
      <c r="H50" s="39" t="s">
        <v>1711</v>
      </c>
      <c r="I50" s="125">
        <f t="shared" si="6"/>
        <v>3.4722222222222225E-3</v>
      </c>
      <c r="J50" s="39" t="s">
        <v>1712</v>
      </c>
      <c r="K50" s="125">
        <f t="shared" si="7"/>
        <v>3.4722222222222225E-3</v>
      </c>
      <c r="Q50" s="154" t="str">
        <f t="shared" si="0"/>
        <v>0.0138888888888889，正确</v>
      </c>
      <c r="R50" s="63">
        <f>'鱼属性|FishAttribute'!E16</f>
        <v>12</v>
      </c>
      <c r="S50" s="163">
        <f t="shared" si="3"/>
        <v>1.388888888888889E-2</v>
      </c>
    </row>
    <row r="51" spans="1:19" x14ac:dyDescent="0.35">
      <c r="A51" s="1">
        <v>4613</v>
      </c>
      <c r="B51" s="1">
        <v>3</v>
      </c>
      <c r="C51" s="1">
        <v>1</v>
      </c>
      <c r="D51" s="1">
        <v>1</v>
      </c>
      <c r="E51" s="143">
        <f t="shared" si="4"/>
        <v>1.6203703703703703E-2</v>
      </c>
      <c r="F51" s="39" t="s">
        <v>1710</v>
      </c>
      <c r="G51" s="125">
        <f t="shared" si="5"/>
        <v>8.1018518518518514E-3</v>
      </c>
      <c r="H51" s="39" t="s">
        <v>1711</v>
      </c>
      <c r="I51" s="125">
        <f t="shared" si="6"/>
        <v>4.0509259259259257E-3</v>
      </c>
      <c r="J51" s="39" t="s">
        <v>1712</v>
      </c>
      <c r="K51" s="125">
        <f t="shared" si="7"/>
        <v>4.0509259259259257E-3</v>
      </c>
      <c r="Q51" s="154" t="str">
        <f t="shared" si="0"/>
        <v>0.0162037037037037，正确</v>
      </c>
      <c r="R51" s="63">
        <f>'鱼属性|FishAttribute'!E17</f>
        <v>14</v>
      </c>
      <c r="S51" s="163">
        <f t="shared" si="3"/>
        <v>1.6203703703703703E-2</v>
      </c>
    </row>
    <row r="52" spans="1:19" x14ac:dyDescent="0.35">
      <c r="A52" s="1">
        <v>4614</v>
      </c>
      <c r="B52" s="1">
        <v>3</v>
      </c>
      <c r="C52" s="1">
        <v>1</v>
      </c>
      <c r="D52" s="1">
        <v>1</v>
      </c>
      <c r="E52" s="143">
        <f t="shared" si="4"/>
        <v>1.7361111111111112E-2</v>
      </c>
      <c r="F52" s="39" t="s">
        <v>1710</v>
      </c>
      <c r="G52" s="125">
        <f t="shared" si="5"/>
        <v>8.6805555555555559E-3</v>
      </c>
      <c r="H52" s="39" t="s">
        <v>1711</v>
      </c>
      <c r="I52" s="125">
        <f t="shared" si="6"/>
        <v>4.340277777777778E-3</v>
      </c>
      <c r="J52" s="39" t="s">
        <v>1712</v>
      </c>
      <c r="K52" s="125">
        <f t="shared" si="7"/>
        <v>4.340277777777778E-3</v>
      </c>
      <c r="Q52" s="154" t="str">
        <f t="shared" si="0"/>
        <v>0.0173611111111111，正确</v>
      </c>
      <c r="R52" s="63">
        <f>'鱼属性|FishAttribute'!E18</f>
        <v>15</v>
      </c>
      <c r="S52" s="163">
        <f t="shared" si="3"/>
        <v>1.7361111111111112E-2</v>
      </c>
    </row>
    <row r="53" spans="1:19" x14ac:dyDescent="0.35">
      <c r="A53" s="1">
        <v>4615</v>
      </c>
      <c r="B53" s="1">
        <v>3</v>
      </c>
      <c r="C53" s="1">
        <v>1</v>
      </c>
      <c r="D53" s="1">
        <v>1</v>
      </c>
      <c r="E53" s="143">
        <f t="shared" si="4"/>
        <v>1.8518518518518521E-2</v>
      </c>
      <c r="F53" s="39" t="s">
        <v>1710</v>
      </c>
      <c r="G53" s="125">
        <f t="shared" si="5"/>
        <v>9.2592592592592605E-3</v>
      </c>
      <c r="H53" s="39" t="s">
        <v>1711</v>
      </c>
      <c r="I53" s="125">
        <f t="shared" si="6"/>
        <v>4.6296296296296302E-3</v>
      </c>
      <c r="J53" s="39" t="s">
        <v>1712</v>
      </c>
      <c r="K53" s="125">
        <f t="shared" si="7"/>
        <v>4.6296296296296302E-3</v>
      </c>
      <c r="Q53" s="154" t="str">
        <f t="shared" si="0"/>
        <v>0.0185185185185185，正确</v>
      </c>
      <c r="R53" s="63">
        <f>'鱼属性|FishAttribute'!E19</f>
        <v>16</v>
      </c>
      <c r="S53" s="163">
        <f t="shared" si="3"/>
        <v>1.8518518518518521E-2</v>
      </c>
    </row>
    <row r="54" spans="1:19" x14ac:dyDescent="0.35">
      <c r="A54" s="1">
        <v>4616</v>
      </c>
      <c r="B54" s="1">
        <v>3</v>
      </c>
      <c r="C54" s="1">
        <v>1</v>
      </c>
      <c r="D54" s="1">
        <v>1</v>
      </c>
      <c r="E54" s="143">
        <f t="shared" si="4"/>
        <v>2.0833333333333332E-2</v>
      </c>
      <c r="F54" s="39" t="s">
        <v>1710</v>
      </c>
      <c r="G54" s="125">
        <f t="shared" si="5"/>
        <v>1.0416666666666666E-2</v>
      </c>
      <c r="H54" s="39" t="s">
        <v>1711</v>
      </c>
      <c r="I54" s="125">
        <f t="shared" si="6"/>
        <v>5.208333333333333E-3</v>
      </c>
      <c r="J54" s="39" t="s">
        <v>1712</v>
      </c>
      <c r="K54" s="125">
        <f t="shared" si="7"/>
        <v>5.208333333333333E-3</v>
      </c>
      <c r="Q54" s="154" t="str">
        <f t="shared" si="0"/>
        <v>0.0208333333333333，正确</v>
      </c>
      <c r="R54" s="63">
        <f>'鱼属性|FishAttribute'!E20</f>
        <v>18</v>
      </c>
      <c r="S54" s="163">
        <f t="shared" si="3"/>
        <v>2.0833333333333332E-2</v>
      </c>
    </row>
    <row r="55" spans="1:19" x14ac:dyDescent="0.35">
      <c r="A55" s="1">
        <v>4617</v>
      </c>
      <c r="B55" s="1">
        <v>3</v>
      </c>
      <c r="C55" s="1">
        <v>1</v>
      </c>
      <c r="D55" s="1">
        <v>1</v>
      </c>
      <c r="E55" s="143">
        <f t="shared" si="4"/>
        <v>2.314814814814815E-2</v>
      </c>
      <c r="F55" s="39" t="s">
        <v>1710</v>
      </c>
      <c r="G55" s="125">
        <f t="shared" si="5"/>
        <v>1.1574074074074075E-2</v>
      </c>
      <c r="H55" s="39" t="s">
        <v>1711</v>
      </c>
      <c r="I55" s="125">
        <f t="shared" si="6"/>
        <v>5.7870370370370376E-3</v>
      </c>
      <c r="J55" s="39" t="s">
        <v>1712</v>
      </c>
      <c r="K55" s="125">
        <f t="shared" si="7"/>
        <v>5.7870370370370376E-3</v>
      </c>
      <c r="Q55" s="154" t="str">
        <f t="shared" si="0"/>
        <v>0.0231481481481482，正确</v>
      </c>
      <c r="R55" s="63">
        <f>'鱼属性|FishAttribute'!E21</f>
        <v>20</v>
      </c>
      <c r="S55" s="163">
        <f t="shared" si="3"/>
        <v>2.314814814814815E-2</v>
      </c>
    </row>
    <row r="56" spans="1:19" x14ac:dyDescent="0.35">
      <c r="A56" s="1">
        <v>4618</v>
      </c>
      <c r="B56" s="1">
        <v>3</v>
      </c>
      <c r="C56" s="1">
        <v>1</v>
      </c>
      <c r="D56" s="1">
        <v>1</v>
      </c>
      <c r="E56" s="143">
        <f t="shared" si="4"/>
        <v>2.5462962962962965E-2</v>
      </c>
      <c r="F56" s="39" t="s">
        <v>1710</v>
      </c>
      <c r="G56" s="125">
        <f t="shared" si="5"/>
        <v>1.2731481481481483E-2</v>
      </c>
      <c r="H56" s="39" t="s">
        <v>1711</v>
      </c>
      <c r="I56" s="125">
        <f t="shared" si="6"/>
        <v>6.3657407407407413E-3</v>
      </c>
      <c r="J56" s="39" t="s">
        <v>1712</v>
      </c>
      <c r="K56" s="125">
        <f t="shared" si="7"/>
        <v>6.3657407407407413E-3</v>
      </c>
      <c r="Q56" s="154" t="str">
        <f t="shared" si="0"/>
        <v>0.025462962962963，正确</v>
      </c>
      <c r="R56" s="63">
        <f>'鱼属性|FishAttribute'!E22</f>
        <v>22</v>
      </c>
      <c r="S56" s="163">
        <f t="shared" si="3"/>
        <v>2.5462962962962965E-2</v>
      </c>
    </row>
    <row r="57" spans="1:19" x14ac:dyDescent="0.35">
      <c r="A57" s="1">
        <v>4619</v>
      </c>
      <c r="B57" s="1">
        <v>3</v>
      </c>
      <c r="C57" s="1">
        <v>1</v>
      </c>
      <c r="D57" s="1">
        <v>1</v>
      </c>
      <c r="E57" s="143">
        <f t="shared" si="4"/>
        <v>2.777777777777778E-2</v>
      </c>
      <c r="F57" s="39" t="s">
        <v>1710</v>
      </c>
      <c r="G57" s="125">
        <f t="shared" si="5"/>
        <v>1.388888888888889E-2</v>
      </c>
      <c r="H57" s="39" t="s">
        <v>1711</v>
      </c>
      <c r="I57" s="125">
        <f t="shared" si="6"/>
        <v>6.9444444444444449E-3</v>
      </c>
      <c r="J57" s="39" t="s">
        <v>1712</v>
      </c>
      <c r="K57" s="125">
        <f t="shared" si="7"/>
        <v>6.9444444444444449E-3</v>
      </c>
      <c r="Q57" s="154" t="str">
        <f t="shared" si="0"/>
        <v>0.0277777777777778，正确</v>
      </c>
      <c r="R57" s="63">
        <f>'鱼属性|FishAttribute'!E23</f>
        <v>24</v>
      </c>
      <c r="S57" s="163">
        <f t="shared" si="3"/>
        <v>2.777777777777778E-2</v>
      </c>
    </row>
    <row r="58" spans="1:19" x14ac:dyDescent="0.35">
      <c r="A58" s="1">
        <v>4620</v>
      </c>
      <c r="B58" s="1">
        <v>3</v>
      </c>
      <c r="C58" s="1">
        <v>1</v>
      </c>
      <c r="D58" s="1">
        <v>1</v>
      </c>
      <c r="E58" s="143">
        <f t="shared" si="4"/>
        <v>3.0092592592592598E-2</v>
      </c>
      <c r="F58" s="39" t="s">
        <v>1710</v>
      </c>
      <c r="G58" s="125">
        <f t="shared" si="5"/>
        <v>1.5046296296296299E-2</v>
      </c>
      <c r="H58" s="39" t="s">
        <v>1711</v>
      </c>
      <c r="I58" s="125">
        <f t="shared" si="6"/>
        <v>7.5231481481481495E-3</v>
      </c>
      <c r="J58" s="39" t="s">
        <v>1712</v>
      </c>
      <c r="K58" s="125">
        <f t="shared" si="7"/>
        <v>7.5231481481481495E-3</v>
      </c>
      <c r="Q58" s="154" t="str">
        <f t="shared" si="0"/>
        <v>0.0300925925925926，正确</v>
      </c>
      <c r="R58" s="63">
        <f>'鱼属性|FishAttribute'!E24</f>
        <v>26</v>
      </c>
      <c r="S58" s="163">
        <f t="shared" si="3"/>
        <v>3.0092592592592598E-2</v>
      </c>
    </row>
    <row r="59" spans="1:19" x14ac:dyDescent="0.35">
      <c r="A59" s="1">
        <v>4621</v>
      </c>
      <c r="B59" s="1">
        <v>3</v>
      </c>
      <c r="C59" s="1">
        <v>1</v>
      </c>
      <c r="D59" s="1">
        <v>1</v>
      </c>
      <c r="E59" s="143">
        <f t="shared" si="4"/>
        <v>3.2407407407407406E-2</v>
      </c>
      <c r="F59" s="39" t="s">
        <v>1710</v>
      </c>
      <c r="G59" s="125">
        <f t="shared" si="5"/>
        <v>1.6203703703703703E-2</v>
      </c>
      <c r="H59" s="39" t="s">
        <v>1711</v>
      </c>
      <c r="I59" s="125">
        <f t="shared" si="6"/>
        <v>8.1018518518518514E-3</v>
      </c>
      <c r="J59" s="39" t="s">
        <v>1712</v>
      </c>
      <c r="K59" s="125">
        <f t="shared" si="7"/>
        <v>8.1018518518518514E-3</v>
      </c>
      <c r="Q59" s="154" t="str">
        <f t="shared" si="0"/>
        <v>0.0324074074074074，正确</v>
      </c>
      <c r="R59" s="63">
        <f>'鱼属性|FishAttribute'!E25</f>
        <v>28</v>
      </c>
      <c r="S59" s="163">
        <f t="shared" si="3"/>
        <v>3.2407407407407406E-2</v>
      </c>
    </row>
    <row r="60" spans="1:19" x14ac:dyDescent="0.35">
      <c r="A60" s="1">
        <v>4622</v>
      </c>
      <c r="B60" s="1">
        <v>3</v>
      </c>
      <c r="C60" s="1">
        <v>1</v>
      </c>
      <c r="D60" s="1">
        <v>1</v>
      </c>
      <c r="E60" s="143">
        <f t="shared" si="4"/>
        <v>4.6296296296296302E-3</v>
      </c>
      <c r="F60" s="39" t="s">
        <v>1710</v>
      </c>
      <c r="G60" s="125">
        <f t="shared" si="5"/>
        <v>2.3148148148148151E-3</v>
      </c>
      <c r="H60" s="39" t="s">
        <v>1711</v>
      </c>
      <c r="I60" s="125">
        <f t="shared" si="6"/>
        <v>1.1574074074074076E-3</v>
      </c>
      <c r="J60" s="39" t="s">
        <v>1712</v>
      </c>
      <c r="K60" s="125">
        <f t="shared" si="7"/>
        <v>1.1574074074074076E-3</v>
      </c>
      <c r="Q60" s="154" t="str">
        <f t="shared" si="0"/>
        <v>0.00462962962962963，正确</v>
      </c>
      <c r="R60" s="63">
        <f>'鱼属性|FishAttribute'!E26</f>
        <v>4</v>
      </c>
      <c r="S60" s="163">
        <f t="shared" si="3"/>
        <v>4.6296296296296302E-3</v>
      </c>
    </row>
    <row r="61" spans="1:19" x14ac:dyDescent="0.35">
      <c r="A61" s="1">
        <v>4623</v>
      </c>
      <c r="B61" s="1">
        <v>3</v>
      </c>
      <c r="C61" s="1">
        <v>1</v>
      </c>
      <c r="D61" s="1">
        <v>1</v>
      </c>
      <c r="E61" s="143">
        <f t="shared" si="4"/>
        <v>3.4722222222222224E-2</v>
      </c>
      <c r="F61" s="39" t="s">
        <v>1710</v>
      </c>
      <c r="G61" s="125">
        <f t="shared" si="5"/>
        <v>1.7361111111111112E-2</v>
      </c>
      <c r="H61" s="39" t="s">
        <v>1711</v>
      </c>
      <c r="I61" s="125">
        <f t="shared" si="6"/>
        <v>8.6805555555555559E-3</v>
      </c>
      <c r="J61" s="39" t="s">
        <v>1712</v>
      </c>
      <c r="K61" s="125">
        <f t="shared" si="7"/>
        <v>8.6805555555555559E-3</v>
      </c>
      <c r="Q61" s="154" t="str">
        <f t="shared" si="0"/>
        <v>0.0347222222222222，正确</v>
      </c>
      <c r="R61" s="63">
        <f>'鱼属性|FishAttribute'!E27</f>
        <v>30</v>
      </c>
      <c r="S61" s="163">
        <f t="shared" si="3"/>
        <v>3.4722222222222224E-2</v>
      </c>
    </row>
    <row r="62" spans="1:19" x14ac:dyDescent="0.35">
      <c r="A62" s="1">
        <v>4624</v>
      </c>
      <c r="B62" s="1">
        <v>3</v>
      </c>
      <c r="C62" s="1">
        <v>1</v>
      </c>
      <c r="D62" s="1">
        <v>1</v>
      </c>
      <c r="E62" s="143">
        <f t="shared" si="4"/>
        <v>4.0509259259259266E-2</v>
      </c>
      <c r="F62" s="39" t="s">
        <v>1710</v>
      </c>
      <c r="G62" s="125">
        <f t="shared" si="5"/>
        <v>2.0254629629629633E-2</v>
      </c>
      <c r="H62" s="39" t="s">
        <v>1711</v>
      </c>
      <c r="I62" s="125">
        <f t="shared" si="6"/>
        <v>1.0127314814814816E-2</v>
      </c>
      <c r="J62" s="39" t="s">
        <v>1712</v>
      </c>
      <c r="K62" s="125">
        <f t="shared" si="7"/>
        <v>1.0127314814814816E-2</v>
      </c>
      <c r="Q62" s="154" t="str">
        <f t="shared" si="0"/>
        <v>0.0405092592592593，正确</v>
      </c>
      <c r="R62" s="63">
        <f>'鱼属性|FishAttribute'!E28</f>
        <v>35</v>
      </c>
      <c r="S62" s="163">
        <f t="shared" si="3"/>
        <v>4.0509259259259266E-2</v>
      </c>
    </row>
    <row r="63" spans="1:19" x14ac:dyDescent="0.35">
      <c r="A63" s="1">
        <v>4625</v>
      </c>
      <c r="B63" s="1">
        <v>3</v>
      </c>
      <c r="C63" s="1">
        <v>1</v>
      </c>
      <c r="D63" s="1">
        <v>1</v>
      </c>
      <c r="E63" s="143">
        <f t="shared" si="4"/>
        <v>4.6296296296296301E-2</v>
      </c>
      <c r="F63" s="39" t="s">
        <v>1710</v>
      </c>
      <c r="G63" s="125">
        <f t="shared" si="5"/>
        <v>2.314814814814815E-2</v>
      </c>
      <c r="H63" s="39" t="s">
        <v>1711</v>
      </c>
      <c r="I63" s="125">
        <f t="shared" si="6"/>
        <v>1.1574074074074075E-2</v>
      </c>
      <c r="J63" s="39" t="s">
        <v>1712</v>
      </c>
      <c r="K63" s="125">
        <f t="shared" si="7"/>
        <v>1.1574074074074075E-2</v>
      </c>
      <c r="Q63" s="154" t="str">
        <f t="shared" si="0"/>
        <v>0.0462962962962963，正确</v>
      </c>
      <c r="R63" s="63">
        <f>'鱼属性|FishAttribute'!E29</f>
        <v>40</v>
      </c>
      <c r="S63" s="163">
        <f t="shared" si="3"/>
        <v>4.6296296296296301E-2</v>
      </c>
    </row>
    <row r="64" spans="1:19" x14ac:dyDescent="0.35">
      <c r="A64" s="1">
        <v>4626</v>
      </c>
      <c r="B64" s="1">
        <v>3</v>
      </c>
      <c r="C64" s="1">
        <v>1</v>
      </c>
      <c r="D64" s="1">
        <v>1</v>
      </c>
      <c r="E64" s="143">
        <f t="shared" si="4"/>
        <v>5.3240740740740734E-2</v>
      </c>
      <c r="F64" s="39" t="s">
        <v>1710</v>
      </c>
      <c r="G64" s="125">
        <f t="shared" si="5"/>
        <v>2.6620370370370367E-2</v>
      </c>
      <c r="H64" s="39" t="s">
        <v>1711</v>
      </c>
      <c r="I64" s="125">
        <f t="shared" si="6"/>
        <v>1.3310185185185184E-2</v>
      </c>
      <c r="J64" s="39" t="s">
        <v>1712</v>
      </c>
      <c r="K64" s="125">
        <f t="shared" si="7"/>
        <v>1.3310185185185184E-2</v>
      </c>
      <c r="Q64" s="154" t="str">
        <f t="shared" si="0"/>
        <v>0.0532407407407407，正确</v>
      </c>
      <c r="R64" s="63">
        <f>'鱼属性|FishAttribute'!E30</f>
        <v>46</v>
      </c>
      <c r="S64" s="163">
        <f t="shared" si="3"/>
        <v>5.3240740740740734E-2</v>
      </c>
    </row>
    <row r="65" spans="1:19" x14ac:dyDescent="0.35">
      <c r="A65" s="1">
        <v>4627</v>
      </c>
      <c r="B65" s="1">
        <v>3</v>
      </c>
      <c r="C65" s="1">
        <v>1</v>
      </c>
      <c r="D65" s="1">
        <v>1</v>
      </c>
      <c r="E65" s="143">
        <f t="shared" si="4"/>
        <v>6.1342592592592594E-2</v>
      </c>
      <c r="F65" s="39" t="s">
        <v>1710</v>
      </c>
      <c r="G65" s="125">
        <f t="shared" si="5"/>
        <v>3.0671296296296297E-2</v>
      </c>
      <c r="H65" s="39" t="s">
        <v>1711</v>
      </c>
      <c r="I65" s="125">
        <f t="shared" si="6"/>
        <v>1.5335648148148149E-2</v>
      </c>
      <c r="J65" s="39" t="s">
        <v>1712</v>
      </c>
      <c r="K65" s="125">
        <f t="shared" si="7"/>
        <v>1.5335648148148149E-2</v>
      </c>
      <c r="Q65" s="154" t="str">
        <f t="shared" si="0"/>
        <v>0.0613425925925926，正确</v>
      </c>
      <c r="R65" s="63">
        <f>'鱼属性|FishAttribute'!E31</f>
        <v>53</v>
      </c>
      <c r="S65" s="163">
        <f t="shared" si="3"/>
        <v>6.1342592592592594E-2</v>
      </c>
    </row>
    <row r="66" spans="1:19" x14ac:dyDescent="0.35">
      <c r="A66" s="1">
        <v>4628</v>
      </c>
      <c r="B66" s="1">
        <v>3</v>
      </c>
      <c r="C66" s="1">
        <v>1</v>
      </c>
      <c r="D66" s="1">
        <v>1</v>
      </c>
      <c r="E66" s="143">
        <f t="shared" si="4"/>
        <v>6.25E-2</v>
      </c>
      <c r="F66" s="39" t="s">
        <v>1710</v>
      </c>
      <c r="G66" s="125">
        <f t="shared" si="5"/>
        <v>3.125E-2</v>
      </c>
      <c r="H66" s="39" t="s">
        <v>1711</v>
      </c>
      <c r="I66" s="125">
        <f t="shared" si="6"/>
        <v>1.5625E-2</v>
      </c>
      <c r="J66" s="39" t="s">
        <v>1712</v>
      </c>
      <c r="K66" s="125">
        <f t="shared" si="7"/>
        <v>1.5625E-2</v>
      </c>
      <c r="Q66" s="154" t="str">
        <f t="shared" si="0"/>
        <v>0.0625，正确</v>
      </c>
      <c r="R66" s="63">
        <f>'鱼属性|FishAttribute'!E32</f>
        <v>54</v>
      </c>
      <c r="S66" s="163">
        <f t="shared" si="3"/>
        <v>6.25E-2</v>
      </c>
    </row>
    <row r="67" spans="1:19" x14ac:dyDescent="0.35">
      <c r="A67" s="1">
        <v>4629</v>
      </c>
      <c r="B67" s="1">
        <v>3</v>
      </c>
      <c r="C67" s="1">
        <v>1</v>
      </c>
      <c r="D67" s="1">
        <v>1</v>
      </c>
      <c r="E67" s="143">
        <f t="shared" si="4"/>
        <v>6.0329861111111105E-2</v>
      </c>
      <c r="F67" s="168" t="s">
        <v>1705</v>
      </c>
      <c r="G67" s="125">
        <f t="shared" si="5"/>
        <v>2.0109953703703703E-2</v>
      </c>
      <c r="H67" s="39" t="s">
        <v>1711</v>
      </c>
      <c r="I67" s="125">
        <f t="shared" si="6"/>
        <v>2.0109953703703703E-2</v>
      </c>
      <c r="J67" s="39" t="s">
        <v>1712</v>
      </c>
      <c r="K67" s="125">
        <f t="shared" si="7"/>
        <v>2.0109953703703703E-2</v>
      </c>
      <c r="Q67" s="154" t="str">
        <f t="shared" si="0"/>
        <v>0.0603298611111111，正确</v>
      </c>
      <c r="R67" s="63">
        <f>'鱼属性|FishAttribute'!E33</f>
        <v>69.5</v>
      </c>
      <c r="S67" s="163">
        <f t="shared" si="3"/>
        <v>6.0329861111111105E-2</v>
      </c>
    </row>
    <row r="68" spans="1:19" x14ac:dyDescent="0.35">
      <c r="A68" s="1">
        <v>4630</v>
      </c>
      <c r="B68" s="1">
        <v>3</v>
      </c>
      <c r="C68" s="1">
        <v>1</v>
      </c>
      <c r="D68" s="1">
        <v>1</v>
      </c>
      <c r="E68" s="143">
        <f t="shared" si="4"/>
        <v>7.5520833333333329E-2</v>
      </c>
      <c r="F68" s="168" t="s">
        <v>1705</v>
      </c>
      <c r="G68" s="125">
        <f t="shared" si="5"/>
        <v>2.5173611111111108E-2</v>
      </c>
      <c r="H68" s="39" t="s">
        <v>1711</v>
      </c>
      <c r="I68" s="125">
        <f t="shared" si="6"/>
        <v>2.5173611111111108E-2</v>
      </c>
      <c r="J68" s="39" t="s">
        <v>1712</v>
      </c>
      <c r="K68" s="125">
        <f t="shared" si="7"/>
        <v>2.5173611111111108E-2</v>
      </c>
      <c r="Q68" s="154" t="str">
        <f t="shared" si="0"/>
        <v>0.0755208333333333，正确</v>
      </c>
      <c r="R68" s="63">
        <f>'鱼属性|FishAttribute'!E34</f>
        <v>87</v>
      </c>
      <c r="S68" s="163">
        <f t="shared" si="3"/>
        <v>7.5520833333333329E-2</v>
      </c>
    </row>
    <row r="69" spans="1:19" x14ac:dyDescent="0.35">
      <c r="A69" s="1">
        <v>4631</v>
      </c>
      <c r="B69" s="1">
        <v>3</v>
      </c>
      <c r="C69" s="1">
        <v>1</v>
      </c>
      <c r="D69" s="1">
        <v>1</v>
      </c>
      <c r="E69" s="143">
        <f t="shared" si="4"/>
        <v>8.3333333333333343E-2</v>
      </c>
      <c r="F69" s="168" t="s">
        <v>1705</v>
      </c>
      <c r="G69" s="125">
        <f t="shared" si="5"/>
        <v>2.777777777777778E-2</v>
      </c>
      <c r="H69" s="39" t="s">
        <v>1711</v>
      </c>
      <c r="I69" s="125">
        <f t="shared" si="6"/>
        <v>2.777777777777778E-2</v>
      </c>
      <c r="J69" s="39" t="s">
        <v>1712</v>
      </c>
      <c r="K69" s="125">
        <f t="shared" si="7"/>
        <v>2.777777777777778E-2</v>
      </c>
      <c r="Q69" s="154" t="str">
        <f t="shared" si="0"/>
        <v>0.0833333333333333，正确</v>
      </c>
      <c r="R69" s="63">
        <f>'鱼属性|FishAttribute'!E35</f>
        <v>96</v>
      </c>
      <c r="S69" s="163">
        <f t="shared" si="3"/>
        <v>8.3333333333333343E-2</v>
      </c>
    </row>
    <row r="70" spans="1:19" x14ac:dyDescent="0.35">
      <c r="A70" s="1">
        <v>4632</v>
      </c>
      <c r="B70" s="1">
        <v>3</v>
      </c>
      <c r="C70" s="1">
        <v>1</v>
      </c>
      <c r="D70" s="1">
        <v>1</v>
      </c>
      <c r="E70" s="143">
        <f t="shared" si="4"/>
        <v>8.0295138888888895E-2</v>
      </c>
      <c r="F70" s="168" t="s">
        <v>1705</v>
      </c>
      <c r="G70" s="125">
        <f t="shared" si="5"/>
        <v>3.2118055555555559E-2</v>
      </c>
      <c r="H70" s="39" t="s">
        <v>1711</v>
      </c>
      <c r="I70" s="125">
        <f t="shared" si="6"/>
        <v>3.2118055555555559E-2</v>
      </c>
      <c r="J70" s="169" t="s">
        <v>1707</v>
      </c>
      <c r="K70" s="125">
        <f t="shared" si="7"/>
        <v>1.605902777777778E-2</v>
      </c>
      <c r="Q70" s="154" t="str">
        <f t="shared" si="0"/>
        <v>0.0802951388888889，正确</v>
      </c>
      <c r="R70" s="63">
        <f>'鱼属性|FishAttribute'!E36</f>
        <v>111</v>
      </c>
      <c r="S70" s="163">
        <f t="shared" si="3"/>
        <v>8.0295138888888895E-2</v>
      </c>
    </row>
    <row r="71" spans="1:19" x14ac:dyDescent="0.35">
      <c r="A71" s="1">
        <v>4633</v>
      </c>
      <c r="B71" s="1">
        <v>3</v>
      </c>
      <c r="C71" s="1">
        <v>1</v>
      </c>
      <c r="D71" s="1">
        <v>1</v>
      </c>
      <c r="E71" s="143">
        <f t="shared" si="4"/>
        <v>8.6443865740740755E-2</v>
      </c>
      <c r="F71" s="168" t="s">
        <v>1705</v>
      </c>
      <c r="G71" s="125">
        <f t="shared" si="5"/>
        <v>3.4577546296296301E-2</v>
      </c>
      <c r="H71" s="39" t="s">
        <v>1711</v>
      </c>
      <c r="I71" s="125">
        <f t="shared" si="6"/>
        <v>3.4577546296296301E-2</v>
      </c>
      <c r="J71" s="169" t="s">
        <v>1707</v>
      </c>
      <c r="K71" s="125">
        <f t="shared" si="7"/>
        <v>1.728877314814815E-2</v>
      </c>
      <c r="Q71" s="154" t="str">
        <f t="shared" si="0"/>
        <v>0.0864438657407408，正确</v>
      </c>
      <c r="R71" s="63">
        <f>'鱼属性|FishAttribute'!E37</f>
        <v>119.5</v>
      </c>
      <c r="S71" s="163">
        <f t="shared" si="3"/>
        <v>8.6443865740740755E-2</v>
      </c>
    </row>
    <row r="72" spans="1:19" x14ac:dyDescent="0.35">
      <c r="A72" s="1">
        <v>4634</v>
      </c>
      <c r="B72" s="1">
        <v>3</v>
      </c>
      <c r="C72" s="1">
        <v>1</v>
      </c>
      <c r="D72" s="1">
        <v>1</v>
      </c>
      <c r="E72" s="143">
        <f t="shared" si="4"/>
        <v>9.9826388888888895E-2</v>
      </c>
      <c r="F72" s="168" t="s">
        <v>1705</v>
      </c>
      <c r="G72" s="125">
        <f t="shared" si="5"/>
        <v>3.9930555555555559E-2</v>
      </c>
      <c r="H72" s="39" t="s">
        <v>1711</v>
      </c>
      <c r="I72" s="125">
        <f t="shared" si="6"/>
        <v>3.9930555555555559E-2</v>
      </c>
      <c r="J72" s="169" t="s">
        <v>1707</v>
      </c>
      <c r="K72" s="125">
        <f t="shared" si="7"/>
        <v>1.996527777777778E-2</v>
      </c>
      <c r="Q72" s="154" t="str">
        <f t="shared" si="0"/>
        <v>0.0998263888888889，正确</v>
      </c>
      <c r="R72" s="63">
        <f>'鱼属性|FishAttribute'!E38</f>
        <v>138</v>
      </c>
      <c r="S72" s="163">
        <f t="shared" si="3"/>
        <v>9.9826388888888895E-2</v>
      </c>
    </row>
    <row r="73" spans="1:19" x14ac:dyDescent="0.35">
      <c r="A73" s="1">
        <v>4635</v>
      </c>
      <c r="B73" s="1">
        <v>3</v>
      </c>
      <c r="C73" s="1">
        <v>1</v>
      </c>
      <c r="D73" s="1">
        <v>1</v>
      </c>
      <c r="E73" s="143">
        <f t="shared" si="4"/>
        <v>0.1736111111111111</v>
      </c>
      <c r="F73" s="168" t="s">
        <v>1705</v>
      </c>
      <c r="G73" s="125">
        <f t="shared" si="5"/>
        <v>6.9444444444444448E-2</v>
      </c>
      <c r="H73" s="39" t="s">
        <v>1711</v>
      </c>
      <c r="I73" s="125">
        <f t="shared" si="6"/>
        <v>6.9444444444444448E-2</v>
      </c>
      <c r="J73" s="169" t="s">
        <v>1707</v>
      </c>
      <c r="K73" s="125">
        <f t="shared" si="7"/>
        <v>3.4722222222222224E-2</v>
      </c>
      <c r="Q73" s="154" t="str">
        <f t="shared" si="0"/>
        <v>0.173611111111111，正确</v>
      </c>
      <c r="R73" s="63">
        <f>'鱼属性|FishAttribute'!E39</f>
        <v>240</v>
      </c>
      <c r="S73" s="163">
        <f t="shared" si="3"/>
        <v>0.1736111111111111</v>
      </c>
    </row>
    <row r="74" spans="1:19" x14ac:dyDescent="0.35">
      <c r="A74" s="1">
        <v>4636</v>
      </c>
      <c r="B74" s="1">
        <v>3</v>
      </c>
      <c r="C74" s="1">
        <v>1</v>
      </c>
      <c r="D74" s="1">
        <v>1</v>
      </c>
      <c r="E74" s="143">
        <f t="shared" si="4"/>
        <v>0.1736111111111111</v>
      </c>
      <c r="F74" s="168" t="s">
        <v>1705</v>
      </c>
      <c r="G74" s="125">
        <f t="shared" si="5"/>
        <v>6.9444444444444448E-2</v>
      </c>
      <c r="H74" s="39" t="s">
        <v>1711</v>
      </c>
      <c r="I74" s="125">
        <f t="shared" si="6"/>
        <v>6.9444444444444448E-2</v>
      </c>
      <c r="J74" s="169" t="s">
        <v>1707</v>
      </c>
      <c r="K74" s="125">
        <f t="shared" si="7"/>
        <v>3.4722222222222224E-2</v>
      </c>
      <c r="Q74" s="154" t="str">
        <f t="shared" si="0"/>
        <v>0.173611111111111，正确</v>
      </c>
      <c r="R74" s="63">
        <f>'鱼属性|FishAttribute'!E40</f>
        <v>240</v>
      </c>
      <c r="S74" s="163">
        <f t="shared" si="3"/>
        <v>0.1736111111111111</v>
      </c>
    </row>
    <row r="75" spans="1:19" x14ac:dyDescent="0.35">
      <c r="A75" s="1">
        <v>4637</v>
      </c>
      <c r="B75" s="1">
        <v>3</v>
      </c>
      <c r="C75" s="1">
        <v>1</v>
      </c>
      <c r="D75" s="1">
        <v>1</v>
      </c>
      <c r="E75" s="143">
        <f t="shared" si="4"/>
        <v>0.11574074074074074</v>
      </c>
      <c r="F75" s="168" t="s">
        <v>1705</v>
      </c>
      <c r="G75" s="125">
        <f t="shared" si="5"/>
        <v>5.7870370370370371E-2</v>
      </c>
      <c r="H75" s="168" t="s">
        <v>1706</v>
      </c>
      <c r="I75" s="125">
        <f t="shared" si="6"/>
        <v>2.8935185185185185E-2</v>
      </c>
      <c r="J75" s="169" t="s">
        <v>1707</v>
      </c>
      <c r="K75" s="125">
        <f t="shared" si="7"/>
        <v>2.8935185185185185E-2</v>
      </c>
      <c r="Q75" s="154" t="str">
        <f t="shared" si="0"/>
        <v>0.115740740740741，正确</v>
      </c>
      <c r="R75" s="63">
        <f>'鱼属性|FishAttribute'!E41</f>
        <v>200</v>
      </c>
      <c r="S75" s="163">
        <f t="shared" si="3"/>
        <v>0.11574074074074074</v>
      </c>
    </row>
    <row r="76" spans="1:19" x14ac:dyDescent="0.35">
      <c r="A76" s="1">
        <v>4638</v>
      </c>
      <c r="B76" s="1">
        <v>3</v>
      </c>
      <c r="C76" s="1">
        <v>1</v>
      </c>
      <c r="D76" s="1">
        <v>1</v>
      </c>
      <c r="E76" s="143">
        <f t="shared" si="4"/>
        <v>0.11574074074074076</v>
      </c>
      <c r="F76" s="169" t="s">
        <v>1771</v>
      </c>
      <c r="G76" s="125">
        <f t="shared" si="5"/>
        <v>5.7870370370370378E-2</v>
      </c>
      <c r="H76" s="169" t="s">
        <v>1745</v>
      </c>
      <c r="I76" s="125">
        <f t="shared" si="6"/>
        <v>2.8935185185185189E-2</v>
      </c>
      <c r="J76" s="168" t="s">
        <v>1772</v>
      </c>
      <c r="K76" s="125">
        <f t="shared" si="7"/>
        <v>2.8935185185185189E-2</v>
      </c>
      <c r="Q76" s="154" t="str">
        <f t="shared" si="0"/>
        <v>0.115740740740741，正确</v>
      </c>
      <c r="R76" s="63">
        <f>'鱼属性|FishAttribute'!E42</f>
        <v>300</v>
      </c>
      <c r="S76" s="163">
        <f t="shared" si="3"/>
        <v>0.11574074074074076</v>
      </c>
    </row>
    <row r="77" spans="1:19" x14ac:dyDescent="0.35">
      <c r="A77" s="1">
        <v>4639</v>
      </c>
      <c r="B77" s="1">
        <v>3</v>
      </c>
      <c r="C77" s="1">
        <v>1</v>
      </c>
      <c r="D77" s="1">
        <v>1</v>
      </c>
      <c r="E77" s="143">
        <f t="shared" si="4"/>
        <v>0.18084490740740741</v>
      </c>
      <c r="F77" s="169" t="s">
        <v>1771</v>
      </c>
      <c r="G77" s="125">
        <f t="shared" si="5"/>
        <v>9.6450617283950615E-2</v>
      </c>
      <c r="H77" s="169" t="s">
        <v>1745</v>
      </c>
      <c r="I77" s="125">
        <f t="shared" si="6"/>
        <v>4.8225308641975308E-2</v>
      </c>
      <c r="J77" s="169" t="s">
        <v>1717</v>
      </c>
      <c r="K77" s="125">
        <f t="shared" si="7"/>
        <v>3.6168981481481483E-2</v>
      </c>
      <c r="Q77" s="154" t="str">
        <f t="shared" si="0"/>
        <v>0.180844907407407，正确</v>
      </c>
      <c r="R77" s="63">
        <f>'鱼属性|FishAttribute'!E43</f>
        <v>500</v>
      </c>
      <c r="S77" s="163">
        <f t="shared" si="3"/>
        <v>0.18084490740740741</v>
      </c>
    </row>
    <row r="78" spans="1:19" x14ac:dyDescent="0.35">
      <c r="A78" s="1">
        <v>4640</v>
      </c>
      <c r="B78" s="1">
        <v>3</v>
      </c>
      <c r="C78" s="1">
        <v>1</v>
      </c>
      <c r="D78" s="1">
        <v>1</v>
      </c>
      <c r="E78" s="143">
        <f t="shared" si="4"/>
        <v>0.1253858024691358</v>
      </c>
      <c r="F78" s="39" t="s">
        <v>1715</v>
      </c>
      <c r="G78" s="125">
        <f t="shared" si="5"/>
        <v>5.7870370370370371E-2</v>
      </c>
      <c r="H78" s="169" t="s">
        <v>1745</v>
      </c>
      <c r="I78" s="125">
        <f t="shared" si="6"/>
        <v>3.8580246913580245E-2</v>
      </c>
      <c r="J78" s="169" t="s">
        <v>1717</v>
      </c>
      <c r="K78" s="125">
        <f t="shared" si="7"/>
        <v>2.8935185185185185E-2</v>
      </c>
      <c r="Q78" s="154" t="str">
        <f t="shared" si="0"/>
        <v>0.125385802469136，正确</v>
      </c>
      <c r="R78" s="63">
        <f>'鱼属性|FishAttribute'!E44</f>
        <v>400</v>
      </c>
      <c r="S78" s="163">
        <f t="shared" si="3"/>
        <v>0.1253858024691358</v>
      </c>
    </row>
    <row r="79" spans="1:19" x14ac:dyDescent="0.35">
      <c r="A79" s="1">
        <v>4641</v>
      </c>
      <c r="B79" s="1">
        <v>3</v>
      </c>
      <c r="C79" s="1">
        <v>1</v>
      </c>
      <c r="D79" s="1">
        <v>1</v>
      </c>
      <c r="E79" s="143">
        <f t="shared" si="4"/>
        <v>0.25077160493827161</v>
      </c>
      <c r="F79" s="39" t="s">
        <v>1715</v>
      </c>
      <c r="G79" s="125">
        <f t="shared" si="5"/>
        <v>0.11574074074074074</v>
      </c>
      <c r="H79" s="169" t="s">
        <v>1745</v>
      </c>
      <c r="I79" s="125">
        <f t="shared" si="6"/>
        <v>7.716049382716049E-2</v>
      </c>
      <c r="J79" s="169" t="s">
        <v>1717</v>
      </c>
      <c r="K79" s="125">
        <f t="shared" si="7"/>
        <v>5.7870370370370371E-2</v>
      </c>
      <c r="Q79" s="154" t="str">
        <f t="shared" si="0"/>
        <v>0.250771604938272，正确</v>
      </c>
      <c r="R79" s="63">
        <f>'鱼属性|FishAttribute'!E45</f>
        <v>800</v>
      </c>
      <c r="S79" s="163">
        <f t="shared" si="3"/>
        <v>0.25077160493827161</v>
      </c>
    </row>
    <row r="80" spans="1:19" x14ac:dyDescent="0.35">
      <c r="A80" s="1">
        <v>4642</v>
      </c>
      <c r="B80" s="1">
        <v>3</v>
      </c>
      <c r="C80" s="1">
        <v>1</v>
      </c>
      <c r="D80" s="1">
        <v>1</v>
      </c>
      <c r="E80" s="143">
        <f t="shared" si="4"/>
        <v>0.15625000000000003</v>
      </c>
      <c r="F80" s="169" t="s">
        <v>1732</v>
      </c>
      <c r="G80" s="125">
        <f t="shared" si="5"/>
        <v>6.9444444444444448E-2</v>
      </c>
      <c r="H80" s="168" t="s">
        <v>1773</v>
      </c>
      <c r="I80" s="125">
        <f t="shared" si="6"/>
        <v>4.3402777777777783E-2</v>
      </c>
      <c r="J80" s="169" t="s">
        <v>1717</v>
      </c>
      <c r="K80" s="125">
        <f t="shared" si="7"/>
        <v>4.3402777777777783E-2</v>
      </c>
      <c r="Q80" s="154" t="str">
        <f t="shared" si="0"/>
        <v>0.15625，正确</v>
      </c>
      <c r="R80" s="63">
        <f>'鱼属性|FishAttribute'!E46</f>
        <v>600</v>
      </c>
      <c r="S80" s="163">
        <f t="shared" si="3"/>
        <v>0.15625000000000003</v>
      </c>
    </row>
    <row r="81" spans="1:20" x14ac:dyDescent="0.35">
      <c r="A81" s="1">
        <v>4643</v>
      </c>
      <c r="B81" s="1">
        <v>3</v>
      </c>
      <c r="C81" s="1">
        <v>1</v>
      </c>
      <c r="D81" s="1">
        <v>1</v>
      </c>
      <c r="E81" s="143">
        <f t="shared" si="4"/>
        <v>0.26041666666666669</v>
      </c>
      <c r="F81" s="169" t="s">
        <v>1732</v>
      </c>
      <c r="G81" s="125">
        <f t="shared" si="5"/>
        <v>0.11574074074074074</v>
      </c>
      <c r="H81" s="168" t="s">
        <v>1773</v>
      </c>
      <c r="I81" s="125">
        <f t="shared" si="6"/>
        <v>7.2337962962962965E-2</v>
      </c>
      <c r="J81" s="169" t="s">
        <v>1717</v>
      </c>
      <c r="K81" s="125">
        <f t="shared" si="7"/>
        <v>7.2337962962962965E-2</v>
      </c>
      <c r="Q81" s="154" t="str">
        <f t="shared" si="0"/>
        <v>0.260416666666667，正确</v>
      </c>
      <c r="R81" s="63">
        <f>'鱼属性|FishAttribute'!E47</f>
        <v>1000</v>
      </c>
      <c r="S81" s="163">
        <f t="shared" si="3"/>
        <v>0.26041666666666669</v>
      </c>
    </row>
    <row r="82" spans="1:20" x14ac:dyDescent="0.35">
      <c r="A82" s="1">
        <v>4644</v>
      </c>
      <c r="B82" s="1">
        <v>3</v>
      </c>
      <c r="C82" s="1">
        <v>1</v>
      </c>
      <c r="D82" s="1">
        <v>1</v>
      </c>
      <c r="E82" s="143">
        <f t="shared" si="4"/>
        <v>0.11574074074074074</v>
      </c>
      <c r="F82" s="39" t="s">
        <v>1705</v>
      </c>
      <c r="G82" s="125">
        <f t="shared" si="5"/>
        <v>5.7870370370370371E-2</v>
      </c>
      <c r="H82" s="169" t="s">
        <v>1706</v>
      </c>
      <c r="I82" s="125">
        <f t="shared" si="6"/>
        <v>2.8935185185185185E-2</v>
      </c>
      <c r="J82" s="168" t="s">
        <v>1707</v>
      </c>
      <c r="K82" s="125">
        <f t="shared" si="7"/>
        <v>2.8935185185185185E-2</v>
      </c>
      <c r="Q82" s="154" t="str">
        <f t="shared" si="0"/>
        <v>0.115740740740741，正确</v>
      </c>
      <c r="R82" s="63">
        <f>'鱼属性|FishAttribute'!E48</f>
        <v>200</v>
      </c>
      <c r="S82" s="163">
        <f t="shared" si="3"/>
        <v>0.11574074074074074</v>
      </c>
    </row>
    <row r="83" spans="1:20" x14ac:dyDescent="0.35">
      <c r="A83" s="1">
        <v>4645</v>
      </c>
      <c r="B83" s="1">
        <v>3</v>
      </c>
      <c r="C83" s="1">
        <v>1</v>
      </c>
      <c r="D83" s="1">
        <v>1</v>
      </c>
      <c r="E83" s="143">
        <f t="shared" si="4"/>
        <v>0.11574074074074074</v>
      </c>
      <c r="F83" s="39" t="s">
        <v>1705</v>
      </c>
      <c r="G83" s="125">
        <f t="shared" si="5"/>
        <v>5.7870370370370371E-2</v>
      </c>
      <c r="H83" s="169" t="s">
        <v>1706</v>
      </c>
      <c r="I83" s="125">
        <f t="shared" si="6"/>
        <v>2.8935185185185185E-2</v>
      </c>
      <c r="J83" s="168" t="s">
        <v>1707</v>
      </c>
      <c r="K83" s="125">
        <f t="shared" si="7"/>
        <v>2.8935185185185185E-2</v>
      </c>
      <c r="Q83" s="154" t="str">
        <f t="shared" si="0"/>
        <v>0.115740740740741，正确</v>
      </c>
      <c r="R83" s="63">
        <f>'鱼属性|FishAttribute'!E49</f>
        <v>200</v>
      </c>
      <c r="S83" s="163">
        <f t="shared" si="3"/>
        <v>0.11574074074074074</v>
      </c>
    </row>
    <row r="84" spans="1:20" x14ac:dyDescent="0.35">
      <c r="A84" s="1">
        <v>4646</v>
      </c>
      <c r="B84" s="1">
        <v>3</v>
      </c>
      <c r="C84" s="1">
        <v>1</v>
      </c>
      <c r="D84" s="1">
        <v>1</v>
      </c>
      <c r="E84" s="143">
        <f t="shared" si="4"/>
        <v>0.11574074074074074</v>
      </c>
      <c r="F84" s="39" t="s">
        <v>1705</v>
      </c>
      <c r="G84" s="125">
        <f t="shared" si="5"/>
        <v>5.7870370370370371E-2</v>
      </c>
      <c r="H84" s="169" t="s">
        <v>1706</v>
      </c>
      <c r="I84" s="125">
        <f t="shared" si="6"/>
        <v>2.8935185185185185E-2</v>
      </c>
      <c r="J84" s="168" t="s">
        <v>1707</v>
      </c>
      <c r="K84" s="125">
        <f t="shared" si="7"/>
        <v>2.8935185185185185E-2</v>
      </c>
      <c r="Q84" s="154" t="str">
        <f t="shared" si="0"/>
        <v>0.115740740740741，正确</v>
      </c>
      <c r="R84" s="63">
        <f>'鱼属性|FishAttribute'!E50</f>
        <v>200</v>
      </c>
      <c r="S84" s="163">
        <f t="shared" si="3"/>
        <v>0.11574074074074074</v>
      </c>
    </row>
    <row r="85" spans="1:20" x14ac:dyDescent="0.35">
      <c r="A85" s="1">
        <v>4647</v>
      </c>
      <c r="B85" s="1">
        <v>3</v>
      </c>
      <c r="C85" s="1">
        <v>1</v>
      </c>
      <c r="D85" s="1">
        <v>1</v>
      </c>
      <c r="E85" s="143">
        <f t="shared" si="4"/>
        <v>0.17361111111111113</v>
      </c>
      <c r="F85" s="39" t="s">
        <v>1705</v>
      </c>
      <c r="G85" s="125">
        <f t="shared" si="5"/>
        <v>8.6805555555555566E-2</v>
      </c>
      <c r="H85" s="169" t="s">
        <v>1706</v>
      </c>
      <c r="I85" s="125">
        <f t="shared" si="6"/>
        <v>4.3402777777777783E-2</v>
      </c>
      <c r="J85" s="168" t="s">
        <v>1707</v>
      </c>
      <c r="K85" s="125">
        <f t="shared" si="7"/>
        <v>4.3402777777777783E-2</v>
      </c>
      <c r="Q85" s="154" t="str">
        <f t="shared" si="0"/>
        <v>0.173611111111111，正确</v>
      </c>
      <c r="R85" s="63">
        <f>'鱼属性|FishAttribute'!E51</f>
        <v>300</v>
      </c>
      <c r="S85" s="163">
        <f t="shared" si="3"/>
        <v>0.17361111111111113</v>
      </c>
    </row>
    <row r="86" spans="1:20" x14ac:dyDescent="0.35">
      <c r="A86" s="1">
        <v>4648</v>
      </c>
      <c r="B86" s="1">
        <v>3</v>
      </c>
      <c r="C86" s="1">
        <v>1</v>
      </c>
      <c r="D86" s="1">
        <v>1</v>
      </c>
      <c r="E86" s="143">
        <f t="shared" si="4"/>
        <v>0.17361111111111113</v>
      </c>
      <c r="F86" s="169" t="s">
        <v>1710</v>
      </c>
      <c r="G86" s="125">
        <f t="shared" si="5"/>
        <v>8.6805555555555566E-2</v>
      </c>
      <c r="H86" s="39" t="s">
        <v>1711</v>
      </c>
      <c r="I86" s="125">
        <f t="shared" si="6"/>
        <v>4.3402777777777783E-2</v>
      </c>
      <c r="J86" s="39" t="s">
        <v>1712</v>
      </c>
      <c r="K86" s="125">
        <f t="shared" si="7"/>
        <v>4.3402777777777783E-2</v>
      </c>
      <c r="Q86" s="154" t="str">
        <f t="shared" si="0"/>
        <v>0.173611111111111，正确</v>
      </c>
      <c r="R86" s="63">
        <f>'鱼属性|FishAttribute'!E52</f>
        <v>150</v>
      </c>
      <c r="S86" s="163">
        <f t="shared" si="3"/>
        <v>0.17361111111111113</v>
      </c>
    </row>
    <row r="87" spans="1:20" x14ac:dyDescent="0.35">
      <c r="A87" s="1">
        <v>4649</v>
      </c>
      <c r="B87" s="1">
        <v>3</v>
      </c>
      <c r="C87" s="1">
        <v>1</v>
      </c>
      <c r="D87" s="1">
        <v>1</v>
      </c>
      <c r="E87" s="143">
        <f t="shared" si="4"/>
        <v>0.17361111111111113</v>
      </c>
      <c r="F87" s="169" t="s">
        <v>1710</v>
      </c>
      <c r="G87" s="125">
        <f t="shared" si="5"/>
        <v>8.6805555555555566E-2</v>
      </c>
      <c r="H87" s="39" t="s">
        <v>1711</v>
      </c>
      <c r="I87" s="125">
        <f t="shared" si="6"/>
        <v>4.3402777777777783E-2</v>
      </c>
      <c r="J87" s="39" t="s">
        <v>1712</v>
      </c>
      <c r="K87" s="125">
        <f t="shared" si="7"/>
        <v>4.3402777777777783E-2</v>
      </c>
      <c r="Q87" s="154" t="str">
        <f t="shared" si="0"/>
        <v>0.173611111111111，正确</v>
      </c>
      <c r="R87" s="63">
        <f>'鱼属性|FishAttribute'!E53</f>
        <v>150</v>
      </c>
      <c r="S87" s="163">
        <f t="shared" si="3"/>
        <v>0.17361111111111113</v>
      </c>
    </row>
    <row r="88" spans="1:20" x14ac:dyDescent="0.35">
      <c r="A88" s="1">
        <v>4650</v>
      </c>
      <c r="B88" s="1">
        <v>3</v>
      </c>
      <c r="C88" s="1">
        <v>1</v>
      </c>
      <c r="D88" s="1">
        <v>1</v>
      </c>
      <c r="E88" s="143">
        <f t="shared" si="4"/>
        <v>0.17361111111111113</v>
      </c>
      <c r="F88" s="39" t="s">
        <v>1705</v>
      </c>
      <c r="G88" s="125">
        <f t="shared" si="5"/>
        <v>8.6805555555555566E-2</v>
      </c>
      <c r="H88" s="39" t="s">
        <v>1706</v>
      </c>
      <c r="I88" s="125">
        <f t="shared" si="6"/>
        <v>4.3402777777777783E-2</v>
      </c>
      <c r="J88" s="39" t="s">
        <v>1707</v>
      </c>
      <c r="K88" s="125">
        <f t="shared" si="7"/>
        <v>4.3402777777777783E-2</v>
      </c>
      <c r="Q88" s="154" t="str">
        <f t="shared" si="0"/>
        <v>0.173611111111111，正确</v>
      </c>
      <c r="R88" s="63">
        <f>'鱼属性|FishAttribute'!E54</f>
        <v>300</v>
      </c>
      <c r="S88" s="163">
        <f t="shared" si="3"/>
        <v>0.17361111111111113</v>
      </c>
    </row>
    <row r="89" spans="1:20" ht="15.6" customHeight="1" x14ac:dyDescent="0.25">
      <c r="A89" s="1">
        <v>4801</v>
      </c>
      <c r="B89" s="1">
        <v>1</v>
      </c>
      <c r="C89" s="1">
        <v>1</v>
      </c>
      <c r="D89" s="1">
        <v>1</v>
      </c>
      <c r="E89" s="1">
        <v>-1</v>
      </c>
      <c r="F89" s="1" t="s">
        <v>1746</v>
      </c>
      <c r="G89" s="72">
        <v>0.15</v>
      </c>
      <c r="H89" s="1" t="s">
        <v>1774</v>
      </c>
      <c r="I89" s="72">
        <v>0.05</v>
      </c>
      <c r="J89" s="1" t="s">
        <v>1748</v>
      </c>
      <c r="K89" s="72">
        <v>0.3</v>
      </c>
      <c r="L89" s="1" t="s">
        <v>1775</v>
      </c>
      <c r="M89" s="72">
        <v>0.1</v>
      </c>
      <c r="T89" s="170" t="s">
        <v>1776</v>
      </c>
    </row>
    <row r="90" spans="1:20" x14ac:dyDescent="0.25">
      <c r="T90" s="170"/>
    </row>
    <row r="91" spans="1:20" x14ac:dyDescent="0.25">
      <c r="T91" s="170"/>
    </row>
    <row r="92" spans="1:20" x14ac:dyDescent="0.25">
      <c r="T92" s="170"/>
    </row>
  </sheetData>
  <phoneticPr fontId="57" type="noConversion"/>
  <conditionalFormatting sqref="K14">
    <cfRule type="containsText" dxfId="581" priority="503" operator="containsText" text=" ">
      <formula>NOT(ISERROR(SEARCH(" ",K14)))</formula>
    </cfRule>
  </conditionalFormatting>
  <conditionalFormatting sqref="M14">
    <cfRule type="containsText" dxfId="580" priority="502" operator="containsText" text=" ">
      <formula>NOT(ISERROR(SEARCH(" ",M14)))</formula>
    </cfRule>
  </conditionalFormatting>
  <conditionalFormatting sqref="F16"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:M16">
    <cfRule type="cellIs" dxfId="579" priority="441" operator="equal">
      <formula>0</formula>
    </cfRule>
  </conditionalFormatting>
  <conditionalFormatting sqref="H16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">
    <cfRule type="containsText" dxfId="578" priority="448" operator="containsText" text=" ">
      <formula>NOT(ISERROR(SEARCH(" ",I16)))</formula>
    </cfRule>
  </conditionalFormatting>
  <conditionalFormatting sqref="K16">
    <cfRule type="containsText" dxfId="577" priority="447" operator="containsText" text=" ">
      <formula>NOT(ISERROR(SEARCH(" ",K16)))</formula>
    </cfRule>
  </conditionalFormatting>
  <conditionalFormatting sqref="M16">
    <cfRule type="containsText" dxfId="576" priority="446" operator="containsText" text=" ">
      <formula>NOT(ISERROR(SEARCH(" ",M16)))</formula>
    </cfRule>
  </conditionalFormatting>
  <conditionalFormatting sqref="O16">
    <cfRule type="containsText" dxfId="575" priority="453" operator="containsText" text=" ">
      <formula>NOT(ISERROR(SEARCH(" ",O16)))</formula>
    </cfRule>
  </conditionalFormatting>
  <conditionalFormatting sqref="Q16">
    <cfRule type="containsText" dxfId="574" priority="450" operator="containsText" text="正确">
      <formula>NOT(ISERROR(SEARCH("正确",Q16)))</formula>
    </cfRule>
    <cfRule type="cellIs" dxfId="573" priority="451" operator="equal">
      <formula>"正确"</formula>
    </cfRule>
    <cfRule type="containsText" dxfId="572" priority="452" operator="containsText" text="错误">
      <formula>NOT(ISERROR(SEARCH("错误",Q16)))</formula>
    </cfRule>
  </conditionalFormatting>
  <conditionalFormatting sqref="F17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0">
    <cfRule type="containsText" dxfId="571" priority="176" operator="containsText" text=" ">
      <formula>NOT(ISERROR(SEARCH(" ",O20)))</formula>
    </cfRule>
  </conditionalFormatting>
  <conditionalFormatting sqref="F21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:M21">
    <cfRule type="cellIs" dxfId="570" priority="145" operator="equal">
      <formula>0</formula>
    </cfRule>
  </conditionalFormatting>
  <conditionalFormatting sqref="H21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">
    <cfRule type="containsText" dxfId="569" priority="152" operator="containsText" text=" ">
      <formula>NOT(ISERROR(SEARCH(" ",I21)))</formula>
    </cfRule>
  </conditionalFormatting>
  <conditionalFormatting sqref="K21">
    <cfRule type="containsText" dxfId="568" priority="151" operator="containsText" text=" ">
      <formula>NOT(ISERROR(SEARCH(" ",K21)))</formula>
    </cfRule>
  </conditionalFormatting>
  <conditionalFormatting sqref="M21">
    <cfRule type="containsText" dxfId="567" priority="150" operator="containsText" text=" ">
      <formula>NOT(ISERROR(SEARCH(" ",M21)))</formula>
    </cfRule>
  </conditionalFormatting>
  <conditionalFormatting sqref="O21">
    <cfRule type="containsText" dxfId="566" priority="157" operator="containsText" text=" ">
      <formula>NOT(ISERROR(SEARCH(" ",O21)))</formula>
    </cfRule>
  </conditionalFormatting>
  <conditionalFormatting sqref="Q21">
    <cfRule type="containsText" dxfId="565" priority="154" operator="containsText" text="正确">
      <formula>NOT(ISERROR(SEARCH("正确",Q21)))</formula>
    </cfRule>
    <cfRule type="cellIs" dxfId="564" priority="155" operator="equal">
      <formula>"正确"</formula>
    </cfRule>
    <cfRule type="containsText" dxfId="563" priority="156" operator="containsText" text="错误">
      <formula>NOT(ISERROR(SEARCH("错误",Q21)))</formula>
    </cfRule>
  </conditionalFormatting>
  <conditionalFormatting sqref="F2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4">
    <cfRule type="containsText" dxfId="562" priority="179" operator="containsText" text=" ">
      <formula>NOT(ISERROR(SEARCH(" ",I24)))</formula>
    </cfRule>
  </conditionalFormatting>
  <conditionalFormatting sqref="K24">
    <cfRule type="containsText" dxfId="561" priority="178" operator="containsText" text=" ">
      <formula>NOT(ISERROR(SEARCH(" ",K24)))</formula>
    </cfRule>
  </conditionalFormatting>
  <conditionalFormatting sqref="M24">
    <cfRule type="containsText" dxfId="560" priority="177" operator="containsText" text=" ">
      <formula>NOT(ISERROR(SEARCH(" ",M24)))</formula>
    </cfRule>
  </conditionalFormatting>
  <conditionalFormatting sqref="F25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">
    <cfRule type="cellIs" dxfId="559" priority="9" operator="equal">
      <formula>0</formula>
    </cfRule>
    <cfRule type="containsText" dxfId="558" priority="10" operator="containsText" text=" ">
      <formula>NOT(ISERROR(SEARCH(" ",G25)))</formula>
    </cfRule>
  </conditionalFormatting>
  <conditionalFormatting sqref="O25">
    <cfRule type="containsText" dxfId="557" priority="132" operator="containsText" text=" ">
      <formula>NOT(ISERROR(SEARCH(" ",O25)))</formula>
    </cfRule>
  </conditionalFormatting>
  <conditionalFormatting sqref="F26">
    <cfRule type="cellIs" dxfId="556" priority="41" operator="equal">
      <formula>0</formula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55" priority="44" operator="containsText" text=" ">
      <formula>NOT(ISERROR(SEARCH(" ",F26)))</formula>
    </cfRule>
  </conditionalFormatting>
  <conditionalFormatting sqref="G26:M26">
    <cfRule type="cellIs" dxfId="554" priority="101" operator="equal">
      <formula>0</formula>
    </cfRule>
  </conditionalFormatting>
  <conditionalFormatting sqref="H26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6">
    <cfRule type="containsText" dxfId="553" priority="108" operator="containsText" text=" ">
      <formula>NOT(ISERROR(SEARCH(" ",I26)))</formula>
    </cfRule>
  </conditionalFormatting>
  <conditionalFormatting sqref="K26">
    <cfRule type="containsText" dxfId="552" priority="107" operator="containsText" text=" ">
      <formula>NOT(ISERROR(SEARCH(" ",K26)))</formula>
    </cfRule>
  </conditionalFormatting>
  <conditionalFormatting sqref="M26">
    <cfRule type="containsText" dxfId="551" priority="106" operator="containsText" text=" ">
      <formula>NOT(ISERROR(SEARCH(" ",M26)))</formula>
    </cfRule>
  </conditionalFormatting>
  <conditionalFormatting sqref="O26">
    <cfRule type="containsText" dxfId="550" priority="113" operator="containsText" text=" ">
      <formula>NOT(ISERROR(SEARCH(" ",O26)))</formula>
    </cfRule>
  </conditionalFormatting>
  <conditionalFormatting sqref="Q26">
    <cfRule type="containsText" dxfId="549" priority="110" operator="containsText" text="正确">
      <formula>NOT(ISERROR(SEARCH("正确",Q26)))</formula>
    </cfRule>
    <cfRule type="cellIs" dxfId="548" priority="111" operator="equal">
      <formula>"正确"</formula>
    </cfRule>
    <cfRule type="containsText" dxfId="547" priority="112" operator="containsText" text="错误">
      <formula>NOT(ISERROR(SEARCH("错误",Q26)))</formula>
    </cfRule>
  </conditionalFormatting>
  <conditionalFormatting sqref="F27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46" priority="31" operator="equal">
      <formula>0</formula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45" priority="34" operator="containsText" text=" ">
      <formula>NOT(ISERROR(SEARCH(" ",F27)))</formula>
    </cfRule>
  </conditionalFormatting>
  <conditionalFormatting sqref="F2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44" priority="25" operator="equal">
      <formula>0</formula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43" priority="28" operator="containsText" text=" ">
      <formula>NOT(ISERROR(SEARCH(" ",F28)))</formula>
    </cfRule>
  </conditionalFormatting>
  <conditionalFormatting sqref="F29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ntainsText" dxfId="542" priority="135" operator="containsText" text=" ">
      <formula>NOT(ISERROR(SEARCH(" ",I29)))</formula>
    </cfRule>
  </conditionalFormatting>
  <conditionalFormatting sqref="K29">
    <cfRule type="containsText" dxfId="541" priority="134" operator="containsText" text=" ">
      <formula>NOT(ISERROR(SEARCH(" ",K29)))</formula>
    </cfRule>
  </conditionalFormatting>
  <conditionalFormatting sqref="M29">
    <cfRule type="containsText" dxfId="540" priority="133" operator="containsText" text=" ">
      <formula>NOT(ISERROR(SEARCH(" ",M29)))</formula>
    </cfRule>
  </conditionalFormatting>
  <conditionalFormatting sqref="F30">
    <cfRule type="cellIs" dxfId="539" priority="3" operator="equal">
      <formula>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38" priority="6" operator="containsText" text=" ">
      <formula>NOT(ISERROR(SEARCH(" ",F30)))</formula>
    </cfRule>
  </conditionalFormatting>
  <conditionalFormatting sqref="G30">
    <cfRule type="cellIs" dxfId="537" priority="7" operator="equal">
      <formula>0</formula>
    </cfRule>
    <cfRule type="containsText" dxfId="536" priority="8" operator="containsText" text=" ">
      <formula>NOT(ISERROR(SEARCH(" ",G30)))</formula>
    </cfRule>
  </conditionalFormatting>
  <conditionalFormatting sqref="O30">
    <cfRule type="containsText" dxfId="535" priority="88" operator="containsText" text=" ">
      <formula>NOT(ISERROR(SEARCH(" ",O30)))</formula>
    </cfRule>
  </conditionalFormatting>
  <conditionalFormatting sqref="F31">
    <cfRule type="cellIs" dxfId="534" priority="37" operator="equal">
      <formula>0</formula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33" priority="40" operator="containsText" text=" ">
      <formula>NOT(ISERROR(SEARCH(" ",F31)))</formula>
    </cfRule>
  </conditionalFormatting>
  <conditionalFormatting sqref="G31:M31">
    <cfRule type="cellIs" dxfId="532" priority="57" operator="equal">
      <formula>0</formula>
    </cfRule>
  </conditionalFormatting>
  <conditionalFormatting sqref="H3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ntainsText" dxfId="531" priority="64" operator="containsText" text=" ">
      <formula>NOT(ISERROR(SEARCH(" ",I31)))</formula>
    </cfRule>
  </conditionalFormatting>
  <conditionalFormatting sqref="K31">
    <cfRule type="containsText" dxfId="530" priority="63" operator="containsText" text=" ">
      <formula>NOT(ISERROR(SEARCH(" ",K31)))</formula>
    </cfRule>
  </conditionalFormatting>
  <conditionalFormatting sqref="M31">
    <cfRule type="containsText" dxfId="529" priority="62" operator="containsText" text=" ">
      <formula>NOT(ISERROR(SEARCH(" ",M31)))</formula>
    </cfRule>
  </conditionalFormatting>
  <conditionalFormatting sqref="O31">
    <cfRule type="containsText" dxfId="528" priority="69" operator="containsText" text=" ">
      <formula>NOT(ISERROR(SEARCH(" ",O31)))</formula>
    </cfRule>
  </conditionalFormatting>
  <conditionalFormatting sqref="Q31">
    <cfRule type="containsText" dxfId="527" priority="66" operator="containsText" text="正确">
      <formula>NOT(ISERROR(SEARCH("正确",Q31)))</formula>
    </cfRule>
    <cfRule type="cellIs" dxfId="526" priority="67" operator="equal">
      <formula>"正确"</formula>
    </cfRule>
    <cfRule type="containsText" dxfId="525" priority="68" operator="containsText" text="错误">
      <formula>NOT(ISERROR(SEARCH("错误",Q31)))</formula>
    </cfRule>
  </conditionalFormatting>
  <conditionalFormatting sqref="F3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24" priority="19" operator="equal">
      <formula>0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23" priority="22" operator="containsText" text=" ">
      <formula>NOT(ISERROR(SEARCH(" ",F32)))</formula>
    </cfRule>
  </conditionalFormatting>
  <conditionalFormatting sqref="F3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22" priority="13" operator="equal">
      <formula>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21" priority="16" operator="containsText" text=" ">
      <formula>NOT(ISERROR(SEARCH(" ",F33)))</formula>
    </cfRule>
  </conditionalFormatting>
  <conditionalFormatting sqref="F34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4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">
    <cfRule type="containsText" dxfId="520" priority="91" operator="containsText" text=" ">
      <formula>NOT(ISERROR(SEARCH(" ",I34)))</formula>
    </cfRule>
  </conditionalFormatting>
  <conditionalFormatting sqref="K34">
    <cfRule type="containsText" dxfId="519" priority="90" operator="containsText" text=" ">
      <formula>NOT(ISERROR(SEARCH(" ",K34)))</formula>
    </cfRule>
  </conditionalFormatting>
  <conditionalFormatting sqref="M34">
    <cfRule type="containsText" dxfId="518" priority="89" operator="containsText" text=" ">
      <formula>NOT(ISERROR(SEARCH(" ",M34)))</formula>
    </cfRule>
  </conditionalFormatting>
  <conditionalFormatting sqref="B35:D35">
    <cfRule type="containsText" dxfId="517" priority="432" operator="containsText" text=" ">
      <formula>NOT(ISERROR(SEARCH(" ",B35)))</formula>
    </cfRule>
  </conditionalFormatting>
  <conditionalFormatting sqref="F35">
    <cfRule type="containsText" dxfId="516" priority="288" operator="containsText" text=" ">
      <formula>NOT(ISERROR(SEARCH(" ",F35)))</formula>
    </cfRule>
  </conditionalFormatting>
  <conditionalFormatting sqref="H35">
    <cfRule type="containsText" dxfId="515" priority="287" operator="containsText" text=" ">
      <formula>NOT(ISERROR(SEARCH(" ",H35)))</formula>
    </cfRule>
  </conditionalFormatting>
  <conditionalFormatting sqref="J35">
    <cfRule type="containsText" dxfId="514" priority="305" operator="containsText" text=" ">
      <formula>NOT(ISERROR(SEARCH(" ",J35)))</formula>
    </cfRule>
  </conditionalFormatting>
  <conditionalFormatting sqref="L35">
    <cfRule type="containsText" dxfId="513" priority="329" operator="containsText" text=" ">
      <formula>NOT(ISERROR(SEARCH(" ",L35)))</formula>
    </cfRule>
  </conditionalFormatting>
  <conditionalFormatting sqref="N35">
    <cfRule type="containsText" dxfId="512" priority="307" operator="containsText" text=" ">
      <formula>NOT(ISERROR(SEARCH(" ",N35)))</formula>
    </cfRule>
  </conditionalFormatting>
  <conditionalFormatting sqref="B36:D36">
    <cfRule type="containsText" dxfId="511" priority="416" operator="containsText" text=" ">
      <formula>NOT(ISERROR(SEARCH(" ",B36)))</formula>
    </cfRule>
  </conditionalFormatting>
  <conditionalFormatting sqref="F36">
    <cfRule type="containsText" dxfId="510" priority="325" operator="containsText" text=" ">
      <formula>NOT(ISERROR(SEARCH(" ",F36)))</formula>
    </cfRule>
  </conditionalFormatting>
  <conditionalFormatting sqref="H36">
    <cfRule type="containsText" dxfId="509" priority="289" operator="containsText" text=" ">
      <formula>NOT(ISERROR(SEARCH(" ",H36)))</formula>
    </cfRule>
  </conditionalFormatting>
  <conditionalFormatting sqref="J36">
    <cfRule type="containsText" dxfId="508" priority="290" operator="containsText" text=" ">
      <formula>NOT(ISERROR(SEARCH(" ",J36)))</formula>
    </cfRule>
  </conditionalFormatting>
  <conditionalFormatting sqref="L36">
    <cfRule type="containsText" dxfId="507" priority="285" operator="containsText" text=" ">
      <formula>NOT(ISERROR(SEARCH(" ",L36)))</formula>
    </cfRule>
  </conditionalFormatting>
  <conditionalFormatting sqref="N36">
    <cfRule type="containsText" dxfId="506" priority="286" operator="containsText" text=" ">
      <formula>NOT(ISERROR(SEARCH(" ",N36)))</formula>
    </cfRule>
  </conditionalFormatting>
  <conditionalFormatting sqref="B37:D37">
    <cfRule type="containsText" dxfId="505" priority="400" operator="containsText" text=" ">
      <formula>NOT(ISERROR(SEARCH(" ",B37)))</formula>
    </cfRule>
  </conditionalFormatting>
  <conditionalFormatting sqref="F37">
    <cfRule type="containsText" dxfId="504" priority="293" operator="containsText" text=" ">
      <formula>NOT(ISERROR(SEARCH(" ",F37)))</formula>
    </cfRule>
    <cfRule type="containsText" dxfId="503" priority="347" operator="containsText" text=" ">
      <formula>NOT(ISERROR(SEARCH(" ",F37)))</formula>
    </cfRule>
  </conditionalFormatting>
  <conditionalFormatting sqref="H37">
    <cfRule type="containsText" dxfId="502" priority="295" operator="containsText" text=" ">
      <formula>NOT(ISERROR(SEARCH(" ",H37)))</formula>
    </cfRule>
    <cfRule type="containsText" dxfId="501" priority="335" operator="containsText" text=" ">
      <formula>NOT(ISERROR(SEARCH(" ",H37)))</formula>
    </cfRule>
  </conditionalFormatting>
  <conditionalFormatting sqref="J37">
    <cfRule type="containsText" dxfId="500" priority="298" operator="containsText" text=" ">
      <formula>NOT(ISERROR(SEARCH(" ",J37)))</formula>
    </cfRule>
    <cfRule type="containsText" dxfId="499" priority="331" operator="containsText" text=" ">
      <formula>NOT(ISERROR(SEARCH(" ",J37)))</formula>
    </cfRule>
  </conditionalFormatting>
  <conditionalFormatting sqref="L37">
    <cfRule type="containsText" dxfId="498" priority="300" operator="containsText" text=" ">
      <formula>NOT(ISERROR(SEARCH(" ",L37)))</formula>
    </cfRule>
    <cfRule type="containsText" dxfId="497" priority="327" operator="containsText" text=" ">
      <formula>NOT(ISERROR(SEARCH(" ",L37)))</formula>
    </cfRule>
  </conditionalFormatting>
  <conditionalFormatting sqref="N37">
    <cfRule type="containsText" dxfId="496" priority="301" operator="containsText" text=" ">
      <formula>NOT(ISERROR(SEARCH(" ",N37)))</formula>
    </cfRule>
    <cfRule type="containsText" dxfId="495" priority="319" operator="containsText" text=" ">
      <formula>NOT(ISERROR(SEARCH(" ",N37)))</formula>
    </cfRule>
  </conditionalFormatting>
  <conditionalFormatting sqref="B38:D38">
    <cfRule type="containsText" dxfId="494" priority="368" operator="containsText" text=" ">
      <formula>NOT(ISERROR(SEARCH(" ",B38)))</formula>
    </cfRule>
  </conditionalFormatting>
  <conditionalFormatting sqref="F38">
    <cfRule type="containsText" dxfId="493" priority="294" operator="containsText" text=" ">
      <formula>NOT(ISERROR(SEARCH(" ",F38)))</formula>
    </cfRule>
    <cfRule type="containsText" dxfId="492" priority="346" operator="containsText" text=" ">
      <formula>NOT(ISERROR(SEARCH(" ",F38)))</formula>
    </cfRule>
  </conditionalFormatting>
  <conditionalFormatting sqref="H38">
    <cfRule type="containsText" dxfId="491" priority="296" operator="containsText" text=" ">
      <formula>NOT(ISERROR(SEARCH(" ",H38)))</formula>
    </cfRule>
    <cfRule type="containsText" dxfId="490" priority="334" operator="containsText" text=" ">
      <formula>NOT(ISERROR(SEARCH(" ",H38)))</formula>
    </cfRule>
  </conditionalFormatting>
  <conditionalFormatting sqref="J38">
    <cfRule type="containsText" dxfId="489" priority="297" operator="containsText" text=" ">
      <formula>NOT(ISERROR(SEARCH(" ",J38)))</formula>
    </cfRule>
    <cfRule type="containsText" dxfId="488" priority="330" operator="containsText" text=" ">
      <formula>NOT(ISERROR(SEARCH(" ",J38)))</formula>
    </cfRule>
  </conditionalFormatting>
  <conditionalFormatting sqref="L38">
    <cfRule type="containsText" dxfId="487" priority="299" operator="containsText" text=" ">
      <formula>NOT(ISERROR(SEARCH(" ",L38)))</formula>
    </cfRule>
    <cfRule type="containsText" dxfId="486" priority="326" operator="containsText" text=" ">
      <formula>NOT(ISERROR(SEARCH(" ",L38)))</formula>
    </cfRule>
  </conditionalFormatting>
  <conditionalFormatting sqref="N38">
    <cfRule type="containsText" dxfId="485" priority="302" operator="containsText" text=" ">
      <formula>NOT(ISERROR(SEARCH(" ",N38)))</formula>
    </cfRule>
    <cfRule type="containsText" dxfId="484" priority="318" operator="containsText" text=" ">
      <formula>NOT(ISERROR(SEARCH(" ",N38)))</formula>
    </cfRule>
  </conditionalFormatting>
  <conditionalFormatting sqref="F78">
    <cfRule type="containsText" dxfId="483" priority="493" operator="containsText" text=" ">
      <formula>NOT(ISERROR(SEARCH(" ",F78)))</formula>
    </cfRule>
  </conditionalFormatting>
  <conditionalFormatting sqref="F79">
    <cfRule type="containsText" dxfId="482" priority="495" operator="containsText" text=" ">
      <formula>NOT(ISERROR(SEARCH(" ",F79)))</formula>
    </cfRule>
  </conditionalFormatting>
  <conditionalFormatting sqref="F80">
    <cfRule type="containsText" dxfId="481" priority="479" operator="containsText" text=" ">
      <formula>NOT(ISERROR(SEARCH(" ",F80)))</formula>
    </cfRule>
  </conditionalFormatting>
  <conditionalFormatting sqref="F81">
    <cfRule type="containsText" dxfId="480" priority="480" operator="containsText" text=" ">
      <formula>NOT(ISERROR(SEARCH(" ",F81)))</formula>
    </cfRule>
  </conditionalFormatting>
  <conditionalFormatting sqref="F39:F88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:G38">
    <cfRule type="cellIs" dxfId="479" priority="423" operator="equal">
      <formula>0</formula>
    </cfRule>
    <cfRule type="containsText" dxfId="478" priority="431" operator="containsText" text=" ">
      <formula>NOT(ISERROR(SEARCH(" ",G35)))</formula>
    </cfRule>
  </conditionalFormatting>
  <conditionalFormatting sqref="G39:G88">
    <cfRule type="containsText" dxfId="477" priority="496" operator="containsText" text=" ">
      <formula>NOT(ISERROR(SEARCH(" ",G39)))</formula>
    </cfRule>
  </conditionalFormatting>
  <conditionalFormatting sqref="I35:I38">
    <cfRule type="cellIs" dxfId="476" priority="316" operator="equal">
      <formula>0</formula>
    </cfRule>
    <cfRule type="containsText" dxfId="475" priority="317" operator="containsText" text=" ">
      <formula>NOT(ISERROR(SEARCH(" ",I35)))</formula>
    </cfRule>
  </conditionalFormatting>
  <conditionalFormatting sqref="I39:I88">
    <cfRule type="containsText" dxfId="474" priority="473" operator="containsText" text=" ">
      <formula>NOT(ISERROR(SEARCH(" ",I39)))</formula>
    </cfRule>
  </conditionalFormatting>
  <conditionalFormatting sqref="K35:K38">
    <cfRule type="cellIs" dxfId="473" priority="314" operator="equal">
      <formula>0</formula>
    </cfRule>
    <cfRule type="containsText" dxfId="472" priority="315" operator="containsText" text=" ">
      <formula>NOT(ISERROR(SEARCH(" ",K35)))</formula>
    </cfRule>
  </conditionalFormatting>
  <conditionalFormatting sqref="K39:K88">
    <cfRule type="containsText" dxfId="471" priority="472" operator="containsText" text=" ">
      <formula>NOT(ISERROR(SEARCH(" ",K39)))</formula>
    </cfRule>
  </conditionalFormatting>
  <conditionalFormatting sqref="M35:M38">
    <cfRule type="cellIs" dxfId="470" priority="340" operator="equal">
      <formula>0</formula>
    </cfRule>
    <cfRule type="containsText" dxfId="469" priority="341" operator="containsText" text=" ">
      <formula>NOT(ISERROR(SEARCH(" ",M35)))</formula>
    </cfRule>
  </conditionalFormatting>
  <conditionalFormatting sqref="O5:O15">
    <cfRule type="containsText" dxfId="468" priority="504" operator="containsText" text=" ">
      <formula>NOT(ISERROR(SEARCH(" ",O5)))</formula>
    </cfRule>
  </conditionalFormatting>
  <conditionalFormatting sqref="O35:O38">
    <cfRule type="cellIs" dxfId="467" priority="312" operator="equal">
      <formula>0</formula>
    </cfRule>
    <cfRule type="containsText" dxfId="466" priority="313" operator="containsText" text=" ">
      <formula>NOT(ISERROR(SEARCH(" ",O35)))</formula>
    </cfRule>
  </conditionalFormatting>
  <conditionalFormatting sqref="R39:R88">
    <cfRule type="containsText" dxfId="465" priority="508" operator="containsText" text=" ">
      <formula>NOT(ISERROR(SEARCH(" ",R39)))</formula>
    </cfRule>
    <cfRule type="containsText" dxfId="464" priority="509" operator="containsText" text=" ">
      <formula>NOT(ISERROR(SEARCH(" ",R39)))</formula>
    </cfRule>
  </conditionalFormatting>
  <conditionalFormatting sqref="R7:R8 R10 R12 R14:R15 A5:H5 L5:L14 N5:N15 H14 S5:Y15 R89:XFD89 T48:XFD88 H86:H87 H39:H79 J86:J87 J5:J14 J19 L19 U39 P1:Q15 B17:D18 S17:Y18 P17:P19 A17 A19:D19 J39:J79 R1:XFD4 AF17:XFD18 AF39:XFD47 AF5:XFD15 Z5:AE19 F19:H19 F86:F87 F39:F77 F14 A6:D15 F6:H13 E6:E19 A39:D88 E35:E88 A22 A27 A32 A34 A20 A24:A25 A29:A30 R93:XFD1048576 R90:S92 U90:XFD92 J91:P91 L39:P88 L90:P90 N89:P89">
    <cfRule type="containsText" dxfId="463" priority="510" operator="containsText" text=" ">
      <formula>NOT(ISERROR(SEARCH(" ",A1)))</formula>
    </cfRule>
  </conditionalFormatting>
  <conditionalFormatting sqref="Q1:Q15 Q17:Q19 Q35:Q1048576">
    <cfRule type="containsText" dxfId="462" priority="498" operator="containsText" text="正确">
      <formula>NOT(ISERROR(SEARCH("正确",Q1)))</formula>
    </cfRule>
  </conditionalFormatting>
  <conditionalFormatting sqref="I5:I14 I19">
    <cfRule type="containsText" dxfId="461" priority="507" operator="containsText" text=" ">
      <formula>NOT(ISERROR(SEARCH(" ",I5)))</formula>
    </cfRule>
  </conditionalFormatting>
  <conditionalFormatting sqref="K5 K19 K7:K9 K11 K13">
    <cfRule type="containsText" dxfId="460" priority="506" operator="containsText" text=" ">
      <formula>NOT(ISERROR(SEARCH(" ",K5)))</formula>
    </cfRule>
  </conditionalFormatting>
  <conditionalFormatting sqref="M19 M5:M13">
    <cfRule type="containsText" dxfId="459" priority="505" operator="containsText" text=" ">
      <formula>NOT(ISERROR(SEARCH(" ",M5)))</formula>
    </cfRule>
  </conditionalFormatting>
  <conditionalFormatting sqref="Q5:Q15 Q17:Q19 Q35:Q88">
    <cfRule type="cellIs" dxfId="458" priority="499" operator="equal">
      <formula>"正确"</formula>
    </cfRule>
    <cfRule type="containsText" dxfId="457" priority="500" operator="containsText" text="错误">
      <formula>NOT(ISERROR(SEARCH("错误",Q5)))</formula>
    </cfRule>
  </conditionalFormatting>
  <conditionalFormatting sqref="K6 R17:R18 S35:T35 P36:P38 R36:T38 N17:O19 U19:U38 AF19:XFD38 A35:A38 Y19 Q17:Q19 Q35:Q1048576 V33:Y34 V24:X32">
    <cfRule type="containsText" dxfId="456" priority="471" operator="containsText" text=" ">
      <formula>NOT(ISERROR(SEARCH(" ",A6)))</formula>
    </cfRule>
  </conditionalFormatting>
  <conditionalFormatting sqref="K10 T40:X47 Y25:Y32 Z20:AE32 Y33:AE34 Y20:Y23">
    <cfRule type="containsText" dxfId="455" priority="470" operator="containsText" text=" ">
      <formula>NOT(ISERROR(SEARCH(" ",K10)))</formula>
    </cfRule>
  </conditionalFormatting>
  <conditionalFormatting sqref="K12 H92:P92 A89:M89 A94:P1048576 A93:D93 F93:P93 A90:E92">
    <cfRule type="containsText" dxfId="454" priority="469" operator="containsText" text=" ">
      <formula>NOT(ISERROR(SEARCH(" ",A12)))</formula>
    </cfRule>
  </conditionalFormatting>
  <conditionalFormatting sqref="G14 V39:W39">
    <cfRule type="containsText" dxfId="453" priority="501" operator="containsText" text=" ">
      <formula>NOT(ISERROR(SEARCH(" ",G14)))</formula>
    </cfRule>
  </conditionalFormatting>
  <conditionalFormatting sqref="J15 F15:H15 L15 L17:L18 J17:J18 F17:H18">
    <cfRule type="containsText" dxfId="452" priority="464" operator="containsText" text=" ">
      <formula>NOT(ISERROR(SEARCH(" ",F15)))</formula>
    </cfRule>
  </conditionalFormatting>
  <conditionalFormatting sqref="F17:F18 F15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M15 F17:M18">
    <cfRule type="cellIs" dxfId="451" priority="455" operator="equal">
      <formula>0</formula>
    </cfRule>
  </conditionalFormatting>
  <conditionalFormatting sqref="H17:H18 H15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5 I17:I18">
    <cfRule type="containsText" dxfId="450" priority="463" operator="containsText" text=" ">
      <formula>NOT(ISERROR(SEARCH(" ",I15)))</formula>
    </cfRule>
  </conditionalFormatting>
  <conditionalFormatting sqref="K15 K17:K18">
    <cfRule type="containsText" dxfId="449" priority="462" operator="containsText" text=" ">
      <formula>NOT(ISERROR(SEARCH(" ",K15)))</formula>
    </cfRule>
  </conditionalFormatting>
  <conditionalFormatting sqref="M15 M17:M18">
    <cfRule type="containsText" dxfId="448" priority="461" operator="containsText" text=" ">
      <formula>NOT(ISERROR(SEARCH(" ",M15)))</formula>
    </cfRule>
  </conditionalFormatting>
  <conditionalFormatting sqref="A16:D16 N16 P16:Y16 A18 AF16:XFD16 A21 A26 A31 A23 A28 A33">
    <cfRule type="containsText" dxfId="447" priority="454" operator="containsText" text=" ">
      <formula>NOT(ISERROR(SEARCH(" ",A16)))</formula>
    </cfRule>
  </conditionalFormatting>
  <conditionalFormatting sqref="L16 F16:H16 J16">
    <cfRule type="containsText" dxfId="446" priority="449" operator="containsText" text=" ">
      <formula>NOT(ISERROR(SEARCH(" ",F16)))</formula>
    </cfRule>
  </conditionalFormatting>
  <conditionalFormatting sqref="W20:X23 W19 W24:W34">
    <cfRule type="containsText" dxfId="445" priority="350" operator="containsText" text=" ">
      <formula>NOT(ISERROR(SEARCH(" ",W19)))</formula>
    </cfRule>
    <cfRule type="containsText" dxfId="444" priority="351" operator="containsText" text=" ">
      <formula>NOT(ISERROR(SEARCH(" ",W19)))</formula>
    </cfRule>
  </conditionalFormatting>
  <conditionalFormatting sqref="N20 J24 L24 P20:Q20 P22:P24 B22:D24 F24:H24 B20:D20 E20:E24">
    <cfRule type="containsText" dxfId="443" priority="180" operator="containsText" text=" ">
      <formula>NOT(ISERROR(SEARCH(" ",B20)))</formula>
    </cfRule>
  </conditionalFormatting>
  <conditionalFormatting sqref="J20 F20:H20 L20 L22:L23 F22:H23 J22:J23">
    <cfRule type="containsText" dxfId="442" priority="167" operator="containsText" text=" ">
      <formula>NOT(ISERROR(SEARCH(" ",F20)))</formula>
    </cfRule>
  </conditionalFormatting>
  <conditionalFormatting sqref="F22:F23 F20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M20 F22:M23">
    <cfRule type="cellIs" dxfId="441" priority="159" operator="equal">
      <formula>0</formula>
    </cfRule>
  </conditionalFormatting>
  <conditionalFormatting sqref="H22:H23 H20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 I22:I23">
    <cfRule type="containsText" dxfId="440" priority="166" operator="containsText" text=" ">
      <formula>NOT(ISERROR(SEARCH(" ",I20)))</formula>
    </cfRule>
  </conditionalFormatting>
  <conditionalFormatting sqref="K20 K22:K23">
    <cfRule type="containsText" dxfId="439" priority="165" operator="containsText" text=" ">
      <formula>NOT(ISERROR(SEARCH(" ",K20)))</formula>
    </cfRule>
  </conditionalFormatting>
  <conditionalFormatting sqref="M20 M22:M23">
    <cfRule type="containsText" dxfId="438" priority="164" operator="containsText" text=" ">
      <formula>NOT(ISERROR(SEARCH(" ",M20)))</formula>
    </cfRule>
  </conditionalFormatting>
  <conditionalFormatting sqref="Q20 Q22:Q24">
    <cfRule type="containsText" dxfId="437" priority="173" operator="containsText" text="正确">
      <formula>NOT(ISERROR(SEARCH("正确",Q20)))</formula>
    </cfRule>
    <cfRule type="cellIs" dxfId="436" priority="174" operator="equal">
      <formula>"正确"</formula>
    </cfRule>
    <cfRule type="containsText" dxfId="435" priority="175" operator="containsText" text="错误">
      <formula>NOT(ISERROR(SEARCH("错误",Q20)))</formula>
    </cfRule>
  </conditionalFormatting>
  <conditionalFormatting sqref="B21:D21 N21 P21:Q21">
    <cfRule type="containsText" dxfId="434" priority="158" operator="containsText" text=" ">
      <formula>NOT(ISERROR(SEARCH(" ",B21)))</formula>
    </cfRule>
  </conditionalFormatting>
  <conditionalFormatting sqref="L21 F21:H21 J21">
    <cfRule type="containsText" dxfId="433" priority="153" operator="containsText" text=" ">
      <formula>NOT(ISERROR(SEARCH(" ",F21)))</formula>
    </cfRule>
  </conditionalFormatting>
  <conditionalFormatting sqref="N22:O24 Q22:Q24">
    <cfRule type="containsText" dxfId="432" priority="172" operator="containsText" text=" ">
      <formula>NOT(ISERROR(SEARCH(" ",N22)))</formula>
    </cfRule>
  </conditionalFormatting>
  <conditionalFormatting sqref="N25 J29 L29 P25:Q25 P27:P29 B27:D29 F29:H29 B25:D25 E25:E29">
    <cfRule type="containsText" dxfId="431" priority="136" operator="containsText" text=" ">
      <formula>NOT(ISERROR(SEARCH(" ",B25)))</formula>
    </cfRule>
  </conditionalFormatting>
  <conditionalFormatting sqref="J25 F25 L25 L27:L28 J27:J28 G27:H28 H25">
    <cfRule type="containsText" dxfId="430" priority="123" operator="containsText" text=" ">
      <formula>NOT(ISERROR(SEARCH(" ",F25)))</formula>
    </cfRule>
  </conditionalFormatting>
  <conditionalFormatting sqref="F25 G27:M28 H25:M25">
    <cfRule type="cellIs" dxfId="429" priority="115" operator="equal">
      <formula>0</formula>
    </cfRule>
  </conditionalFormatting>
  <conditionalFormatting sqref="H27:H28 H25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5 I27:I28">
    <cfRule type="containsText" dxfId="428" priority="122" operator="containsText" text=" ">
      <formula>NOT(ISERROR(SEARCH(" ",I25)))</formula>
    </cfRule>
  </conditionalFormatting>
  <conditionalFormatting sqref="K25 K27:K28">
    <cfRule type="containsText" dxfId="427" priority="121" operator="containsText" text=" ">
      <formula>NOT(ISERROR(SEARCH(" ",K25)))</formula>
    </cfRule>
  </conditionalFormatting>
  <conditionalFormatting sqref="M25 M27:M28">
    <cfRule type="containsText" dxfId="426" priority="120" operator="containsText" text=" ">
      <formula>NOT(ISERROR(SEARCH(" ",M25)))</formula>
    </cfRule>
  </conditionalFormatting>
  <conditionalFormatting sqref="Q25 Q27:Q29">
    <cfRule type="containsText" dxfId="425" priority="129" operator="containsText" text="正确">
      <formula>NOT(ISERROR(SEARCH("正确",Q25)))</formula>
    </cfRule>
    <cfRule type="cellIs" dxfId="424" priority="130" operator="equal">
      <formula>"正确"</formula>
    </cfRule>
    <cfRule type="containsText" dxfId="423" priority="131" operator="containsText" text="错误">
      <formula>NOT(ISERROR(SEARCH("错误",Q25)))</formula>
    </cfRule>
  </conditionalFormatting>
  <conditionalFormatting sqref="B26:D26 N26 P26:Q26">
    <cfRule type="containsText" dxfId="422" priority="114" operator="containsText" text=" ">
      <formula>NOT(ISERROR(SEARCH(" ",B26)))</formula>
    </cfRule>
  </conditionalFormatting>
  <conditionalFormatting sqref="L26 G26:H26 J26">
    <cfRule type="containsText" dxfId="421" priority="109" operator="containsText" text=" ">
      <formula>NOT(ISERROR(SEARCH(" ",G26)))</formula>
    </cfRule>
  </conditionalFormatting>
  <conditionalFormatting sqref="N27:O29 Q27:Q29">
    <cfRule type="containsText" dxfId="420" priority="128" operator="containsText" text=" ">
      <formula>NOT(ISERROR(SEARCH(" ",N27)))</formula>
    </cfRule>
  </conditionalFormatting>
  <conditionalFormatting sqref="N30 J34 L34 P30:Q30 P32:P34 B32:D34 F34:H34 B30:D30 E30:E34">
    <cfRule type="containsText" dxfId="419" priority="92" operator="containsText" text=" ">
      <formula>NOT(ISERROR(SEARCH(" ",B30)))</formula>
    </cfRule>
  </conditionalFormatting>
  <conditionalFormatting sqref="J30 L30 L32:L33 J32:J33 G32:H33 H30">
    <cfRule type="containsText" dxfId="418" priority="79" operator="containsText" text=" ">
      <formula>NOT(ISERROR(SEARCH(" ",G30)))</formula>
    </cfRule>
  </conditionalFormatting>
  <conditionalFormatting sqref="G32:M33 H30:M30">
    <cfRule type="cellIs" dxfId="417" priority="71" operator="equal">
      <formula>0</formula>
    </cfRule>
  </conditionalFormatting>
  <conditionalFormatting sqref="H32:H33 H30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 I32:I33">
    <cfRule type="containsText" dxfId="416" priority="78" operator="containsText" text=" ">
      <formula>NOT(ISERROR(SEARCH(" ",I30)))</formula>
    </cfRule>
  </conditionalFormatting>
  <conditionalFormatting sqref="K30 K32:K33">
    <cfRule type="containsText" dxfId="415" priority="77" operator="containsText" text=" ">
      <formula>NOT(ISERROR(SEARCH(" ",K30)))</formula>
    </cfRule>
  </conditionalFormatting>
  <conditionalFormatting sqref="M30 M32:M33">
    <cfRule type="containsText" dxfId="414" priority="76" operator="containsText" text=" ">
      <formula>NOT(ISERROR(SEARCH(" ",M30)))</formula>
    </cfRule>
  </conditionalFormatting>
  <conditionalFormatting sqref="Q30 Q32:Q34">
    <cfRule type="containsText" dxfId="413" priority="85" operator="containsText" text="正确">
      <formula>NOT(ISERROR(SEARCH("正确",Q30)))</formula>
    </cfRule>
    <cfRule type="cellIs" dxfId="412" priority="86" operator="equal">
      <formula>"正确"</formula>
    </cfRule>
    <cfRule type="containsText" dxfId="411" priority="87" operator="containsText" text="错误">
      <formula>NOT(ISERROR(SEARCH("错误",Q30)))</formula>
    </cfRule>
  </conditionalFormatting>
  <conditionalFormatting sqref="B31:D31 N31 P31:Q31">
    <cfRule type="containsText" dxfId="410" priority="70" operator="containsText" text=" ">
      <formula>NOT(ISERROR(SEARCH(" ",B31)))</formula>
    </cfRule>
  </conditionalFormatting>
  <conditionalFormatting sqref="L31 G31:H31 J31">
    <cfRule type="containsText" dxfId="409" priority="65" operator="containsText" text=" ">
      <formula>NOT(ISERROR(SEARCH(" ",G31)))</formula>
    </cfRule>
  </conditionalFormatting>
  <conditionalFormatting sqref="N32:O34 Q32:Q34">
    <cfRule type="containsText" dxfId="408" priority="84" operator="containsText" text=" ">
      <formula>NOT(ISERROR(SEARCH(" ",N32)))</formula>
    </cfRule>
  </conditionalFormatting>
  <conditionalFormatting sqref="S40:S88 S39:T39">
    <cfRule type="containsText" dxfId="407" priority="497" operator="containsText" text=" ">
      <formula>NOT(ISERROR(SEARCH(" ",S39)))</formula>
    </cfRule>
  </conditionalFormatting>
  <conditionalFormatting sqref="H80:H81 J80:J81">
    <cfRule type="containsText" dxfId="406" priority="481" operator="containsText" text=" ">
      <formula>NOT(ISERROR(SEARCH(" ",H80)))</formula>
    </cfRule>
  </conditionalFormatting>
  <conditionalFormatting sqref="F82 H82 J82">
    <cfRule type="containsText" dxfId="405" priority="491" operator="containsText" text=" ">
      <formula>NOT(ISERROR(SEARCH(" ",F82)))</formula>
    </cfRule>
  </conditionalFormatting>
  <conditionalFormatting sqref="F83 H83 J83">
    <cfRule type="containsText" dxfId="404" priority="489" operator="containsText" text=" ">
      <formula>NOT(ISERROR(SEARCH(" ",F83)))</formula>
    </cfRule>
  </conditionalFormatting>
  <conditionalFormatting sqref="F84 H84 J84">
    <cfRule type="containsText" dxfId="403" priority="487" operator="containsText" text=" ">
      <formula>NOT(ISERROR(SEARCH(" ",F84)))</formula>
    </cfRule>
  </conditionalFormatting>
  <conditionalFormatting sqref="F85 H85 J85">
    <cfRule type="containsText" dxfId="402" priority="485" operator="containsText" text=" ">
      <formula>NOT(ISERROR(SEARCH(" ",F85)))</formula>
    </cfRule>
  </conditionalFormatting>
  <conditionalFormatting sqref="F88 H88 J88">
    <cfRule type="containsText" dxfId="401" priority="483" operator="containsText" text=" ">
      <formula>NOT(ISERROR(SEARCH(" ",F88)))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炮解锁|CannonUnlock</vt:lpstr>
      <vt:lpstr>全局参数|GlobalPar</vt:lpstr>
      <vt:lpstr>VIP升级|VIPUp</vt:lpstr>
      <vt:lpstr>房间规则|RoomRules</vt:lpstr>
      <vt:lpstr>用户升级|RoleUp</vt:lpstr>
      <vt:lpstr>鱼属性|FishAttribute</vt:lpstr>
      <vt:lpstr>弹头价值|Dantou</vt:lpstr>
      <vt:lpstr>抽奖|MoonBless</vt:lpstr>
      <vt:lpstr>掉落|Drop</vt:lpstr>
      <vt:lpstr>兑换|Exchange</vt:lpstr>
      <vt:lpstr>签到|SignIn</vt:lpstr>
      <vt:lpstr>道具|Item</vt:lpstr>
      <vt:lpstr>道具|Item-f</vt:lpstr>
      <vt:lpstr>福卡赛奖励|CompetitionBillReward</vt:lpstr>
      <vt:lpstr>BOSS翻N倍玩法|BossOfNfold</vt:lpstr>
      <vt:lpstr>每日充值|Recharge</vt:lpstr>
      <vt:lpstr>福卡鱼潮S值|BasicsBillValue</vt:lpstr>
      <vt:lpstr>话费赛潜艇|AirBalloon</vt:lpstr>
      <vt:lpstr>新手七天|SevenDay</vt:lpstr>
      <vt:lpstr>潜艇等级|AirBallLv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2020-11-12T01:58:06Z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