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sh\tech\json_fish_8980\DataTable\"/>
    </mc:Choice>
  </mc:AlternateContent>
  <bookViews>
    <workbookView xWindow="0" yWindow="0" windowWidth="23904" windowHeight="10284" activeTab="1"/>
  </bookViews>
  <sheets>
    <sheet name="充值档位名称|RMBDes" sheetId="1" r:id="rId1"/>
    <sheet name="充值活动|RMBActivities" sheetId="2" r:id="rId2"/>
    <sheet name="每日超值|DailyGiftRe" sheetId="3" r:id="rId3"/>
    <sheet name="会员卡|NobleCard" sheetId="4" r:id="rId4"/>
    <sheet name="商城|Shop" sheetId="5" r:id="rId5"/>
    <sheet name="欢乐转转转|Turntable" sheetId="6" r:id="rId6"/>
  </sheets>
  <calcPr calcId="162913"/>
</workbook>
</file>

<file path=xl/calcChain.xml><?xml version="1.0" encoding="utf-8"?>
<calcChain xmlns="http://schemas.openxmlformats.org/spreadsheetml/2006/main">
  <c r="AD6" i="6" l="1"/>
  <c r="AD7" i="6"/>
  <c r="AD8" i="6"/>
  <c r="AD9" i="6"/>
  <c r="AD10" i="6"/>
  <c r="AD11" i="6"/>
  <c r="AD12" i="6"/>
  <c r="AD13" i="6"/>
  <c r="AD14" i="6"/>
  <c r="AD15" i="6"/>
  <c r="AD16" i="6"/>
  <c r="AD17" i="6"/>
  <c r="AD18" i="6"/>
  <c r="AD19" i="6"/>
  <c r="AD20" i="6"/>
  <c r="AD21" i="6"/>
  <c r="AD22" i="6"/>
  <c r="AD5" i="6"/>
  <c r="R6" i="6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5" i="6"/>
  <c r="AG2" i="6"/>
  <c r="AC2" i="6"/>
  <c r="Z2" i="6"/>
  <c r="X2" i="6"/>
  <c r="V2" i="6"/>
  <c r="AB6" i="6" l="1"/>
  <c r="AB7" i="6"/>
  <c r="AB8" i="6"/>
  <c r="E8" i="6" s="1"/>
  <c r="AB9" i="6"/>
  <c r="AF9" i="6" s="1"/>
  <c r="AB10" i="6"/>
  <c r="AF10" i="6" s="1"/>
  <c r="E10" i="6" s="1"/>
  <c r="AB11" i="6"/>
  <c r="AB12" i="6"/>
  <c r="AF12" i="6" s="1"/>
  <c r="AB13" i="6"/>
  <c r="AB14" i="6"/>
  <c r="E14" i="6" s="1"/>
  <c r="AB15" i="6"/>
  <c r="E15" i="6" s="1"/>
  <c r="AB16" i="6"/>
  <c r="E16" i="6" s="1"/>
  <c r="AB17" i="6"/>
  <c r="AF17" i="6" s="1"/>
  <c r="AB18" i="6"/>
  <c r="AB19" i="6"/>
  <c r="AB20" i="6"/>
  <c r="AF20" i="6" s="1"/>
  <c r="AB21" i="6"/>
  <c r="AB22" i="6"/>
  <c r="E22" i="6" s="1"/>
  <c r="AB5" i="6"/>
  <c r="U6" i="6"/>
  <c r="W6" i="6" s="1"/>
  <c r="U7" i="6"/>
  <c r="U8" i="6"/>
  <c r="U9" i="6"/>
  <c r="Y9" i="6" s="1"/>
  <c r="U10" i="6"/>
  <c r="Y10" i="6" s="1"/>
  <c r="U11" i="6"/>
  <c r="Y11" i="6" s="1"/>
  <c r="U12" i="6"/>
  <c r="Y12" i="6" s="1"/>
  <c r="D12" i="6" s="1"/>
  <c r="U13" i="6"/>
  <c r="U14" i="6"/>
  <c r="U15" i="6"/>
  <c r="U16" i="6"/>
  <c r="U17" i="6"/>
  <c r="U18" i="6"/>
  <c r="Y18" i="6" s="1"/>
  <c r="U19" i="6"/>
  <c r="U20" i="6"/>
  <c r="Y20" i="6" s="1"/>
  <c r="U21" i="6"/>
  <c r="U22" i="6"/>
  <c r="U5" i="6"/>
  <c r="W5" i="6" s="1"/>
  <c r="E11" i="6"/>
  <c r="E13" i="6"/>
  <c r="E18" i="6"/>
  <c r="E19" i="6"/>
  <c r="E21" i="6"/>
  <c r="P6" i="6"/>
  <c r="C6" i="6" s="1"/>
  <c r="P7" i="6"/>
  <c r="C7" i="6" s="1"/>
  <c r="P8" i="6"/>
  <c r="P9" i="6"/>
  <c r="C9" i="6" s="1"/>
  <c r="P10" i="6"/>
  <c r="C10" i="6" s="1"/>
  <c r="P11" i="6"/>
  <c r="C11" i="6" s="1"/>
  <c r="P12" i="6"/>
  <c r="C12" i="6" s="1"/>
  <c r="P13" i="6"/>
  <c r="C13" i="6" s="1"/>
  <c r="P14" i="6"/>
  <c r="C14" i="6" s="1"/>
  <c r="P15" i="6"/>
  <c r="C15" i="6" s="1"/>
  <c r="P16" i="6"/>
  <c r="P17" i="6"/>
  <c r="C17" i="6" s="1"/>
  <c r="P18" i="6"/>
  <c r="C18" i="6" s="1"/>
  <c r="P19" i="6"/>
  <c r="C19" i="6" s="1"/>
  <c r="P20" i="6"/>
  <c r="C20" i="6" s="1"/>
  <c r="P21" i="6"/>
  <c r="C21" i="6" s="1"/>
  <c r="P22" i="6"/>
  <c r="C22" i="6" s="1"/>
  <c r="P5" i="6"/>
  <c r="Y7" i="6"/>
  <c r="D7" i="6" s="1"/>
  <c r="Y8" i="6"/>
  <c r="D8" i="6" s="1"/>
  <c r="Y15" i="6"/>
  <c r="Y16" i="6"/>
  <c r="Y17" i="6"/>
  <c r="Y19" i="6"/>
  <c r="W7" i="6"/>
  <c r="W8" i="6"/>
  <c r="W9" i="6"/>
  <c r="W11" i="6"/>
  <c r="W12" i="6"/>
  <c r="W13" i="6"/>
  <c r="W14" i="6"/>
  <c r="W15" i="6"/>
  <c r="W16" i="6"/>
  <c r="W17" i="6"/>
  <c r="W18" i="6"/>
  <c r="W19" i="6"/>
  <c r="W21" i="6"/>
  <c r="W22" i="6"/>
  <c r="AF6" i="6"/>
  <c r="AF7" i="6"/>
  <c r="AF8" i="6"/>
  <c r="AF11" i="6"/>
  <c r="AF13" i="6"/>
  <c r="AF14" i="6"/>
  <c r="AF15" i="6"/>
  <c r="AF16" i="6"/>
  <c r="AF18" i="6"/>
  <c r="AF19" i="6"/>
  <c r="AF21" i="6"/>
  <c r="AF22" i="6"/>
  <c r="AF5" i="6"/>
  <c r="E5" i="6" s="1"/>
  <c r="AE22" i="6"/>
  <c r="AE21" i="6"/>
  <c r="AE20" i="6"/>
  <c r="AE19" i="6"/>
  <c r="AE18" i="6"/>
  <c r="AE17" i="6"/>
  <c r="AE16" i="6"/>
  <c r="AE15" i="6"/>
  <c r="AE14" i="6"/>
  <c r="AE13" i="6"/>
  <c r="AE12" i="6"/>
  <c r="AE11" i="6"/>
  <c r="AE10" i="6"/>
  <c r="AE9" i="6"/>
  <c r="AE8" i="6"/>
  <c r="AE7" i="6"/>
  <c r="AE6" i="6"/>
  <c r="AE5" i="6"/>
  <c r="AF1" i="6"/>
  <c r="AD1" i="6"/>
  <c r="D15" i="6"/>
  <c r="D16" i="6"/>
  <c r="Y1" i="6"/>
  <c r="W1" i="6"/>
  <c r="C8" i="6"/>
  <c r="C16" i="6"/>
  <c r="S6" i="6"/>
  <c r="S7" i="6"/>
  <c r="S8" i="6"/>
  <c r="S9" i="6"/>
  <c r="S10" i="6"/>
  <c r="S11" i="6"/>
  <c r="S12" i="6"/>
  <c r="S13" i="6"/>
  <c r="S14" i="6"/>
  <c r="S15" i="6"/>
  <c r="S16" i="6"/>
  <c r="S17" i="6"/>
  <c r="S18" i="6"/>
  <c r="S19" i="6"/>
  <c r="S20" i="6"/>
  <c r="S21" i="6"/>
  <c r="S22" i="6"/>
  <c r="S5" i="6"/>
  <c r="R1" i="6"/>
  <c r="P1" i="6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5" i="6"/>
  <c r="I6" i="6"/>
  <c r="K6" i="6" s="1"/>
  <c r="I7" i="6"/>
  <c r="K7" i="6" s="1"/>
  <c r="I5" i="6"/>
  <c r="K5" i="6" s="1"/>
  <c r="M8" i="6" s="1"/>
  <c r="Y5" i="6" l="1"/>
  <c r="V16" i="6"/>
  <c r="W10" i="6"/>
  <c r="X14" i="6" s="1"/>
  <c r="D9" i="6"/>
  <c r="AC15" i="6"/>
  <c r="AC11" i="6"/>
  <c r="V9" i="6"/>
  <c r="V13" i="6"/>
  <c r="E6" i="6"/>
  <c r="V7" i="6"/>
  <c r="AG17" i="6"/>
  <c r="V22" i="6"/>
  <c r="V14" i="6"/>
  <c r="V15" i="6"/>
  <c r="AC7" i="6"/>
  <c r="AG20" i="6"/>
  <c r="E20" i="6"/>
  <c r="AG12" i="6"/>
  <c r="E12" i="6"/>
  <c r="AG15" i="6"/>
  <c r="AG7" i="6"/>
  <c r="AC19" i="6"/>
  <c r="AC9" i="6"/>
  <c r="AC13" i="6"/>
  <c r="E17" i="6"/>
  <c r="E9" i="6"/>
  <c r="AC12" i="6"/>
  <c r="AG22" i="6"/>
  <c r="AG14" i="6"/>
  <c r="AC5" i="6"/>
  <c r="AC16" i="6"/>
  <c r="AC20" i="6"/>
  <c r="AG21" i="6"/>
  <c r="AG13" i="6"/>
  <c r="AC6" i="6"/>
  <c r="AC17" i="6"/>
  <c r="AG19" i="6"/>
  <c r="AC10" i="6"/>
  <c r="AC14" i="6"/>
  <c r="E7" i="6"/>
  <c r="AC8" i="6"/>
  <c r="AC21" i="6"/>
  <c r="AG11" i="6"/>
  <c r="AC18" i="6"/>
  <c r="AC22" i="6"/>
  <c r="AG16" i="6"/>
  <c r="D21" i="6"/>
  <c r="V10" i="6"/>
  <c r="W20" i="6"/>
  <c r="X17" i="6" s="1"/>
  <c r="Y22" i="6"/>
  <c r="Y6" i="6"/>
  <c r="Z7" i="6" s="1"/>
  <c r="V12" i="6"/>
  <c r="V19" i="6"/>
  <c r="Y21" i="6"/>
  <c r="Y13" i="6"/>
  <c r="D13" i="6" s="1"/>
  <c r="V17" i="6"/>
  <c r="V11" i="6"/>
  <c r="V18" i="6"/>
  <c r="Y14" i="6"/>
  <c r="V5" i="6"/>
  <c r="V20" i="6"/>
  <c r="D18" i="6"/>
  <c r="V6" i="6"/>
  <c r="V21" i="6"/>
  <c r="V8" i="6"/>
  <c r="D14" i="6"/>
  <c r="Q10" i="6"/>
  <c r="Q17" i="6"/>
  <c r="Q16" i="6"/>
  <c r="Q8" i="6"/>
  <c r="Q15" i="6"/>
  <c r="Q7" i="6"/>
  <c r="Q9" i="6"/>
  <c r="Q14" i="6"/>
  <c r="Q21" i="6"/>
  <c r="Q20" i="6"/>
  <c r="Q12" i="6"/>
  <c r="Q5" i="6"/>
  <c r="Q22" i="6"/>
  <c r="Q13" i="6"/>
  <c r="Q19" i="6"/>
  <c r="Q11" i="6"/>
  <c r="C5" i="6"/>
  <c r="Q6" i="6"/>
  <c r="Q18" i="6"/>
  <c r="D17" i="6"/>
  <c r="Z21" i="6"/>
  <c r="D5" i="6"/>
  <c r="Z22" i="6"/>
  <c r="Z17" i="6"/>
  <c r="D22" i="6"/>
  <c r="D19" i="6"/>
  <c r="D11" i="6"/>
  <c r="X7" i="6"/>
  <c r="X5" i="6"/>
  <c r="X13" i="6"/>
  <c r="AG10" i="6"/>
  <c r="AG5" i="6"/>
  <c r="AG6" i="6"/>
  <c r="AG18" i="6"/>
  <c r="AG8" i="6"/>
  <c r="AG9" i="6"/>
  <c r="AE3" i="6"/>
  <c r="AE2" i="6" s="1"/>
  <c r="M7" i="6"/>
  <c r="M5" i="6"/>
  <c r="M12" i="6"/>
  <c r="M6" i="6"/>
  <c r="M22" i="6"/>
  <c r="M20" i="6"/>
  <c r="M14" i="6"/>
  <c r="M15" i="6"/>
  <c r="M21" i="6"/>
  <c r="M13" i="6"/>
  <c r="M19" i="6"/>
  <c r="M11" i="6"/>
  <c r="M18" i="6"/>
  <c r="M10" i="6"/>
  <c r="M17" i="6"/>
  <c r="M9" i="6"/>
  <c r="M16" i="6"/>
  <c r="D10" i="6" l="1"/>
  <c r="X20" i="6"/>
  <c r="X15" i="6"/>
  <c r="AG3" i="6"/>
  <c r="D6" i="6"/>
  <c r="AC3" i="6"/>
  <c r="Z13" i="6"/>
  <c r="Z14" i="6"/>
  <c r="Z6" i="6"/>
  <c r="Z9" i="6"/>
  <c r="Z12" i="6"/>
  <c r="X18" i="6"/>
  <c r="X9" i="6"/>
  <c r="Z5" i="6"/>
  <c r="Z18" i="6"/>
  <c r="Z10" i="6"/>
  <c r="X8" i="6"/>
  <c r="Z20" i="6"/>
  <c r="Z8" i="6"/>
  <c r="X22" i="6"/>
  <c r="X21" i="6"/>
  <c r="X6" i="6"/>
  <c r="Z16" i="6"/>
  <c r="Z19" i="6"/>
  <c r="X12" i="6"/>
  <c r="X16" i="6"/>
  <c r="X11" i="6"/>
  <c r="Z11" i="6"/>
  <c r="Z15" i="6"/>
  <c r="D20" i="6"/>
  <c r="X19" i="6"/>
  <c r="X10" i="6"/>
  <c r="Q3" i="6"/>
  <c r="Q2" i="6" s="1"/>
  <c r="V3" i="6"/>
  <c r="O3" i="6"/>
  <c r="O2" i="6" s="1"/>
  <c r="S3" i="6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31" i="1"/>
  <c r="D32" i="1"/>
  <c r="D33" i="1"/>
  <c r="D34" i="1"/>
  <c r="D35" i="1"/>
  <c r="D36" i="1"/>
  <c r="D37" i="1"/>
  <c r="D7" i="1"/>
  <c r="D8" i="1"/>
  <c r="D6" i="1"/>
  <c r="D5" i="1"/>
  <c r="D18" i="5"/>
  <c r="O18" i="5" s="1"/>
  <c r="O17" i="5"/>
  <c r="K17" i="5"/>
  <c r="J17" i="5"/>
  <c r="D17" i="5"/>
  <c r="D16" i="5"/>
  <c r="O16" i="5" s="1"/>
  <c r="K15" i="5"/>
  <c r="J15" i="5"/>
  <c r="D15" i="5"/>
  <c r="K14" i="5"/>
  <c r="J14" i="5"/>
  <c r="D14" i="5"/>
  <c r="J13" i="5"/>
  <c r="D13" i="5"/>
  <c r="K13" i="5" s="1"/>
  <c r="J12" i="5"/>
  <c r="D12" i="5"/>
  <c r="O11" i="5"/>
  <c r="K11" i="5"/>
  <c r="J11" i="5"/>
  <c r="D11" i="5"/>
  <c r="O10" i="5"/>
  <c r="K10" i="5"/>
  <c r="J10" i="5"/>
  <c r="D10" i="5"/>
  <c r="O9" i="5"/>
  <c r="K9" i="5"/>
  <c r="J9" i="5"/>
  <c r="D9" i="5"/>
  <c r="K8" i="5"/>
  <c r="D8" i="5"/>
  <c r="J8" i="5" s="1"/>
  <c r="K7" i="5"/>
  <c r="J7" i="5"/>
  <c r="D7" i="5"/>
  <c r="D6" i="5"/>
  <c r="K6" i="5" s="1"/>
  <c r="K5" i="5"/>
  <c r="J5" i="5"/>
  <c r="D5" i="5"/>
  <c r="AK27" i="4"/>
  <c r="AJ27" i="4"/>
  <c r="AI27" i="4"/>
  <c r="AH27" i="4"/>
  <c r="AG27" i="4"/>
  <c r="AK26" i="4"/>
  <c r="AJ26" i="4"/>
  <c r="AI26" i="4"/>
  <c r="AH26" i="4"/>
  <c r="AG26" i="4"/>
  <c r="AK25" i="4"/>
  <c r="AJ25" i="4"/>
  <c r="AI25" i="4"/>
  <c r="AH25" i="4"/>
  <c r="AG25" i="4"/>
  <c r="AK24" i="4"/>
  <c r="AJ24" i="4"/>
  <c r="AI24" i="4"/>
  <c r="AH24" i="4"/>
  <c r="AG24" i="4"/>
  <c r="AK23" i="4"/>
  <c r="AJ23" i="4"/>
  <c r="AI23" i="4"/>
  <c r="AH23" i="4"/>
  <c r="AG23" i="4"/>
  <c r="AK22" i="4"/>
  <c r="AJ22" i="4"/>
  <c r="AI22" i="4"/>
  <c r="AH22" i="4"/>
  <c r="AG22" i="4"/>
  <c r="AK21" i="4"/>
  <c r="AJ21" i="4"/>
  <c r="AI21" i="4"/>
  <c r="AH21" i="4"/>
  <c r="AG21" i="4"/>
  <c r="AK20" i="4"/>
  <c r="AJ20" i="4"/>
  <c r="AI20" i="4"/>
  <c r="AH20" i="4"/>
  <c r="AG20" i="4"/>
  <c r="AK19" i="4"/>
  <c r="AJ19" i="4"/>
  <c r="AI19" i="4"/>
  <c r="AH19" i="4"/>
  <c r="AG19" i="4"/>
  <c r="AK18" i="4"/>
  <c r="AJ18" i="4"/>
  <c r="AI18" i="4"/>
  <c r="AH18" i="4"/>
  <c r="AG18" i="4"/>
  <c r="AK17" i="4"/>
  <c r="AJ17" i="4"/>
  <c r="AI17" i="4"/>
  <c r="AH17" i="4"/>
  <c r="AG17" i="4"/>
  <c r="AK16" i="4"/>
  <c r="AJ16" i="4"/>
  <c r="AI16" i="4"/>
  <c r="AH16" i="4"/>
  <c r="AG16" i="4"/>
  <c r="AK15" i="4"/>
  <c r="AJ15" i="4"/>
  <c r="AI15" i="4"/>
  <c r="AH15" i="4"/>
  <c r="AG15" i="4"/>
  <c r="AK14" i="4"/>
  <c r="AJ14" i="4"/>
  <c r="AI14" i="4"/>
  <c r="AH14" i="4"/>
  <c r="AG14" i="4"/>
  <c r="AK13" i="4"/>
  <c r="AJ13" i="4"/>
  <c r="AI13" i="4"/>
  <c r="AH13" i="4"/>
  <c r="AG13" i="4"/>
  <c r="AK12" i="4"/>
  <c r="AJ12" i="4"/>
  <c r="AI12" i="4"/>
  <c r="AH12" i="4"/>
  <c r="AG12" i="4"/>
  <c r="AK11" i="4"/>
  <c r="AJ11" i="4"/>
  <c r="AI11" i="4"/>
  <c r="AH11" i="4"/>
  <c r="AG11" i="4"/>
  <c r="AK10" i="4"/>
  <c r="AJ10" i="4"/>
  <c r="AI10" i="4"/>
  <c r="AH10" i="4"/>
  <c r="AG10" i="4"/>
  <c r="AK9" i="4"/>
  <c r="AJ9" i="4"/>
  <c r="AI9" i="4"/>
  <c r="AH9" i="4"/>
  <c r="AG9" i="4"/>
  <c r="AK8" i="4"/>
  <c r="AJ8" i="4"/>
  <c r="AI8" i="4"/>
  <c r="AH8" i="4"/>
  <c r="AG8" i="4"/>
  <c r="AK7" i="4"/>
  <c r="AJ7" i="4"/>
  <c r="AI7" i="4"/>
  <c r="AH7" i="4"/>
  <c r="AG7" i="4"/>
  <c r="AK6" i="4"/>
  <c r="AJ6" i="4"/>
  <c r="AI6" i="4"/>
  <c r="AH6" i="4"/>
  <c r="AG6" i="4"/>
  <c r="AK5" i="4"/>
  <c r="AJ5" i="4"/>
  <c r="AI5" i="4"/>
  <c r="AH5" i="4"/>
  <c r="AG5" i="4"/>
  <c r="AD5" i="4"/>
  <c r="W5" i="4"/>
  <c r="P5" i="4"/>
  <c r="O5" i="4"/>
  <c r="AK4" i="4"/>
  <c r="AJ4" i="4"/>
  <c r="AI4" i="4"/>
  <c r="AH4" i="4"/>
  <c r="AG4" i="4"/>
  <c r="T5" i="4" s="1"/>
  <c r="AF28" i="3"/>
  <c r="AG28" i="3" s="1"/>
  <c r="AE28" i="3"/>
  <c r="AB28" i="3"/>
  <c r="AA28" i="3"/>
  <c r="X28" i="3"/>
  <c r="Y28" i="3" s="1"/>
  <c r="W28" i="3"/>
  <c r="V28" i="3"/>
  <c r="T28" i="3"/>
  <c r="S28" i="3"/>
  <c r="P28" i="3"/>
  <c r="Q28" i="3" s="1"/>
  <c r="AO27" i="3"/>
  <c r="AN27" i="3"/>
  <c r="AM27" i="3"/>
  <c r="AL27" i="3"/>
  <c r="AK27" i="3"/>
  <c r="S27" i="3"/>
  <c r="Q27" i="3"/>
  <c r="AO26" i="3"/>
  <c r="AN26" i="3"/>
  <c r="AM26" i="3"/>
  <c r="AL26" i="3"/>
  <c r="AK26" i="3"/>
  <c r="AH26" i="3"/>
  <c r="S26" i="3"/>
  <c r="AO25" i="3"/>
  <c r="AN25" i="3"/>
  <c r="AM25" i="3"/>
  <c r="AL25" i="3"/>
  <c r="AK25" i="3"/>
  <c r="V25" i="3"/>
  <c r="S25" i="3"/>
  <c r="AO24" i="3"/>
  <c r="AN24" i="3"/>
  <c r="AM24" i="3"/>
  <c r="AL24" i="3"/>
  <c r="AK24" i="3"/>
  <c r="Z24" i="3"/>
  <c r="S24" i="3"/>
  <c r="AO23" i="3"/>
  <c r="AN23" i="3"/>
  <c r="AM23" i="3"/>
  <c r="AL23" i="3"/>
  <c r="AK23" i="3"/>
  <c r="N23" i="3"/>
  <c r="AO22" i="3"/>
  <c r="AN22" i="3"/>
  <c r="AM22" i="3"/>
  <c r="AL22" i="3"/>
  <c r="AK22" i="3"/>
  <c r="AH22" i="3"/>
  <c r="AF22" i="3"/>
  <c r="AE22" i="3"/>
  <c r="AB22" i="3"/>
  <c r="AC22" i="3" s="1"/>
  <c r="AA22" i="3"/>
  <c r="Z22" i="3"/>
  <c r="X22" i="3"/>
  <c r="W22" i="3"/>
  <c r="T22" i="3"/>
  <c r="U22" i="3" s="1"/>
  <c r="S22" i="3"/>
  <c r="R22" i="3"/>
  <c r="P22" i="3"/>
  <c r="AO21" i="3"/>
  <c r="AN21" i="3"/>
  <c r="AM21" i="3"/>
  <c r="AL21" i="3"/>
  <c r="AK21" i="3"/>
  <c r="V21" i="3"/>
  <c r="S21" i="3"/>
  <c r="AO20" i="3"/>
  <c r="AN20" i="3"/>
  <c r="AM20" i="3"/>
  <c r="AL20" i="3"/>
  <c r="AK20" i="3"/>
  <c r="Z20" i="3"/>
  <c r="S20" i="3"/>
  <c r="O20" i="3"/>
  <c r="O26" i="3" s="1"/>
  <c r="AO19" i="3"/>
  <c r="AN19" i="3"/>
  <c r="AM19" i="3"/>
  <c r="AL19" i="3"/>
  <c r="AK19" i="3"/>
  <c r="S19" i="3"/>
  <c r="Q19" i="3"/>
  <c r="AO18" i="3"/>
  <c r="AN18" i="3"/>
  <c r="AM18" i="3"/>
  <c r="AL18" i="3"/>
  <c r="AK18" i="3"/>
  <c r="AI18" i="3"/>
  <c r="AI24" i="3" s="1"/>
  <c r="AH18" i="3"/>
  <c r="S18" i="3"/>
  <c r="AO17" i="3"/>
  <c r="AN17" i="3"/>
  <c r="AM17" i="3"/>
  <c r="AL17" i="3"/>
  <c r="AK17" i="3"/>
  <c r="V17" i="3"/>
  <c r="N17" i="3"/>
  <c r="AO16" i="3"/>
  <c r="AN16" i="3"/>
  <c r="AM16" i="3"/>
  <c r="AL16" i="3"/>
  <c r="AK16" i="3"/>
  <c r="AF16" i="3"/>
  <c r="AE16" i="3"/>
  <c r="AB16" i="3"/>
  <c r="AA16" i="3"/>
  <c r="X16" i="3"/>
  <c r="W16" i="3"/>
  <c r="V16" i="3"/>
  <c r="T16" i="3"/>
  <c r="S16" i="3"/>
  <c r="P16" i="3"/>
  <c r="O16" i="3"/>
  <c r="O22" i="3" s="1"/>
  <c r="O28" i="3" s="1"/>
  <c r="AO15" i="3"/>
  <c r="AN15" i="3"/>
  <c r="AM15" i="3"/>
  <c r="AL15" i="3"/>
  <c r="AK15" i="3"/>
  <c r="AI15" i="3"/>
  <c r="AI21" i="3" s="1"/>
  <c r="AI27" i="3" s="1"/>
  <c r="AD15" i="3"/>
  <c r="S15" i="3"/>
  <c r="Q15" i="3"/>
  <c r="O15" i="3"/>
  <c r="O21" i="3" s="1"/>
  <c r="O27" i="3" s="1"/>
  <c r="AO14" i="3"/>
  <c r="AN14" i="3"/>
  <c r="AM14" i="3"/>
  <c r="AL14" i="3"/>
  <c r="AK14" i="3"/>
  <c r="AI14" i="3"/>
  <c r="AI20" i="3" s="1"/>
  <c r="AI26" i="3" s="1"/>
  <c r="AH14" i="3"/>
  <c r="S14" i="3"/>
  <c r="O14" i="3"/>
  <c r="AO13" i="3"/>
  <c r="AN13" i="3"/>
  <c r="AM13" i="3"/>
  <c r="AL13" i="3"/>
  <c r="AK13" i="3"/>
  <c r="AI13" i="3"/>
  <c r="AI19" i="3" s="1"/>
  <c r="AI25" i="3" s="1"/>
  <c r="V13" i="3"/>
  <c r="S13" i="3"/>
  <c r="O13" i="3"/>
  <c r="O19" i="3" s="1"/>
  <c r="O25" i="3" s="1"/>
  <c r="AO12" i="3"/>
  <c r="AN12" i="3"/>
  <c r="AM12" i="3"/>
  <c r="AL12" i="3"/>
  <c r="AK12" i="3"/>
  <c r="AI12" i="3"/>
  <c r="Z12" i="3"/>
  <c r="S12" i="3"/>
  <c r="O12" i="3"/>
  <c r="O18" i="3" s="1"/>
  <c r="O24" i="3" s="1"/>
  <c r="AO11" i="3"/>
  <c r="AD28" i="3" s="1"/>
  <c r="AN11" i="3"/>
  <c r="AM11" i="3"/>
  <c r="AL11" i="3"/>
  <c r="AK11" i="3"/>
  <c r="AI11" i="3"/>
  <c r="AI17" i="3" s="1"/>
  <c r="AD11" i="3"/>
  <c r="O11" i="3"/>
  <c r="O17" i="3" s="1"/>
  <c r="O23" i="3" s="1"/>
  <c r="N11" i="3"/>
  <c r="AO10" i="3"/>
  <c r="AN10" i="3"/>
  <c r="AM10" i="3"/>
  <c r="AL10" i="3"/>
  <c r="AK10" i="3"/>
  <c r="AI10" i="3"/>
  <c r="AH10" i="3"/>
  <c r="AF10" i="3"/>
  <c r="AE10" i="3"/>
  <c r="AB10" i="3"/>
  <c r="AA10" i="3"/>
  <c r="Z10" i="3"/>
  <c r="X10" i="3"/>
  <c r="W10" i="3"/>
  <c r="T10" i="3"/>
  <c r="S10" i="3"/>
  <c r="R10" i="3"/>
  <c r="P10" i="3"/>
  <c r="AO9" i="3"/>
  <c r="AN9" i="3"/>
  <c r="AM9" i="3"/>
  <c r="AL9" i="3"/>
  <c r="AK9" i="3"/>
  <c r="AH9" i="3"/>
  <c r="S9" i="3"/>
  <c r="AO8" i="3"/>
  <c r="AN8" i="3"/>
  <c r="AM8" i="3"/>
  <c r="AL8" i="3"/>
  <c r="AK8" i="3"/>
  <c r="AH8" i="3"/>
  <c r="S8" i="3"/>
  <c r="AO7" i="3"/>
  <c r="AN7" i="3"/>
  <c r="AM7" i="3"/>
  <c r="AL7" i="3"/>
  <c r="AK7" i="3"/>
  <c r="AD7" i="3"/>
  <c r="V7" i="3"/>
  <c r="S7" i="3"/>
  <c r="Q7" i="3"/>
  <c r="AO6" i="3"/>
  <c r="AN6" i="3"/>
  <c r="AM6" i="3"/>
  <c r="AL6" i="3"/>
  <c r="AK6" i="3"/>
  <c r="AH6" i="3"/>
  <c r="Z6" i="3"/>
  <c r="S6" i="3"/>
  <c r="AO5" i="3"/>
  <c r="AN5" i="3"/>
  <c r="AM5" i="3"/>
  <c r="AL5" i="3"/>
  <c r="AK5" i="3"/>
  <c r="V5" i="3"/>
  <c r="N5" i="3"/>
  <c r="AO4" i="3"/>
  <c r="AN4" i="3"/>
  <c r="AM4" i="3"/>
  <c r="AL4" i="3"/>
  <c r="AK4" i="3"/>
  <c r="U27" i="3" s="1"/>
  <c r="X28" i="2"/>
  <c r="V28" i="2"/>
  <c r="U28" i="2"/>
  <c r="T28" i="2"/>
  <c r="X27" i="2"/>
  <c r="V27" i="2"/>
  <c r="U27" i="2"/>
  <c r="T27" i="2"/>
  <c r="X26" i="2"/>
  <c r="V26" i="2"/>
  <c r="U26" i="2"/>
  <c r="T26" i="2"/>
  <c r="X25" i="2"/>
  <c r="V25" i="2"/>
  <c r="U25" i="2"/>
  <c r="T25" i="2"/>
  <c r="X24" i="2"/>
  <c r="V24" i="2"/>
  <c r="U24" i="2"/>
  <c r="T24" i="2"/>
  <c r="AR15" i="2"/>
  <c r="R15" i="2"/>
  <c r="Q15" i="2"/>
  <c r="F15" i="2"/>
  <c r="K14" i="2"/>
  <c r="K13" i="2"/>
  <c r="K12" i="2"/>
  <c r="AR11" i="2"/>
  <c r="AS11" i="2" s="1"/>
  <c r="AD11" i="2"/>
  <c r="AC11" i="2"/>
  <c r="Z11" i="2"/>
  <c r="Y11" i="2"/>
  <c r="V11" i="2"/>
  <c r="U11" i="2"/>
  <c r="R11" i="2"/>
  <c r="Q11" i="2"/>
  <c r="AR10" i="2"/>
  <c r="AS10" i="2" s="1"/>
  <c r="AD10" i="2"/>
  <c r="F10" i="2" s="1"/>
  <c r="AC10" i="2"/>
  <c r="Z10" i="2"/>
  <c r="Y10" i="2"/>
  <c r="V10" i="2"/>
  <c r="U10" i="2"/>
  <c r="R10" i="2"/>
  <c r="Q10" i="2"/>
  <c r="AR9" i="2"/>
  <c r="AS9" i="2" s="1"/>
  <c r="AD9" i="2"/>
  <c r="AC9" i="2"/>
  <c r="Z9" i="2"/>
  <c r="Y9" i="2"/>
  <c r="V9" i="2"/>
  <c r="U9" i="2"/>
  <c r="R9" i="2"/>
  <c r="Q9" i="2"/>
  <c r="F9" i="2" s="1"/>
  <c r="AS8" i="2"/>
  <c r="AR8" i="2"/>
  <c r="AP8" i="2"/>
  <c r="AO8" i="2"/>
  <c r="AL8" i="2"/>
  <c r="AK8" i="2"/>
  <c r="AH8" i="2"/>
  <c r="AG8" i="2"/>
  <c r="AD8" i="2"/>
  <c r="AC8" i="2"/>
  <c r="Z8" i="2"/>
  <c r="Y8" i="2"/>
  <c r="V8" i="2"/>
  <c r="U8" i="2"/>
  <c r="R8" i="2"/>
  <c r="F8" i="2" s="1"/>
  <c r="Q8" i="2"/>
  <c r="K8" i="2"/>
  <c r="AR7" i="2"/>
  <c r="AS7" i="2" s="1"/>
  <c r="AP7" i="2"/>
  <c r="AO7" i="2"/>
  <c r="AL7" i="2"/>
  <c r="AK7" i="2"/>
  <c r="AH7" i="2"/>
  <c r="AG7" i="2"/>
  <c r="AD7" i="2"/>
  <c r="AC7" i="2"/>
  <c r="Z7" i="2"/>
  <c r="Y7" i="2"/>
  <c r="V7" i="2"/>
  <c r="U7" i="2"/>
  <c r="R7" i="2"/>
  <c r="F7" i="2" s="1"/>
  <c r="Q7" i="2"/>
  <c r="K7" i="2"/>
  <c r="Z6" i="2"/>
  <c r="Y6" i="2"/>
  <c r="V6" i="2"/>
  <c r="U6" i="2"/>
  <c r="R6" i="2"/>
  <c r="Q6" i="2"/>
  <c r="F6" i="2" s="1"/>
  <c r="AR5" i="2"/>
  <c r="AS5" i="2" s="1"/>
  <c r="AH5" i="2"/>
  <c r="AG5" i="2"/>
  <c r="AD5" i="2"/>
  <c r="AC5" i="2"/>
  <c r="Z5" i="2"/>
  <c r="Y5" i="2"/>
  <c r="V5" i="2"/>
  <c r="U5" i="2"/>
  <c r="R5" i="2"/>
  <c r="Q5" i="2"/>
  <c r="F5" i="2" s="1"/>
  <c r="H37" i="1"/>
  <c r="N37" i="1" s="1"/>
  <c r="G37" i="1"/>
  <c r="H36" i="1"/>
  <c r="N36" i="1" s="1"/>
  <c r="G36" i="1"/>
  <c r="H35" i="1"/>
  <c r="N35" i="1" s="1"/>
  <c r="G35" i="1"/>
  <c r="G34" i="1"/>
  <c r="F34" i="1"/>
  <c r="C34" i="1"/>
  <c r="N33" i="1"/>
  <c r="H33" i="1"/>
  <c r="G33" i="1"/>
  <c r="F33" i="1"/>
  <c r="B33" i="1" s="1"/>
  <c r="C33" i="1"/>
  <c r="H32" i="1"/>
  <c r="N32" i="1" s="1"/>
  <c r="F32" i="1"/>
  <c r="B32" i="1" s="1"/>
  <c r="C32" i="1"/>
  <c r="H31" i="1"/>
  <c r="N31" i="1" s="1"/>
  <c r="G31" i="1"/>
  <c r="F31" i="1"/>
  <c r="C31" i="1"/>
  <c r="B31" i="1"/>
  <c r="F30" i="1"/>
  <c r="H30" i="1" s="1"/>
  <c r="N30" i="1" s="1"/>
  <c r="F29" i="1"/>
  <c r="H29" i="1" s="1"/>
  <c r="N29" i="1" s="1"/>
  <c r="H28" i="1"/>
  <c r="N28" i="1" s="1"/>
  <c r="G28" i="1"/>
  <c r="F28" i="1"/>
  <c r="C28" i="1"/>
  <c r="B28" i="1"/>
  <c r="K27" i="1"/>
  <c r="H27" i="1"/>
  <c r="N27" i="1" s="1"/>
  <c r="G27" i="1"/>
  <c r="F27" i="1"/>
  <c r="C27" i="1"/>
  <c r="B27" i="1"/>
  <c r="K26" i="1"/>
  <c r="H26" i="1"/>
  <c r="N26" i="1" s="1"/>
  <c r="G26" i="1"/>
  <c r="F26" i="1"/>
  <c r="C26" i="1"/>
  <c r="B26" i="1"/>
  <c r="K25" i="1"/>
  <c r="H25" i="1"/>
  <c r="N25" i="1" s="1"/>
  <c r="G25" i="1"/>
  <c r="F25" i="1"/>
  <c r="C25" i="1"/>
  <c r="B25" i="1"/>
  <c r="K24" i="1"/>
  <c r="H24" i="1"/>
  <c r="N24" i="1" s="1"/>
  <c r="G24" i="1"/>
  <c r="F24" i="1"/>
  <c r="C24" i="1"/>
  <c r="B24" i="1"/>
  <c r="K23" i="1"/>
  <c r="H23" i="1"/>
  <c r="N23" i="1" s="1"/>
  <c r="G23" i="1"/>
  <c r="F23" i="1"/>
  <c r="C23" i="1"/>
  <c r="B23" i="1"/>
  <c r="K22" i="1"/>
  <c r="H22" i="1"/>
  <c r="N22" i="1" s="1"/>
  <c r="G22" i="1"/>
  <c r="F22" i="1"/>
  <c r="C22" i="1"/>
  <c r="B22" i="1"/>
  <c r="K21" i="1"/>
  <c r="H21" i="1"/>
  <c r="N21" i="1" s="1"/>
  <c r="G21" i="1"/>
  <c r="F21" i="1"/>
  <c r="C21" i="1"/>
  <c r="K20" i="1"/>
  <c r="G20" i="1"/>
  <c r="F20" i="1"/>
  <c r="C20" i="1"/>
  <c r="N19" i="1"/>
  <c r="H19" i="1"/>
  <c r="G19" i="1"/>
  <c r="F19" i="1"/>
  <c r="B19" i="1" s="1"/>
  <c r="C19" i="1" s="1"/>
  <c r="H18" i="1"/>
  <c r="N18" i="1" s="1"/>
  <c r="F18" i="1"/>
  <c r="B18" i="1" s="1"/>
  <c r="C18" i="1" s="1"/>
  <c r="H17" i="1"/>
  <c r="N17" i="1" s="1"/>
  <c r="G17" i="1"/>
  <c r="F17" i="1"/>
  <c r="B17" i="1"/>
  <c r="C17" i="1" s="1"/>
  <c r="F16" i="1"/>
  <c r="G16" i="1" s="1"/>
  <c r="F15" i="1"/>
  <c r="H15" i="1" s="1"/>
  <c r="N15" i="1" s="1"/>
  <c r="H14" i="1"/>
  <c r="N14" i="1" s="1"/>
  <c r="G14" i="1"/>
  <c r="F14" i="1"/>
  <c r="C14" i="1"/>
  <c r="B14" i="1"/>
  <c r="G13" i="1"/>
  <c r="F13" i="1"/>
  <c r="B13" i="1"/>
  <c r="C13" i="1" s="1"/>
  <c r="F12" i="1"/>
  <c r="N11" i="1"/>
  <c r="H11" i="1"/>
  <c r="G11" i="1"/>
  <c r="F11" i="1"/>
  <c r="B11" i="1" s="1"/>
  <c r="C11" i="1" s="1"/>
  <c r="H10" i="1"/>
  <c r="N10" i="1" s="1"/>
  <c r="F10" i="1"/>
  <c r="B10" i="1" s="1"/>
  <c r="C10" i="1" s="1"/>
  <c r="H9" i="1"/>
  <c r="N9" i="1" s="1"/>
  <c r="G9" i="1"/>
  <c r="F9" i="1"/>
  <c r="B9" i="1"/>
  <c r="C9" i="1" s="1"/>
  <c r="F8" i="1"/>
  <c r="G8" i="1" s="1"/>
  <c r="F7" i="1"/>
  <c r="H7" i="1" s="1"/>
  <c r="N7" i="1" s="1"/>
  <c r="H6" i="1"/>
  <c r="N6" i="1" s="1"/>
  <c r="G6" i="1"/>
  <c r="F6" i="1"/>
  <c r="C6" i="1"/>
  <c r="B6" i="1"/>
  <c r="G5" i="1"/>
  <c r="F5" i="1"/>
  <c r="C5" i="1"/>
  <c r="F11" i="2" l="1"/>
  <c r="D30" i="1"/>
  <c r="B29" i="1"/>
  <c r="C29" i="1" s="1"/>
  <c r="D29" i="1"/>
  <c r="X3" i="6"/>
  <c r="Z3" i="6"/>
  <c r="S2" i="6"/>
  <c r="AI23" i="3"/>
  <c r="AI28" i="3" s="1"/>
  <c r="AI22" i="3"/>
  <c r="AD5" i="3"/>
  <c r="Z8" i="3"/>
  <c r="Z9" i="3"/>
  <c r="V10" i="3"/>
  <c r="AD10" i="3"/>
  <c r="V11" i="3"/>
  <c r="AH12" i="3"/>
  <c r="Q13" i="3"/>
  <c r="AD13" i="3"/>
  <c r="Z14" i="3"/>
  <c r="V15" i="3"/>
  <c r="R16" i="3"/>
  <c r="Z16" i="3"/>
  <c r="AH16" i="3"/>
  <c r="AD17" i="3"/>
  <c r="Z18" i="3"/>
  <c r="V19" i="3"/>
  <c r="AH20" i="3"/>
  <c r="Q21" i="3"/>
  <c r="AD21" i="3"/>
  <c r="V22" i="3"/>
  <c r="AD22" i="3"/>
  <c r="V23" i="3"/>
  <c r="AH24" i="3"/>
  <c r="Q25" i="3"/>
  <c r="AD25" i="3"/>
  <c r="Z26" i="3"/>
  <c r="V27" i="3"/>
  <c r="R28" i="3"/>
  <c r="L8" i="3" s="1"/>
  <c r="Z28" i="3"/>
  <c r="AH28" i="3"/>
  <c r="AD27" i="3"/>
  <c r="H5" i="1"/>
  <c r="N5" i="1" s="1"/>
  <c r="B8" i="1"/>
  <c r="C8" i="1" s="1"/>
  <c r="G12" i="1"/>
  <c r="H13" i="1"/>
  <c r="N13" i="1" s="1"/>
  <c r="B16" i="1"/>
  <c r="C16" i="1" s="1"/>
  <c r="H20" i="1"/>
  <c r="N20" i="1" s="1"/>
  <c r="B30" i="1"/>
  <c r="C30" i="1" s="1"/>
  <c r="H34" i="1"/>
  <c r="N34" i="1" s="1"/>
  <c r="Q5" i="3"/>
  <c r="AG5" i="3"/>
  <c r="U6" i="3"/>
  <c r="Y7" i="3"/>
  <c r="AC8" i="3"/>
  <c r="AC9" i="3"/>
  <c r="Y11" i="3"/>
  <c r="U12" i="3"/>
  <c r="R13" i="3"/>
  <c r="AG13" i="3"/>
  <c r="AC14" i="3"/>
  <c r="Y15" i="3"/>
  <c r="AI16" i="3"/>
  <c r="Q17" i="3"/>
  <c r="E7" i="3" s="1"/>
  <c r="AG17" i="3"/>
  <c r="AC18" i="3"/>
  <c r="Y19" i="3"/>
  <c r="U20" i="3"/>
  <c r="R21" i="3"/>
  <c r="AG21" i="3"/>
  <c r="Y23" i="3"/>
  <c r="U24" i="3"/>
  <c r="R25" i="3"/>
  <c r="AG25" i="3"/>
  <c r="AC26" i="3"/>
  <c r="Y27" i="3"/>
  <c r="J5" i="4"/>
  <c r="X5" i="4"/>
  <c r="B7" i="1"/>
  <c r="C7" i="1" s="1"/>
  <c r="R5" i="3"/>
  <c r="AH5" i="3"/>
  <c r="V6" i="3"/>
  <c r="Z7" i="3"/>
  <c r="Q8" i="3"/>
  <c r="AD8" i="3"/>
  <c r="Q9" i="3"/>
  <c r="AD9" i="3"/>
  <c r="Z11" i="3"/>
  <c r="V12" i="3"/>
  <c r="AH13" i="3"/>
  <c r="Q14" i="3"/>
  <c r="AD14" i="3"/>
  <c r="Z15" i="3"/>
  <c r="R17" i="3"/>
  <c r="AH17" i="3"/>
  <c r="Q18" i="3"/>
  <c r="AD18" i="3"/>
  <c r="Z19" i="3"/>
  <c r="V20" i="3"/>
  <c r="AH21" i="3"/>
  <c r="Z23" i="3"/>
  <c r="V24" i="3"/>
  <c r="AH25" i="3"/>
  <c r="Q26" i="3"/>
  <c r="AD26" i="3"/>
  <c r="Z27" i="3"/>
  <c r="K5" i="4"/>
  <c r="AA5" i="4"/>
  <c r="H12" i="1"/>
  <c r="N12" i="1" s="1"/>
  <c r="B15" i="1"/>
  <c r="C15" i="1" s="1"/>
  <c r="G10" i="1"/>
  <c r="G18" i="1"/>
  <c r="G32" i="1"/>
  <c r="U5" i="3"/>
  <c r="Y6" i="3"/>
  <c r="AC7" i="3"/>
  <c r="R8" i="3"/>
  <c r="AG8" i="3"/>
  <c r="R9" i="3"/>
  <c r="AG9" i="3"/>
  <c r="Q10" i="3"/>
  <c r="Y10" i="3"/>
  <c r="AG10" i="3"/>
  <c r="AC11" i="3"/>
  <c r="Y12" i="3"/>
  <c r="U13" i="3"/>
  <c r="R14" i="3"/>
  <c r="AG14" i="3"/>
  <c r="AC15" i="3"/>
  <c r="U16" i="3"/>
  <c r="AC16" i="3"/>
  <c r="U17" i="3"/>
  <c r="R18" i="3"/>
  <c r="AG18" i="3"/>
  <c r="AC19" i="3"/>
  <c r="Y20" i="3"/>
  <c r="U21" i="3"/>
  <c r="Q22" i="3"/>
  <c r="L7" i="3" s="1"/>
  <c r="Y22" i="3"/>
  <c r="AG22" i="3"/>
  <c r="AC23" i="3"/>
  <c r="Y24" i="3"/>
  <c r="U25" i="3"/>
  <c r="R26" i="3"/>
  <c r="AG26" i="3"/>
  <c r="AC27" i="3"/>
  <c r="U28" i="3"/>
  <c r="AC28" i="3"/>
  <c r="M5" i="4"/>
  <c r="AE5" i="4" s="1"/>
  <c r="AB5" i="4"/>
  <c r="AD16" i="3"/>
  <c r="G30" i="1"/>
  <c r="Y5" i="3"/>
  <c r="AC6" i="3"/>
  <c r="R7" i="3"/>
  <c r="AG7" i="3"/>
  <c r="U8" i="3"/>
  <c r="U9" i="3"/>
  <c r="Q11" i="3"/>
  <c r="AG11" i="3"/>
  <c r="AC12" i="3"/>
  <c r="Y13" i="3"/>
  <c r="U14" i="3"/>
  <c r="R15" i="3"/>
  <c r="AG15" i="3"/>
  <c r="Y17" i="3"/>
  <c r="U18" i="3"/>
  <c r="R19" i="3"/>
  <c r="G7" i="3" s="1"/>
  <c r="AG19" i="3"/>
  <c r="AC20" i="3"/>
  <c r="Y21" i="3"/>
  <c r="Q23" i="3"/>
  <c r="AG23" i="3"/>
  <c r="AC24" i="3"/>
  <c r="Y25" i="3"/>
  <c r="U26" i="3"/>
  <c r="R27" i="3"/>
  <c r="J8" i="3" s="1"/>
  <c r="AG27" i="3"/>
  <c r="J6" i="5"/>
  <c r="J16" i="5"/>
  <c r="J18" i="5"/>
  <c r="AD19" i="3"/>
  <c r="B12" i="1"/>
  <c r="C12" i="1" s="1"/>
  <c r="G7" i="1"/>
  <c r="H8" i="1"/>
  <c r="N8" i="1" s="1"/>
  <c r="G15" i="1"/>
  <c r="H16" i="1"/>
  <c r="N16" i="1" s="1"/>
  <c r="G29" i="1"/>
  <c r="Z5" i="3"/>
  <c r="Q6" i="3"/>
  <c r="AD6" i="3"/>
  <c r="AH7" i="3"/>
  <c r="V8" i="3"/>
  <c r="V9" i="3"/>
  <c r="R11" i="3"/>
  <c r="AH11" i="3"/>
  <c r="Q12" i="3"/>
  <c r="AD12" i="3"/>
  <c r="Z13" i="3"/>
  <c r="V14" i="3"/>
  <c r="AH15" i="3"/>
  <c r="Z17" i="3"/>
  <c r="V18" i="3"/>
  <c r="AH19" i="3"/>
  <c r="Q20" i="3"/>
  <c r="I7" i="3" s="1"/>
  <c r="AD20" i="3"/>
  <c r="Z21" i="3"/>
  <c r="R23" i="3"/>
  <c r="AH23" i="3"/>
  <c r="Q24" i="3"/>
  <c r="AD24" i="3"/>
  <c r="Z25" i="3"/>
  <c r="V26" i="3"/>
  <c r="AH27" i="3"/>
  <c r="S5" i="4"/>
  <c r="F5" i="4" s="1"/>
  <c r="K16" i="5"/>
  <c r="K18" i="5"/>
  <c r="AD23" i="3"/>
  <c r="AC5" i="3"/>
  <c r="R6" i="3"/>
  <c r="AG6" i="3"/>
  <c r="U7" i="3"/>
  <c r="Y8" i="3"/>
  <c r="Y9" i="3"/>
  <c r="U10" i="3"/>
  <c r="AC10" i="3"/>
  <c r="U11" i="3"/>
  <c r="R12" i="3"/>
  <c r="AG12" i="3"/>
  <c r="AC13" i="3"/>
  <c r="Y14" i="3"/>
  <c r="U15" i="3"/>
  <c r="Q16" i="3"/>
  <c r="Y16" i="3"/>
  <c r="AG16" i="3"/>
  <c r="AC17" i="3"/>
  <c r="Y18" i="3"/>
  <c r="U19" i="3"/>
  <c r="R20" i="3"/>
  <c r="AG20" i="3"/>
  <c r="AC21" i="3"/>
  <c r="U23" i="3"/>
  <c r="R24" i="3"/>
  <c r="AG24" i="3"/>
  <c r="AC25" i="3"/>
  <c r="Y26" i="3"/>
  <c r="F7" i="3" l="1"/>
  <c r="E8" i="3"/>
  <c r="J6" i="3"/>
  <c r="G6" i="3"/>
  <c r="G5" i="3"/>
  <c r="J5" i="3"/>
  <c r="E5" i="4"/>
  <c r="G8" i="3"/>
  <c r="L6" i="3"/>
  <c r="L5" i="3"/>
  <c r="I5" i="3"/>
  <c r="I8" i="3"/>
  <c r="F8" i="3"/>
  <c r="I6" i="3"/>
  <c r="E5" i="3"/>
  <c r="F6" i="3"/>
  <c r="E6" i="3"/>
  <c r="J7" i="3"/>
  <c r="F5" i="3"/>
</calcChain>
</file>

<file path=xl/comments1.xml><?xml version="1.0" encoding="utf-8"?>
<comments xmlns="http://schemas.openxmlformats.org/spreadsheetml/2006/main">
  <authors>
    <author>作者</author>
  </authors>
  <commentList>
    <comment ref="M4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不考虑首充双倍、贵族、月卡</t>
        </r>
      </text>
    </comment>
    <comment ref="K24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涂黄的未不做首次区分的
读取的是非首次充值的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A4" authorId="0" shapeId="0">
      <text>
        <r>
          <rPr>
            <sz val="9"/>
            <rFont val="宋体"/>
            <family val="3"/>
            <charset val="134"/>
          </rPr>
          <t>添加新的充值id后修改</t>
        </r>
        <r>
          <rPr>
            <b/>
            <sz val="9"/>
            <rFont val="宋体"/>
            <family val="3"/>
            <charset val="134"/>
          </rPr>
          <t>商品描述和充值档位名称RMBDes表</t>
        </r>
      </text>
    </comment>
    <comment ref="J4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喜从天降501、502如果一个房间配置了两个，502覆盖501</t>
        </r>
      </text>
    </comment>
    <comment ref="J7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喜从天降只能每个档位对应那一个房间</t>
        </r>
      </text>
    </comment>
    <comment ref="J8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喜从天降只能每个档位对应那一个房间</t>
        </r>
      </text>
    </comment>
    <comment ref="L9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填写原价用来计算优惠百分比</t>
        </r>
      </text>
    </comment>
    <comment ref="AU20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实物价值是正常价值的2倍</t>
        </r>
      </text>
    </comment>
    <comment ref="Q23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未考虑人民币额度，只考虑本次省下的钻石
节省钻石与rmb对应关系即可得出是否比商城双倍划算</t>
        </r>
      </text>
    </comment>
    <comment ref="R23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玩家在的最大炮倍率对应的直升档位最近时，购买直升N炮</t>
        </r>
      </text>
    </comment>
  </commentList>
</comments>
</file>

<file path=xl/comments3.xml><?xml version="1.0" encoding="utf-8"?>
<comments xmlns="http://schemas.openxmlformats.org/spreadsheetml/2006/main">
  <authors>
    <author>作者</author>
  </authors>
  <commentList>
    <comment ref="A4" authorId="0" shapeId="0">
      <text>
        <r>
          <rPr>
            <sz val="9"/>
            <rFont val="宋体"/>
            <family val="3"/>
            <charset val="134"/>
          </rPr>
          <t>添加新的充值id后修改</t>
        </r>
        <r>
          <rPr>
            <b/>
            <sz val="9"/>
            <rFont val="宋体"/>
            <family val="3"/>
            <charset val="134"/>
          </rPr>
          <t>商品描述和充值档位名称RMBDes表</t>
        </r>
      </text>
    </comment>
    <comment ref="AK20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实物价值是正常价值的2倍</t>
        </r>
      </text>
    </comment>
  </commentList>
</comments>
</file>

<file path=xl/comments4.xml><?xml version="1.0" encoding="utf-8"?>
<comments xmlns="http://schemas.openxmlformats.org/spreadsheetml/2006/main">
  <authors>
    <author>作者</author>
  </authors>
  <commentList>
    <comment ref="AG20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实物价值是正常价值的2倍</t>
        </r>
      </text>
    </comment>
  </commentList>
</comments>
</file>

<file path=xl/comments5.xml><?xml version="1.0" encoding="utf-8"?>
<comments xmlns="http://schemas.openxmlformats.org/spreadsheetml/2006/main">
  <authors>
    <author>jianlong wo</author>
  </authors>
  <commentList>
    <comment ref="C4" authorId="0" shapeId="0">
      <text>
        <r>
          <rPr>
            <sz val="9"/>
            <rFont val="宋体"/>
            <family val="3"/>
            <charset val="134"/>
          </rPr>
          <t>玩家注册后的第N次</t>
        </r>
      </text>
    </comment>
    <comment ref="D4" authorId="0" shapeId="0">
      <text>
        <r>
          <rPr>
            <sz val="9"/>
            <rFont val="宋体"/>
            <family val="3"/>
            <charset val="134"/>
          </rPr>
          <t>玩家注册后的第N次</t>
        </r>
      </text>
    </comment>
    <comment ref="E4" authorId="0" shapeId="0">
      <text>
        <r>
          <rPr>
            <sz val="9"/>
            <rFont val="宋体"/>
            <family val="3"/>
            <charset val="134"/>
          </rPr>
          <t>玩家注册后的第N次</t>
        </r>
      </text>
    </comment>
    <comment ref="F4" authorId="0" shapeId="0">
      <text>
        <r>
          <rPr>
            <sz val="9"/>
            <rFont val="宋体"/>
            <family val="3"/>
            <charset val="134"/>
          </rPr>
          <t>玩家注册后的第N次</t>
        </r>
      </text>
    </comment>
  </commentList>
</comments>
</file>

<file path=xl/sharedStrings.xml><?xml version="1.0" encoding="utf-8"?>
<sst xmlns="http://schemas.openxmlformats.org/spreadsheetml/2006/main" count="565" uniqueCount="221">
  <si>
    <t>cs</t>
  </si>
  <si>
    <t>s</t>
  </si>
  <si>
    <t>充值1rmb金币价值</t>
  </si>
  <si>
    <t>int</t>
  </si>
  <si>
    <t>string</t>
  </si>
  <si>
    <t>id</t>
  </si>
  <si>
    <t>name</t>
  </si>
  <si>
    <t>des</t>
  </si>
  <si>
    <t>reward1</t>
  </si>
  <si>
    <t>reward2</t>
  </si>
  <si>
    <t>RMB</t>
  </si>
  <si>
    <t>firstRMBPool</t>
  </si>
  <si>
    <t>RMBPool</t>
  </si>
  <si>
    <t>key值编号</t>
  </si>
  <si>
    <t>充值档位名称</t>
  </si>
  <si>
    <t>描述1</t>
  </si>
  <si>
    <r>
      <rPr>
        <sz val="10"/>
        <color theme="1"/>
        <rFont val="微软雅黑"/>
        <family val="2"/>
        <charset val="134"/>
      </rPr>
      <t>补偿奖励
针对炮倍礼包，补单时玩家炮倍率</t>
    </r>
    <r>
      <rPr>
        <sz val="10"/>
        <color rgb="FFFF0000"/>
        <rFont val="微软雅黑"/>
        <family val="2"/>
        <charset val="134"/>
      </rPr>
      <t>未达到</t>
    </r>
    <r>
      <rPr>
        <sz val="10"/>
        <color theme="1"/>
        <rFont val="微软雅黑"/>
        <family val="2"/>
        <charset val="134"/>
      </rPr>
      <t>炮倍礼包对应的档位</t>
    </r>
  </si>
  <si>
    <r>
      <rPr>
        <sz val="10"/>
        <color theme="1"/>
        <rFont val="微软雅黑"/>
        <family val="2"/>
        <charset val="134"/>
      </rPr>
      <t>补偿奖励
针对炮倍礼包，补单时玩家炮倍率</t>
    </r>
    <r>
      <rPr>
        <sz val="10"/>
        <color rgb="FFFF0000"/>
        <rFont val="微软雅黑"/>
        <family val="2"/>
        <charset val="134"/>
      </rPr>
      <t>达到</t>
    </r>
    <r>
      <rPr>
        <sz val="10"/>
        <color theme="1"/>
        <rFont val="微软雅黑"/>
        <family val="2"/>
        <charset val="134"/>
      </rPr>
      <t>炮倍礼包对应的档位</t>
    </r>
  </si>
  <si>
    <t>rmb价格</t>
  </si>
  <si>
    <r>
      <rPr>
        <b/>
        <sz val="9"/>
        <color rgb="FFFF0000"/>
        <rFont val="微软雅黑"/>
        <family val="2"/>
        <charset val="134"/>
      </rPr>
      <t>首次</t>
    </r>
    <r>
      <rPr>
        <sz val="9"/>
        <color theme="1"/>
        <rFont val="微软雅黑"/>
        <family val="2"/>
        <charset val="134"/>
      </rPr>
      <t>充值该档位返还金币池子</t>
    </r>
  </si>
  <si>
    <r>
      <rPr>
        <b/>
        <sz val="9"/>
        <color theme="1"/>
        <rFont val="微软雅黑"/>
        <family val="2"/>
        <charset val="134"/>
      </rPr>
      <t>非首次</t>
    </r>
    <r>
      <rPr>
        <sz val="9"/>
        <color theme="1"/>
        <rFont val="微软雅黑"/>
        <family val="2"/>
        <charset val="134"/>
      </rPr>
      <t>充值该档位返还金币池子</t>
    </r>
  </si>
  <si>
    <t>首次充值该档位返还金币池子</t>
  </si>
  <si>
    <t>非首次充值该档位返还金币池子</t>
  </si>
  <si>
    <t>充值立即
获得金币</t>
  </si>
  <si>
    <t>池子+获得
金币数量</t>
  </si>
  <si>
    <t>会员卡</t>
  </si>
  <si>
    <t>首充特惠</t>
  </si>
  <si>
    <t>起航大礼包</t>
  </si>
  <si>
    <t>成长基金</t>
  </si>
  <si>
    <t>欢乐转转转.6元</t>
  </si>
  <si>
    <t>购买后，立即转动此档位转盘，有机会获得30倍大奖</t>
  </si>
  <si>
    <t>欢乐转转转.12元</t>
  </si>
  <si>
    <t>欢乐转转转.28元</t>
  </si>
  <si>
    <t>c</t>
  </si>
  <si>
    <t>rechargeType</t>
  </si>
  <si>
    <t>activeType</t>
  </si>
  <si>
    <t>attackAdd</t>
  </si>
  <si>
    <t>saveZuan</t>
  </si>
  <si>
    <t>money</t>
  </si>
  <si>
    <t>Reward</t>
  </si>
  <si>
    <t>special</t>
  </si>
  <si>
    <t>double</t>
  </si>
  <si>
    <t>automaticPao</t>
  </si>
  <si>
    <t>roomId</t>
  </si>
  <si>
    <t>keepTime</t>
  </si>
  <si>
    <t>showpay</t>
  </si>
  <si>
    <t>showIndex</t>
  </si>
  <si>
    <t>specialitem</t>
  </si>
  <si>
    <t>奖励内容</t>
  </si>
  <si>
    <t>充值类型
3xx,首充,
4xx,卡牌大放送
5xx,喜从天降
6xx,直升N炮
7xx,每日超值礼包
8xx超值道具
9xx不破产礼包
10xx成长基金</t>
  </si>
  <si>
    <t>商品类型
1.首充A，5.首充B
2.卡牌大放送
3.喜从天降
4.直升n炮
6.超值道具
7.不破产礼包
8.成长基金
9.欢乐转转转</t>
  </si>
  <si>
    <t>攻击力（能量）增加提示图片</t>
  </si>
  <si>
    <t>6xx表示节省钻石(直升炮比平时节省)
8xx表示返利百分比</t>
  </si>
  <si>
    <r>
      <rPr>
        <sz val="8"/>
        <color theme="1"/>
        <rFont val="微软雅黑"/>
        <family val="2"/>
        <charset val="134"/>
      </rPr>
      <t xml:space="preserve">充值需要的金钱（元）
</t>
    </r>
    <r>
      <rPr>
        <sz val="8"/>
        <color rgb="FFFF0000"/>
        <rFont val="微软雅黑"/>
        <family val="2"/>
        <charset val="134"/>
      </rPr>
      <t>微信小游戏的充值档位</t>
    </r>
  </si>
  <si>
    <t>一次性奖励类型|物品id|数量
格式：x1|y1|z1,x2|y2|z2|
x：奖励类型；：1货币，2道具
y：物品id，1钻石，2金币 ，其他的物品还没定义
z：具体数量
不填代表没有奖励</t>
  </si>
  <si>
    <t>特殊商品
302为被替换后的商品（商品替换后）
303为随机抽取数量范围，前后均包含（x，n）</t>
  </si>
  <si>
    <t>账号首次购买此档位时，奖励翻n倍，不填则不翻倍</t>
  </si>
  <si>
    <t>表示直升的炮倍率
-1表示没有</t>
  </si>
  <si>
    <t>触发的房间id(没限制则不填写)
1新手,2初级
3中级,4高级
5竞技场6核弹专场</t>
  </si>
  <si>
    <t>持续时间
-1表示无持续时间/s</t>
  </si>
  <si>
    <t>商品显示原价
（如不需要显示原价则不填）</t>
  </si>
  <si>
    <t>同类型商品衔接显示顺序</t>
  </si>
  <si>
    <t>客户端特殊显示道具
（随机数量的物品占位）</t>
  </si>
  <si>
    <t>备注</t>
  </si>
  <si>
    <r>
      <rPr>
        <sz val="11"/>
        <color theme="1"/>
        <rFont val="微软雅黑"/>
        <family val="2"/>
        <charset val="134"/>
      </rPr>
      <t xml:space="preserve">奖励物品
</t>
    </r>
    <r>
      <rPr>
        <sz val="20"/>
        <color theme="1"/>
        <rFont val="微软雅黑"/>
        <family val="2"/>
        <charset val="134"/>
      </rPr>
      <t>1</t>
    </r>
  </si>
  <si>
    <t>物品
类型</t>
  </si>
  <si>
    <t>物品id</t>
  </si>
  <si>
    <t>物品数量</t>
  </si>
  <si>
    <r>
      <rPr>
        <sz val="11"/>
        <color theme="1"/>
        <rFont val="微软雅黑"/>
        <family val="2"/>
        <charset val="134"/>
      </rPr>
      <t xml:space="preserve">奖励物品
</t>
    </r>
    <r>
      <rPr>
        <sz val="22"/>
        <color theme="1"/>
        <rFont val="微软雅黑"/>
        <family val="2"/>
        <charset val="134"/>
      </rPr>
      <t>2</t>
    </r>
  </si>
  <si>
    <r>
      <rPr>
        <sz val="11"/>
        <color theme="1"/>
        <rFont val="微软雅黑"/>
        <family val="2"/>
        <charset val="134"/>
      </rPr>
      <t xml:space="preserve">奖励物品
</t>
    </r>
    <r>
      <rPr>
        <sz val="22"/>
        <color theme="1"/>
        <rFont val="微软雅黑"/>
        <family val="2"/>
        <charset val="134"/>
      </rPr>
      <t>3</t>
    </r>
  </si>
  <si>
    <r>
      <rPr>
        <sz val="11"/>
        <color theme="1"/>
        <rFont val="微软雅黑"/>
        <family val="2"/>
        <charset val="134"/>
      </rPr>
      <t xml:space="preserve">奖励物品
</t>
    </r>
    <r>
      <rPr>
        <sz val="22"/>
        <color theme="1"/>
        <rFont val="微软雅黑"/>
        <family val="2"/>
        <charset val="134"/>
      </rPr>
      <t>4</t>
    </r>
  </si>
  <si>
    <r>
      <rPr>
        <sz val="11"/>
        <color theme="1"/>
        <rFont val="微软雅黑"/>
        <family val="2"/>
        <charset val="134"/>
      </rPr>
      <t xml:space="preserve">奖励物品
</t>
    </r>
    <r>
      <rPr>
        <sz val="22"/>
        <color theme="1"/>
        <rFont val="微软雅黑"/>
        <family val="2"/>
        <charset val="134"/>
      </rPr>
      <t>5</t>
    </r>
  </si>
  <si>
    <r>
      <rPr>
        <sz val="11"/>
        <color theme="1"/>
        <rFont val="微软雅黑"/>
        <family val="2"/>
        <charset val="134"/>
      </rPr>
      <t xml:space="preserve">奖励物品
</t>
    </r>
    <r>
      <rPr>
        <sz val="22"/>
        <color theme="1"/>
        <rFont val="微软雅黑"/>
        <family val="2"/>
        <charset val="134"/>
      </rPr>
      <t>6</t>
    </r>
  </si>
  <si>
    <r>
      <rPr>
        <sz val="11"/>
        <color theme="1"/>
        <rFont val="微软雅黑"/>
        <family val="2"/>
        <charset val="134"/>
      </rPr>
      <t xml:space="preserve">奖励物品
</t>
    </r>
    <r>
      <rPr>
        <sz val="22"/>
        <color theme="1"/>
        <rFont val="微软雅黑"/>
        <family val="2"/>
        <charset val="134"/>
      </rPr>
      <t>7</t>
    </r>
  </si>
  <si>
    <t>钻石价值</t>
  </si>
  <si>
    <t>N倍</t>
  </si>
  <si>
    <t>人民币价值</t>
  </si>
  <si>
    <t>价值
钻石价值</t>
  </si>
  <si>
    <t>物品类型</t>
  </si>
  <si>
    <t>含特殊奖品，改动内容需与前后端沟通</t>
  </si>
  <si>
    <t>金币</t>
  </si>
  <si>
    <t>钻石</t>
  </si>
  <si>
    <t>锁定</t>
  </si>
  <si>
    <t>冰冻</t>
  </si>
  <si>
    <t>狂暴</t>
  </si>
  <si>
    <t>人民币</t>
  </si>
  <si>
    <t>超级武器1</t>
  </si>
  <si>
    <t>2,3</t>
  </si>
  <si>
    <t>召唤</t>
  </si>
  <si>
    <t>4,5,6</t>
  </si>
  <si>
    <t>福卡</t>
  </si>
  <si>
    <t>超级武器2</t>
  </si>
  <si>
    <t>超级武器3</t>
  </si>
  <si>
    <t>1|2|150000</t>
  </si>
  <si>
    <t>超级武器4</t>
  </si>
  <si>
    <t>1|2|300000</t>
  </si>
  <si>
    <t>5元话费卡</t>
  </si>
  <si>
    <t>1|2|700000</t>
  </si>
  <si>
    <t>2元话费卡</t>
  </si>
  <si>
    <t>高压锅</t>
  </si>
  <si>
    <t>30元话费卡</t>
  </si>
  <si>
    <t>50元话费卡</t>
  </si>
  <si>
    <t>未考虑人民币额度</t>
  </si>
  <si>
    <t>比商城省钻石</t>
  </si>
  <si>
    <t>活跃度</t>
  </si>
  <si>
    <t>直升N炮</t>
  </si>
  <si>
    <t>节省钻石Max</t>
  </si>
  <si>
    <t>节省钻石Min</t>
  </si>
  <si>
    <t>rmb</t>
  </si>
  <si>
    <t>钻石:rmb</t>
  </si>
  <si>
    <t>商城双倍钻石</t>
  </si>
  <si>
    <t>实际</t>
  </si>
  <si>
    <t>显示</t>
  </si>
  <si>
    <t>红包【恭】</t>
  </si>
  <si>
    <t>红包【喜】</t>
  </si>
  <si>
    <t>红包【发】</t>
  </si>
  <si>
    <t>红包【财】</t>
  </si>
  <si>
    <t>双轮</t>
  </si>
  <si>
    <t>确保节省钻石Min(最不划算)时,直升炮也要比商城双倍划算</t>
  </si>
  <si>
    <t>isShow</t>
  </si>
  <si>
    <t>rewardFirst</t>
  </si>
  <si>
    <t>rewardSecond1</t>
  </si>
  <si>
    <t>rewardSecond2</t>
  </si>
  <si>
    <t>cdPerSecond</t>
  </si>
  <si>
    <t>rewardThird1</t>
  </si>
  <si>
    <t>rewardThird2</t>
  </si>
  <si>
    <t>cdPerThird</t>
  </si>
  <si>
    <t>rewardExtra</t>
  </si>
  <si>
    <r>
      <rPr>
        <sz val="8"/>
        <color theme="1"/>
        <rFont val="微软雅黑"/>
        <family val="2"/>
        <charset val="134"/>
      </rPr>
      <t>充值类型
3xx,首充,</t>
    </r>
    <r>
      <rPr>
        <b/>
        <sz val="8"/>
        <color rgb="FFFF0000"/>
        <rFont val="微软雅黑"/>
        <family val="2"/>
        <charset val="134"/>
      </rPr>
      <t>301暂时废弃</t>
    </r>
    <r>
      <rPr>
        <sz val="8"/>
        <color theme="1"/>
        <rFont val="微软雅黑"/>
        <family val="2"/>
        <charset val="134"/>
      </rPr>
      <t xml:space="preserve">
4xx,卡牌大放送
5xx,喜从天降
6xx,直升N炮
7xx每日超值礼包</t>
    </r>
  </si>
  <si>
    <t>商品类型
1.首充A，5.首充B
2.卡牌大放送
3.喜从天降
4.直升n炮
6每日超值礼包</t>
  </si>
  <si>
    <t>是否展示
该档位
0否，1是</t>
  </si>
  <si>
    <t>奖励物品1类型|物品id1|数量（第1次）
格式：x1|y1|z1,x2|y2|z2|
x：消耗类型；：1货币，2道具
y：物品id，1钻石，2金币 ，其他的物品还没定义
z：具体数量
不填代表没有奖励</t>
  </si>
  <si>
    <t>第2次购买
倒计时内</t>
  </si>
  <si>
    <t>第2次购买
倒计时结束后</t>
  </si>
  <si>
    <t>倒计时秒,倒计时前a%显示，倒计时后b%显示</t>
  </si>
  <si>
    <t>第3次购买
倒计时内</t>
  </si>
  <si>
    <t>第3次购买
倒计时结束后</t>
  </si>
  <si>
    <t>额外奖励</t>
  </si>
  <si>
    <t>奖励
物品
1</t>
  </si>
  <si>
    <t>物品
数量</t>
  </si>
  <si>
    <t>奖励
物品
2</t>
  </si>
  <si>
    <t>奖励
物品
3</t>
  </si>
  <si>
    <t>奖励
物品
4</t>
  </si>
  <si>
    <t>奖励
物品
5</t>
  </si>
  <si>
    <t>商城购买
金币</t>
  </si>
  <si>
    <t>900,10,5</t>
  </si>
  <si>
    <t>600,20,10</t>
  </si>
  <si>
    <t>第1次</t>
  </si>
  <si>
    <t>第2次10%</t>
  </si>
  <si>
    <t>第2次5%</t>
  </si>
  <si>
    <t>第3次20%</t>
  </si>
  <si>
    <t>第3次10%</t>
  </si>
  <si>
    <t>再得一份</t>
  </si>
  <si>
    <t>cardType</t>
  </si>
  <si>
    <t>itemId</t>
  </si>
  <si>
    <t>length</t>
  </si>
  <si>
    <t>chargeReward</t>
  </si>
  <si>
    <t>everydayReward</t>
  </si>
  <si>
    <t>automaticUse</t>
  </si>
  <si>
    <t>每次充值一次性给予</t>
  </si>
  <si>
    <t>贵族卡每日奖励内容</t>
  </si>
  <si>
    <t>贵宾卡种类
1：周卡
2：月卡
3：三年卡</t>
  </si>
  <si>
    <t xml:space="preserve">贵族卡对应的道具id
</t>
  </si>
  <si>
    <t>持续时间（天）</t>
  </si>
  <si>
    <t>充值一次性给予的奖励格式：x1|y1|z1,x2|y2|z2|
x：消耗类型；：1货币，2道具
y：物品id，1钻石，2金币 ，其他的物品还没定义
z：具体数量
不填代表没有奖励</t>
  </si>
  <si>
    <t>每天奖励类型|物品id|数量
格式：x1|y1|z1,x2|y2|z2|
x：奖励类型；：1货币，2道具
y：物品id，1钻石，2金币 ，其他的物品还没定义
z：具体数量
不填代表没有奖励</t>
  </si>
  <si>
    <t>是否自动使用
0不自动使用
1自动使用</t>
  </si>
  <si>
    <t>奖励物品</t>
  </si>
  <si>
    <t>人民币
价值1</t>
  </si>
  <si>
    <r>
      <rPr>
        <sz val="11"/>
        <color theme="1"/>
        <rFont val="微软雅黑"/>
        <family val="2"/>
        <charset val="134"/>
      </rPr>
      <t xml:space="preserve">奖励物品
</t>
    </r>
    <r>
      <rPr>
        <sz val="22"/>
        <color theme="1"/>
        <rFont val="微软雅黑"/>
        <family val="2"/>
        <charset val="134"/>
      </rPr>
      <t>1</t>
    </r>
  </si>
  <si>
    <t>人民币
价值2</t>
  </si>
  <si>
    <t>shopId</t>
  </si>
  <si>
    <t>shopType</t>
  </si>
  <si>
    <t>fristAddMultiple</t>
  </si>
  <si>
    <t>addReward</t>
  </si>
  <si>
    <t>cannonLvChange</t>
  </si>
  <si>
    <t>tips</t>
  </si>
  <si>
    <t>interval</t>
  </si>
  <si>
    <t>memberbonus</t>
  </si>
  <si>
    <t>再购买M次后
N倍</t>
  </si>
  <si>
    <t xml:space="preserve">充值档位ID
</t>
  </si>
  <si>
    <t xml:space="preserve">商城类型
1：钻石商城
2：金币商城
</t>
  </si>
  <si>
    <t>充值需要的金钱（元）</t>
  </si>
  <si>
    <t>充值基础给予的奖励数量</t>
  </si>
  <si>
    <t xml:space="preserve">首充赠送的奖励倍数；
首充赠送几倍就填几。
首充1倍填写1；首充2倍填写2，
首充3倍填写3。
</t>
  </si>
  <si>
    <t xml:space="preserve">额外赠送的奖励数量
</t>
  </si>
  <si>
    <t>破产/自动调整炮倍率后，该档位充值，炮倍率数字变化值
取填写的值与玩家最大炮倍率之间的最小值,然后在此基础上与当前房间限制最小做比较，取两者之间最大值。
-1表示不处理（暂时废弃）</t>
  </si>
  <si>
    <t>商城标签
1,最畅销
2,最划算
0表示没有
暂时废弃</t>
  </si>
  <si>
    <t>间隔n次后可触发1次双倍金币购买</t>
  </si>
  <si>
    <t>会员卡购买商品加赠5%
（配置为加赠的具体数量，没有加赠则配置为0）</t>
  </si>
  <si>
    <t>M</t>
  </si>
  <si>
    <t>N</t>
  </si>
  <si>
    <t>平均价值
%</t>
  </si>
  <si>
    <t>编号</t>
  </si>
  <si>
    <t>倍数</t>
  </si>
  <si>
    <t>权重</t>
  </si>
  <si>
    <t>s</t>
    <phoneticPr fontId="21" type="noConversion"/>
  </si>
  <si>
    <t>rmb</t>
    <phoneticPr fontId="21" type="noConversion"/>
  </si>
  <si>
    <t>基础值</t>
    <phoneticPr fontId="21" type="noConversion"/>
  </si>
  <si>
    <t>标准值</t>
    <phoneticPr fontId="21" type="noConversion"/>
  </si>
  <si>
    <t>本次金币价值</t>
  </si>
  <si>
    <t>平均倍数</t>
  </si>
  <si>
    <t>概率</t>
  </si>
  <si>
    <t>默认</t>
    <phoneticPr fontId="21" type="noConversion"/>
  </si>
  <si>
    <t>平均倍数</t>
    <phoneticPr fontId="21" type="noConversion"/>
  </si>
  <si>
    <t>ptId</t>
    <phoneticPr fontId="21" type="noConversion"/>
  </si>
  <si>
    <t>key</t>
    <phoneticPr fontId="21" type="noConversion"/>
  </si>
  <si>
    <t>weight1</t>
    <phoneticPr fontId="21" type="noConversion"/>
  </si>
  <si>
    <t>第1档充值权重
[0,x]中0表示默认概率
第N次权重</t>
    <phoneticPr fontId="21" type="noConversion"/>
  </si>
  <si>
    <t>第2档充值权重
[0,x]中0表示默认概率
第N次权重</t>
    <phoneticPr fontId="21" type="noConversion"/>
  </si>
  <si>
    <t>第3档充值权重
[0,x]中0表示默认概率
第N次权重</t>
    <phoneticPr fontId="21" type="noConversion"/>
  </si>
  <si>
    <t>1rmb金币值</t>
    <phoneticPr fontId="21" type="noConversion"/>
  </si>
  <si>
    <t>倍数</t>
    <phoneticPr fontId="21" type="noConversion"/>
  </si>
  <si>
    <t>第1档</t>
    <phoneticPr fontId="21" type="noConversion"/>
  </si>
  <si>
    <t>实际倍数</t>
    <phoneticPr fontId="21" type="noConversion"/>
  </si>
  <si>
    <t>第2档</t>
    <phoneticPr fontId="21" type="noConversion"/>
  </si>
  <si>
    <t>weight2</t>
    <phoneticPr fontId="21" type="noConversion"/>
  </si>
  <si>
    <t>weight3</t>
    <phoneticPr fontId="21" type="noConversion"/>
  </si>
  <si>
    <t>第3档</t>
    <phoneticPr fontId="21" type="noConversion"/>
  </si>
  <si>
    <t>狂暴</t>
    <phoneticPr fontId="21" type="noConversion"/>
  </si>
  <si>
    <t>锁定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</si>
</sst>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%"/>
  </numFmts>
  <fonts count="26" x14ac:knownFonts="1">
    <font>
      <sz val="11"/>
      <color theme="1"/>
      <name val="宋体"/>
      <charset val="134"/>
      <scheme val="minor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8"/>
      <color theme="1"/>
      <name val="微软雅黑"/>
      <family val="2"/>
      <charset val="134"/>
    </font>
    <font>
      <sz val="8"/>
      <color rgb="FFFF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1"/>
      <color rgb="FF7030A0"/>
      <name val="微软雅黑"/>
      <family val="2"/>
      <charset val="134"/>
    </font>
    <font>
      <b/>
      <sz val="10"/>
      <color rgb="FF7030A0"/>
      <name val="微软雅黑"/>
      <family val="2"/>
      <charset val="134"/>
    </font>
    <font>
      <sz val="10"/>
      <color rgb="FF7030A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22"/>
      <color theme="1"/>
      <name val="微软雅黑"/>
      <family val="2"/>
      <charset val="134"/>
    </font>
    <font>
      <b/>
      <sz val="8"/>
      <color rgb="FFFF0000"/>
      <name val="微软雅黑"/>
      <family val="2"/>
      <charset val="134"/>
    </font>
    <font>
      <sz val="20"/>
      <color theme="1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0"/>
      <name val="微软雅黑"/>
      <family val="2"/>
      <charset val="134"/>
    </font>
  </fonts>
  <fills count="19">
    <fill>
      <patternFill patternType="none"/>
    </fill>
    <fill>
      <patternFill patternType="gray125"/>
    </fill>
    <fill>
      <patternFill patternType="solid">
        <fgColor theme="3" tint="0.79973754081850645"/>
        <bgColor indexed="64"/>
      </patternFill>
    </fill>
    <fill>
      <patternFill patternType="solid">
        <fgColor theme="3" tint="0.79970702230903046"/>
        <bgColor indexed="64"/>
      </patternFill>
    </fill>
    <fill>
      <patternFill patternType="solid">
        <fgColor theme="3" tint="0.7998290963469344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34080019531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85412152470473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>
      <alignment vertical="center"/>
    </xf>
  </cellStyleXfs>
  <cellXfs count="128">
    <xf numFmtId="0" fontId="0" fillId="0" borderId="0" xfId="0"/>
    <xf numFmtId="0" fontId="3" fillId="0" borderId="0" xfId="0" applyFont="1" applyAlignment="1">
      <alignment horizontal="left" vertical="center"/>
    </xf>
    <xf numFmtId="0" fontId="1" fillId="4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5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6" borderId="0" xfId="0" applyFont="1" applyFill="1" applyAlignment="1">
      <alignment horizontal="left" vertical="center"/>
    </xf>
    <xf numFmtId="0" fontId="1" fillId="4" borderId="0" xfId="0" applyFont="1" applyFill="1" applyAlignment="1">
      <alignment horizontal="left"/>
    </xf>
    <xf numFmtId="0" fontId="5" fillId="5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9" fontId="3" fillId="0" borderId="0" xfId="1" applyFont="1" applyAlignment="1">
      <alignment horizontal="left" vertical="center"/>
    </xf>
    <xf numFmtId="0" fontId="1" fillId="7" borderId="1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left"/>
    </xf>
    <xf numFmtId="0" fontId="5" fillId="7" borderId="2" xfId="0" applyFont="1" applyFill="1" applyBorder="1" applyAlignment="1">
      <alignment horizontal="left" vertical="top" wrapText="1"/>
    </xf>
    <xf numFmtId="0" fontId="8" fillId="0" borderId="0" xfId="0" applyFont="1" applyAlignment="1">
      <alignment horizontal="left"/>
    </xf>
    <xf numFmtId="0" fontId="9" fillId="8" borderId="0" xfId="0" applyFont="1" applyFill="1" applyBorder="1" applyAlignment="1">
      <alignment horizontal="left"/>
    </xf>
    <xf numFmtId="0" fontId="10" fillId="8" borderId="0" xfId="0" applyFont="1" applyFill="1" applyBorder="1" applyAlignment="1">
      <alignment horizontal="left"/>
    </xf>
    <xf numFmtId="0" fontId="3" fillId="9" borderId="4" xfId="0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left" vertical="center" wrapText="1"/>
    </xf>
    <xf numFmtId="0" fontId="3" fillId="9" borderId="5" xfId="0" applyFont="1" applyFill="1" applyBorder="1" applyAlignment="1">
      <alignment horizontal="left" vertical="center"/>
    </xf>
    <xf numFmtId="0" fontId="3" fillId="9" borderId="6" xfId="0" applyFont="1" applyFill="1" applyBorder="1" applyAlignment="1">
      <alignment horizontal="left" vertical="center"/>
    </xf>
    <xf numFmtId="0" fontId="3" fillId="10" borderId="7" xfId="0" applyFont="1" applyFill="1" applyBorder="1" applyAlignment="1">
      <alignment horizontal="center" vertical="center" wrapText="1"/>
    </xf>
    <xf numFmtId="0" fontId="3" fillId="10" borderId="5" xfId="0" applyFont="1" applyFill="1" applyBorder="1" applyAlignment="1">
      <alignment horizontal="left" vertical="center" wrapText="1"/>
    </xf>
    <xf numFmtId="0" fontId="3" fillId="10" borderId="5" xfId="0" applyFont="1" applyFill="1" applyBorder="1" applyAlignment="1">
      <alignment horizontal="left" vertical="center"/>
    </xf>
    <xf numFmtId="0" fontId="8" fillId="6" borderId="0" xfId="0" applyFont="1" applyFill="1" applyAlignment="1">
      <alignment horizontal="left" vertical="center"/>
    </xf>
    <xf numFmtId="0" fontId="3" fillId="10" borderId="4" xfId="0" applyFont="1" applyFill="1" applyBorder="1" applyAlignment="1">
      <alignment horizontal="center" vertical="center" wrapText="1"/>
    </xf>
    <xf numFmtId="0" fontId="3" fillId="10" borderId="6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5" fillId="7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5" fillId="5" borderId="1" xfId="0" applyFont="1" applyFill="1" applyBorder="1" applyAlignment="1">
      <alignment horizontal="left" vertical="top" wrapText="1"/>
    </xf>
    <xf numFmtId="0" fontId="2" fillId="11" borderId="13" xfId="0" applyFont="1" applyFill="1" applyBorder="1" applyAlignment="1">
      <alignment horizontal="left" vertical="center" wrapText="1"/>
    </xf>
    <xf numFmtId="0" fontId="2" fillId="0" borderId="13" xfId="0" applyFont="1" applyBorder="1" applyAlignment="1">
      <alignment horizontal="left"/>
    </xf>
    <xf numFmtId="0" fontId="1" fillId="6" borderId="8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0" fontId="1" fillId="6" borderId="9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/>
    </xf>
    <xf numFmtId="0" fontId="1" fillId="0" borderId="11" xfId="0" applyFont="1" applyFill="1" applyBorder="1" applyAlignment="1">
      <alignment horizontal="left" vertical="center"/>
    </xf>
    <xf numFmtId="0" fontId="2" fillId="11" borderId="13" xfId="0" applyFont="1" applyFill="1" applyBorder="1" applyAlignment="1">
      <alignment horizontal="left" vertical="center"/>
    </xf>
    <xf numFmtId="0" fontId="2" fillId="11" borderId="14" xfId="0" applyFont="1" applyFill="1" applyBorder="1" applyAlignment="1">
      <alignment horizontal="left" vertical="center" wrapText="1"/>
    </xf>
    <xf numFmtId="0" fontId="2" fillId="9" borderId="8" xfId="0" applyFont="1" applyFill="1" applyBorder="1" applyAlignment="1">
      <alignment horizontal="center" vertical="center" wrapText="1"/>
    </xf>
    <xf numFmtId="0" fontId="2" fillId="9" borderId="13" xfId="0" applyFont="1" applyFill="1" applyBorder="1" applyAlignment="1">
      <alignment horizontal="left" vertical="center" wrapText="1"/>
    </xf>
    <xf numFmtId="0" fontId="2" fillId="9" borderId="13" xfId="0" applyFont="1" applyFill="1" applyBorder="1" applyAlignment="1">
      <alignment horizontal="left" vertical="center"/>
    </xf>
    <xf numFmtId="0" fontId="2" fillId="9" borderId="14" xfId="0" applyFont="1" applyFill="1" applyBorder="1" applyAlignment="1">
      <alignment horizontal="left" vertical="center" wrapText="1"/>
    </xf>
    <xf numFmtId="0" fontId="2" fillId="10" borderId="13" xfId="0" applyFont="1" applyFill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/>
    </xf>
    <xf numFmtId="0" fontId="1" fillId="6" borderId="14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6" borderId="10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/>
    </xf>
    <xf numFmtId="0" fontId="2" fillId="10" borderId="13" xfId="0" applyFont="1" applyFill="1" applyBorder="1" applyAlignment="1">
      <alignment horizontal="left" vertical="center"/>
    </xf>
    <xf numFmtId="0" fontId="2" fillId="10" borderId="14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3" fillId="14" borderId="15" xfId="0" applyFont="1" applyFill="1" applyBorder="1" applyAlignment="1">
      <alignment horizontal="left" vertical="center"/>
    </xf>
    <xf numFmtId="0" fontId="4" fillId="7" borderId="2" xfId="0" applyFont="1" applyFill="1" applyBorder="1" applyAlignment="1">
      <alignment horizontal="left"/>
    </xf>
    <xf numFmtId="0" fontId="5" fillId="5" borderId="2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14" borderId="0" xfId="0" applyFont="1" applyFill="1" applyBorder="1" applyAlignment="1">
      <alignment horizontal="left" vertical="center"/>
    </xf>
    <xf numFmtId="0" fontId="3" fillId="15" borderId="0" xfId="0" applyFont="1" applyFill="1" applyAlignment="1">
      <alignment horizontal="left" vertical="center"/>
    </xf>
    <xf numFmtId="0" fontId="3" fillId="15" borderId="0" xfId="0" applyFont="1" applyFill="1" applyAlignment="1">
      <alignment horizontal="center" vertical="center"/>
    </xf>
    <xf numFmtId="0" fontId="3" fillId="16" borderId="0" xfId="0" applyFont="1" applyFill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5" borderId="0" xfId="0" applyFont="1" applyFill="1" applyBorder="1" applyAlignment="1">
      <alignment horizontal="center" vertical="center"/>
    </xf>
    <xf numFmtId="0" fontId="3" fillId="12" borderId="0" xfId="0" applyFont="1" applyFill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7" fillId="14" borderId="15" xfId="0" applyFont="1" applyFill="1" applyBorder="1" applyAlignment="1">
      <alignment horizontal="left" vertical="center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1" fillId="17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9" fontId="1" fillId="0" borderId="0" xfId="1" applyFont="1" applyAlignment="1">
      <alignment horizontal="left" vertical="center"/>
    </xf>
    <xf numFmtId="9" fontId="1" fillId="6" borderId="0" xfId="1" applyFont="1" applyFill="1" applyAlignment="1">
      <alignment horizontal="left" vertical="center"/>
    </xf>
    <xf numFmtId="9" fontId="9" fillId="0" borderId="0" xfId="1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2" borderId="1" xfId="0" applyFont="1" applyFill="1" applyBorder="1" applyAlignment="1">
      <alignment horizontal="left"/>
    </xf>
    <xf numFmtId="0" fontId="23" fillId="3" borderId="1" xfId="0" applyFont="1" applyFill="1" applyBorder="1" applyAlignment="1">
      <alignment horizontal="left"/>
    </xf>
    <xf numFmtId="0" fontId="23" fillId="3" borderId="1" xfId="0" applyFont="1" applyFill="1" applyBorder="1" applyAlignment="1">
      <alignment horizontal="left" vertical="center"/>
    </xf>
    <xf numFmtId="0" fontId="22" fillId="0" borderId="0" xfId="0" applyFont="1" applyFill="1" applyAlignment="1">
      <alignment horizontal="left"/>
    </xf>
    <xf numFmtId="176" fontId="23" fillId="0" borderId="0" xfId="1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4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1" fillId="6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left" wrapText="1"/>
    </xf>
    <xf numFmtId="10" fontId="1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/>
    </xf>
    <xf numFmtId="0" fontId="11" fillId="5" borderId="3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1" fillId="12" borderId="8" xfId="0" applyFont="1" applyFill="1" applyBorder="1" applyAlignment="1">
      <alignment horizontal="center" vertical="center"/>
    </xf>
    <xf numFmtId="0" fontId="11" fillId="12" borderId="9" xfId="0" applyFont="1" applyFill="1" applyBorder="1" applyAlignment="1">
      <alignment horizontal="center" vertical="center"/>
    </xf>
    <xf numFmtId="0" fontId="11" fillId="12" borderId="11" xfId="0" applyFont="1" applyFill="1" applyBorder="1" applyAlignment="1">
      <alignment horizontal="center" vertical="center"/>
    </xf>
    <xf numFmtId="0" fontId="11" fillId="10" borderId="8" xfId="0" applyFont="1" applyFill="1" applyBorder="1" applyAlignment="1">
      <alignment horizontal="center" vertical="center"/>
    </xf>
    <xf numFmtId="0" fontId="11" fillId="10" borderId="9" xfId="0" applyFont="1" applyFill="1" applyBorder="1" applyAlignment="1">
      <alignment horizontal="center" vertical="center"/>
    </xf>
    <xf numFmtId="0" fontId="11" fillId="10" borderId="11" xfId="0" applyFont="1" applyFill="1" applyBorder="1" applyAlignment="1">
      <alignment horizontal="center" vertical="center"/>
    </xf>
    <xf numFmtId="0" fontId="13" fillId="13" borderId="8" xfId="0" applyFont="1" applyFill="1" applyBorder="1" applyAlignment="1">
      <alignment horizontal="center" vertical="center"/>
    </xf>
    <xf numFmtId="0" fontId="13" fillId="13" borderId="9" xfId="0" applyFont="1" applyFill="1" applyBorder="1" applyAlignment="1">
      <alignment horizontal="center" vertical="center"/>
    </xf>
    <xf numFmtId="0" fontId="13" fillId="13" borderId="11" xfId="0" applyFont="1" applyFill="1" applyBorder="1" applyAlignment="1">
      <alignment horizontal="center" vertical="center"/>
    </xf>
    <xf numFmtId="0" fontId="11" fillId="11" borderId="8" xfId="0" applyFont="1" applyFill="1" applyBorder="1" applyAlignment="1">
      <alignment horizontal="center" vertical="center"/>
    </xf>
    <xf numFmtId="0" fontId="11" fillId="11" borderId="9" xfId="0" applyFont="1" applyFill="1" applyBorder="1" applyAlignment="1">
      <alignment horizontal="center" vertical="center"/>
    </xf>
    <xf numFmtId="0" fontId="11" fillId="11" borderId="11" xfId="0" applyFont="1" applyFill="1" applyBorder="1" applyAlignment="1">
      <alignment horizontal="center" vertical="center"/>
    </xf>
    <xf numFmtId="0" fontId="1" fillId="18" borderId="0" xfId="0" applyFont="1" applyFill="1" applyAlignment="1">
      <alignment horizontal="center" vertical="center" wrapText="1"/>
    </xf>
    <xf numFmtId="0" fontId="1" fillId="10" borderId="0" xfId="0" applyFont="1" applyFill="1" applyAlignment="1">
      <alignment horizontal="center" vertical="center" wrapText="1"/>
    </xf>
    <xf numFmtId="0" fontId="25" fillId="13" borderId="0" xfId="0" applyFont="1" applyFill="1" applyAlignment="1">
      <alignment horizontal="center" vertical="center" wrapText="1"/>
    </xf>
  </cellXfs>
  <cellStyles count="2">
    <cellStyle name="百分比" xfId="1" builtinId="5"/>
    <cellStyle name="常规" xfId="0" builtinId="0"/>
  </cellStyles>
  <dxfs count="439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297180</xdr:colOff>
      <xdr:row>1</xdr:row>
      <xdr:rowOff>55245</xdr:rowOff>
    </xdr:from>
    <xdr:to>
      <xdr:col>24</xdr:col>
      <xdr:colOff>448961</xdr:colOff>
      <xdr:row>3</xdr:row>
      <xdr:rowOff>481858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461480" y="253365"/>
          <a:ext cx="4472305" cy="8147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2369821</xdr:colOff>
      <xdr:row>11</xdr:row>
      <xdr:rowOff>142374</xdr:rowOff>
    </xdr:from>
    <xdr:to>
      <xdr:col>31</xdr:col>
      <xdr:colOff>22861</xdr:colOff>
      <xdr:row>14</xdr:row>
      <xdr:rowOff>186169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92061" y="3693294"/>
          <a:ext cx="10104120" cy="638155"/>
        </a:xfrm>
        <a:prstGeom prst="rect">
          <a:avLst/>
        </a:prstGeom>
      </xdr:spPr>
    </xdr:pic>
    <xdr:clientData/>
  </xdr:twoCellAnchor>
  <xdr:twoCellAnchor editAs="oneCell">
    <xdr:from>
      <xdr:col>31</xdr:col>
      <xdr:colOff>167640</xdr:colOff>
      <xdr:row>8</xdr:row>
      <xdr:rowOff>97790</xdr:rowOff>
    </xdr:from>
    <xdr:to>
      <xdr:col>33</xdr:col>
      <xdr:colOff>274320</xdr:colOff>
      <xdr:row>15</xdr:row>
      <xdr:rowOff>91722</xdr:rowOff>
    </xdr:to>
    <xdr:pic>
      <xdr:nvPicPr>
        <xdr:cNvPr id="6" name="图片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40960" y="3031490"/>
          <a:ext cx="1112520" cy="14112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7"/>
  <sheetViews>
    <sheetView topLeftCell="A7" workbookViewId="0">
      <selection activeCell="F29" sqref="F29"/>
    </sheetView>
  </sheetViews>
  <sheetFormatPr defaultColWidth="9" defaultRowHeight="15.6" x14ac:dyDescent="0.25"/>
  <cols>
    <col min="1" max="1" width="9" style="1"/>
    <col min="2" max="2" width="21.44140625" style="1" customWidth="1"/>
    <col min="3" max="3" width="64.44140625" style="1" customWidth="1"/>
    <col min="4" max="5" width="32.88671875" style="1" customWidth="1"/>
    <col min="6" max="6" width="9" style="1"/>
    <col min="7" max="7" width="13.88671875" style="1" customWidth="1"/>
    <col min="8" max="8" width="10.44140625" style="1" customWidth="1"/>
    <col min="9" max="10" width="9" style="1"/>
    <col min="11" max="11" width="8.109375" style="1" customWidth="1"/>
    <col min="12" max="12" width="9.109375" style="1" customWidth="1"/>
    <col min="13" max="13" width="11.5546875" style="1" customWidth="1"/>
    <col min="14" max="14" width="11.6640625" style="1" customWidth="1"/>
    <col min="15" max="16384" width="9" style="1"/>
  </cols>
  <sheetData>
    <row r="1" spans="1:16" x14ac:dyDescent="0.25">
      <c r="A1" s="80" t="s">
        <v>0</v>
      </c>
      <c r="B1" s="80" t="s">
        <v>0</v>
      </c>
      <c r="C1" s="80" t="s">
        <v>0</v>
      </c>
      <c r="D1" s="80" t="s">
        <v>1</v>
      </c>
      <c r="E1" s="80" t="s">
        <v>1</v>
      </c>
      <c r="F1" s="80" t="s">
        <v>0</v>
      </c>
      <c r="G1" s="80" t="s">
        <v>1</v>
      </c>
      <c r="H1" s="80" t="s">
        <v>1</v>
      </c>
      <c r="P1" s="1" t="s">
        <v>2</v>
      </c>
    </row>
    <row r="2" spans="1:16" x14ac:dyDescent="0.35">
      <c r="A2" s="80" t="s">
        <v>3</v>
      </c>
      <c r="B2" s="2" t="s">
        <v>4</v>
      </c>
      <c r="C2" s="2" t="s">
        <v>4</v>
      </c>
      <c r="D2" s="2" t="s">
        <v>4</v>
      </c>
      <c r="E2" s="2" t="s">
        <v>4</v>
      </c>
      <c r="F2" s="80" t="s">
        <v>3</v>
      </c>
      <c r="G2" s="80" t="s">
        <v>3</v>
      </c>
      <c r="H2" s="80" t="s">
        <v>3</v>
      </c>
      <c r="P2" s="1">
        <v>100000</v>
      </c>
    </row>
    <row r="3" spans="1:16" x14ac:dyDescent="0.35">
      <c r="A3" s="80" t="s">
        <v>5</v>
      </c>
      <c r="B3" s="2" t="s">
        <v>6</v>
      </c>
      <c r="C3" s="2" t="s">
        <v>7</v>
      </c>
      <c r="D3" s="2" t="s">
        <v>8</v>
      </c>
      <c r="E3" s="2" t="s">
        <v>9</v>
      </c>
      <c r="F3" s="80" t="s">
        <v>10</v>
      </c>
      <c r="G3" s="80" t="s">
        <v>11</v>
      </c>
      <c r="H3" s="80" t="s">
        <v>12</v>
      </c>
    </row>
    <row r="4" spans="1:16" ht="45" x14ac:dyDescent="0.35">
      <c r="A4" s="80" t="s">
        <v>13</v>
      </c>
      <c r="B4" s="81" t="s">
        <v>14</v>
      </c>
      <c r="C4" s="2" t="s">
        <v>15</v>
      </c>
      <c r="D4" s="82" t="s">
        <v>16</v>
      </c>
      <c r="E4" s="82" t="s">
        <v>17</v>
      </c>
      <c r="F4" s="80" t="s">
        <v>18</v>
      </c>
      <c r="G4" s="83" t="s">
        <v>19</v>
      </c>
      <c r="H4" s="83" t="s">
        <v>20</v>
      </c>
      <c r="K4" s="88" t="s">
        <v>21</v>
      </c>
      <c r="L4" s="88" t="s">
        <v>22</v>
      </c>
      <c r="M4" s="88" t="s">
        <v>23</v>
      </c>
      <c r="N4" s="89" t="s">
        <v>24</v>
      </c>
    </row>
    <row r="5" spans="1:16" x14ac:dyDescent="0.25">
      <c r="A5" s="1">
        <v>2</v>
      </c>
      <c r="B5" s="84" t="s">
        <v>25</v>
      </c>
      <c r="C5" s="84" t="str">
        <f t="shared" ref="C5:C28" si="0">"充值，即可获得"&amp;B5&amp;"奖励"</f>
        <v>充值，即可获得会员卡奖励</v>
      </c>
      <c r="D5" s="1" t="str">
        <f>"1|2|"&amp;MIN(F5*10000,500000)&amp;",1|1|"&amp;MIN(F5*1,1000)</f>
        <v>1|2|300000,1|1|30</v>
      </c>
      <c r="F5" s="1">
        <f>'会员卡|NobleCard'!B5</f>
        <v>30</v>
      </c>
      <c r="G5" s="67">
        <f>K5*$F5*$P$2</f>
        <v>2879999.9999999995</v>
      </c>
      <c r="H5" s="67">
        <f>L5*$F5*$P$2</f>
        <v>2400000</v>
      </c>
      <c r="K5" s="90">
        <v>0.96</v>
      </c>
      <c r="L5" s="90">
        <v>0.8</v>
      </c>
      <c r="M5" s="67">
        <v>500000</v>
      </c>
      <c r="N5" s="67">
        <f>H5+M5</f>
        <v>2900000</v>
      </c>
    </row>
    <row r="6" spans="1:16" x14ac:dyDescent="0.25">
      <c r="A6" s="1">
        <v>101</v>
      </c>
      <c r="B6" s="84" t="str">
        <f t="shared" ref="B6:B12" si="1">"商城-星钻."&amp;F6&amp;"元"</f>
        <v>商城-星钻.6元</v>
      </c>
      <c r="C6" s="84" t="str">
        <f t="shared" si="0"/>
        <v>充值，即可获得商城-星钻.6元奖励</v>
      </c>
      <c r="D6" s="1" t="str">
        <f>"1|2|"&amp;MIN(F6*10000,500000)&amp;",1|1|"&amp;MIN(F6*1,1000)</f>
        <v>1|2|60000,1|1|6</v>
      </c>
      <c r="F6" s="1">
        <f>'商城|Shop'!C5</f>
        <v>6</v>
      </c>
      <c r="G6" s="67">
        <f t="shared" ref="G6:G37" si="2">K6*$F6*$P$2</f>
        <v>0</v>
      </c>
      <c r="H6" s="67">
        <f t="shared" ref="H6:H37" si="3">L6*$F6*$P$2</f>
        <v>0</v>
      </c>
      <c r="K6" s="90">
        <v>0</v>
      </c>
      <c r="L6" s="90">
        <v>0</v>
      </c>
      <c r="M6" s="67">
        <v>0</v>
      </c>
      <c r="N6" s="67">
        <f t="shared" ref="N6:N34" si="4">H6+M6</f>
        <v>0</v>
      </c>
    </row>
    <row r="7" spans="1:16" x14ac:dyDescent="0.25">
      <c r="A7" s="1">
        <v>102</v>
      </c>
      <c r="B7" s="84" t="str">
        <f t="shared" si="1"/>
        <v>商城-星钻.12元</v>
      </c>
      <c r="C7" s="84" t="str">
        <f t="shared" si="0"/>
        <v>充值，即可获得商城-星钻.12元奖励</v>
      </c>
      <c r="D7" s="1" t="str">
        <f>"1|2|"&amp;MIN(F7*10000,500000)&amp;",1|1|"&amp;MIN(F7*1,1000)</f>
        <v>1|2|120000,1|1|12</v>
      </c>
      <c r="F7" s="1">
        <f>'商城|Shop'!C6</f>
        <v>12</v>
      </c>
      <c r="G7" s="67">
        <f t="shared" si="2"/>
        <v>0</v>
      </c>
      <c r="H7" s="67">
        <f t="shared" si="3"/>
        <v>0</v>
      </c>
      <c r="K7" s="90">
        <v>0</v>
      </c>
      <c r="L7" s="90">
        <v>0</v>
      </c>
      <c r="M7" s="67">
        <v>0</v>
      </c>
      <c r="N7" s="67">
        <f t="shared" si="4"/>
        <v>0</v>
      </c>
    </row>
    <row r="8" spans="1:16" x14ac:dyDescent="0.25">
      <c r="A8" s="1">
        <v>103</v>
      </c>
      <c r="B8" s="84" t="str">
        <f t="shared" si="1"/>
        <v>商城-星钻.30元</v>
      </c>
      <c r="C8" s="84" t="str">
        <f t="shared" si="0"/>
        <v>充值，即可获得商城-星钻.30元奖励</v>
      </c>
      <c r="D8" s="1" t="str">
        <f>"1|2|"&amp;MIN(F8*10000,500000)&amp;",1|1|"&amp;MIN(F8*1,1000)</f>
        <v>1|2|300000,1|1|30</v>
      </c>
      <c r="F8" s="1">
        <f>'商城|Shop'!C7</f>
        <v>30</v>
      </c>
      <c r="G8" s="67">
        <f t="shared" si="2"/>
        <v>0</v>
      </c>
      <c r="H8" s="67">
        <f t="shared" si="3"/>
        <v>0</v>
      </c>
      <c r="K8" s="90">
        <v>0</v>
      </c>
      <c r="L8" s="90">
        <v>0</v>
      </c>
      <c r="M8" s="67">
        <v>0</v>
      </c>
      <c r="N8" s="67">
        <f t="shared" si="4"/>
        <v>0</v>
      </c>
    </row>
    <row r="9" spans="1:16" x14ac:dyDescent="0.25">
      <c r="A9" s="1">
        <v>104</v>
      </c>
      <c r="B9" s="84" t="str">
        <f t="shared" si="1"/>
        <v>商城-星钻.98元</v>
      </c>
      <c r="C9" s="84" t="str">
        <f t="shared" si="0"/>
        <v>充值，即可获得商城-星钻.98元奖励</v>
      </c>
      <c r="D9" s="1" t="str">
        <f t="shared" ref="D9:D37" si="5">"1|2|"&amp;MIN(F9*10000,500000)&amp;",1|1|"&amp;MIN(F9*1,1000)</f>
        <v>1|2|500000,1|1|98</v>
      </c>
      <c r="F9" s="1">
        <f>'商城|Shop'!C8</f>
        <v>98</v>
      </c>
      <c r="G9" s="67">
        <f t="shared" si="2"/>
        <v>0</v>
      </c>
      <c r="H9" s="67">
        <f t="shared" si="3"/>
        <v>0</v>
      </c>
      <c r="K9" s="90">
        <v>0</v>
      </c>
      <c r="L9" s="90">
        <v>0</v>
      </c>
      <c r="M9" s="67">
        <v>0</v>
      </c>
      <c r="N9" s="67">
        <f t="shared" si="4"/>
        <v>0</v>
      </c>
    </row>
    <row r="10" spans="1:16" x14ac:dyDescent="0.25">
      <c r="A10" s="1">
        <v>105</v>
      </c>
      <c r="B10" s="84" t="str">
        <f t="shared" si="1"/>
        <v>商城-星钻.198元</v>
      </c>
      <c r="C10" s="84" t="str">
        <f t="shared" si="0"/>
        <v>充值，即可获得商城-星钻.198元奖励</v>
      </c>
      <c r="D10" s="1" t="str">
        <f t="shared" si="5"/>
        <v>1|2|500000,1|1|198</v>
      </c>
      <c r="F10" s="1">
        <f>'商城|Shop'!C9</f>
        <v>198</v>
      </c>
      <c r="G10" s="67">
        <f t="shared" si="2"/>
        <v>0</v>
      </c>
      <c r="H10" s="67">
        <f t="shared" si="3"/>
        <v>0</v>
      </c>
      <c r="K10" s="90">
        <v>0</v>
      </c>
      <c r="L10" s="90">
        <v>0</v>
      </c>
      <c r="M10" s="67">
        <v>0</v>
      </c>
      <c r="N10" s="67">
        <f t="shared" si="4"/>
        <v>0</v>
      </c>
    </row>
    <row r="11" spans="1:16" x14ac:dyDescent="0.25">
      <c r="A11" s="1">
        <v>106</v>
      </c>
      <c r="B11" s="84" t="str">
        <f t="shared" si="1"/>
        <v>商城-星钻.328元</v>
      </c>
      <c r="C11" s="84" t="str">
        <f t="shared" si="0"/>
        <v>充值，即可获得商城-星钻.328元奖励</v>
      </c>
      <c r="D11" s="1" t="str">
        <f t="shared" si="5"/>
        <v>1|2|500000,1|1|328</v>
      </c>
      <c r="F11" s="1">
        <f>'商城|Shop'!C10</f>
        <v>328</v>
      </c>
      <c r="G11" s="67">
        <f t="shared" si="2"/>
        <v>0</v>
      </c>
      <c r="H11" s="67">
        <f t="shared" si="3"/>
        <v>0</v>
      </c>
      <c r="K11" s="90">
        <v>0</v>
      </c>
      <c r="L11" s="90">
        <v>0</v>
      </c>
      <c r="M11" s="67">
        <v>0</v>
      </c>
      <c r="N11" s="67">
        <f t="shared" si="4"/>
        <v>0</v>
      </c>
    </row>
    <row r="12" spans="1:16" x14ac:dyDescent="0.25">
      <c r="A12" s="1">
        <v>107</v>
      </c>
      <c r="B12" s="84" t="str">
        <f t="shared" si="1"/>
        <v>商城-星钻.648元</v>
      </c>
      <c r="C12" s="84" t="str">
        <f t="shared" si="0"/>
        <v>充值，即可获得商城-星钻.648元奖励</v>
      </c>
      <c r="D12" s="1" t="str">
        <f t="shared" si="5"/>
        <v>1|2|500000,1|1|648</v>
      </c>
      <c r="F12" s="1">
        <f>'商城|Shop'!C11</f>
        <v>648</v>
      </c>
      <c r="G12" s="67">
        <f t="shared" si="2"/>
        <v>0</v>
      </c>
      <c r="H12" s="67">
        <f t="shared" si="3"/>
        <v>0</v>
      </c>
      <c r="K12" s="90">
        <v>0</v>
      </c>
      <c r="L12" s="90">
        <v>0</v>
      </c>
      <c r="M12" s="67">
        <v>0</v>
      </c>
      <c r="N12" s="67">
        <f t="shared" si="4"/>
        <v>0</v>
      </c>
    </row>
    <row r="13" spans="1:16" x14ac:dyDescent="0.25">
      <c r="A13" s="1">
        <v>201</v>
      </c>
      <c r="B13" s="84" t="str">
        <f t="shared" ref="B13:B19" si="6">"商城-金币."&amp;F13&amp;"元"</f>
        <v>商城-金币.6元</v>
      </c>
      <c r="C13" s="84" t="str">
        <f t="shared" si="0"/>
        <v>充值，即可获得商城-金币.6元奖励</v>
      </c>
      <c r="D13" s="1" t="str">
        <f t="shared" si="5"/>
        <v>1|2|60000,1|1|6</v>
      </c>
      <c r="F13" s="1">
        <f>'商城|Shop'!C12</f>
        <v>6</v>
      </c>
      <c r="G13" s="67">
        <f t="shared" si="2"/>
        <v>900000</v>
      </c>
      <c r="H13" s="67">
        <f t="shared" si="3"/>
        <v>600000</v>
      </c>
      <c r="K13" s="90">
        <v>1.5</v>
      </c>
      <c r="L13" s="90">
        <v>1</v>
      </c>
      <c r="M13" s="67">
        <v>600000</v>
      </c>
      <c r="N13" s="67">
        <f t="shared" si="4"/>
        <v>1200000</v>
      </c>
    </row>
    <row r="14" spans="1:16" x14ac:dyDescent="0.25">
      <c r="A14" s="1">
        <v>202</v>
      </c>
      <c r="B14" s="84" t="str">
        <f t="shared" si="6"/>
        <v>商城-金币.12元</v>
      </c>
      <c r="C14" s="84" t="str">
        <f t="shared" si="0"/>
        <v>充值，即可获得商城-金币.12元奖励</v>
      </c>
      <c r="D14" s="1" t="str">
        <f t="shared" si="5"/>
        <v>1|2|120000,1|1|12</v>
      </c>
      <c r="F14" s="1">
        <f>'商城|Shop'!C13</f>
        <v>12</v>
      </c>
      <c r="G14" s="67">
        <f t="shared" si="2"/>
        <v>1739999.9999999998</v>
      </c>
      <c r="H14" s="67">
        <f t="shared" si="3"/>
        <v>1200000</v>
      </c>
      <c r="K14" s="90">
        <v>1.45</v>
      </c>
      <c r="L14" s="90">
        <v>1</v>
      </c>
      <c r="M14" s="67">
        <v>1300000</v>
      </c>
      <c r="N14" s="67">
        <f t="shared" si="4"/>
        <v>2500000</v>
      </c>
    </row>
    <row r="15" spans="1:16" x14ac:dyDescent="0.25">
      <c r="A15" s="1">
        <v>203</v>
      </c>
      <c r="B15" s="84" t="str">
        <f t="shared" si="6"/>
        <v>商城-金币.30元</v>
      </c>
      <c r="C15" s="84" t="str">
        <f t="shared" si="0"/>
        <v>充值，即可获得商城-金币.30元奖励</v>
      </c>
      <c r="D15" s="1" t="str">
        <f t="shared" si="5"/>
        <v>1|2|300000,1|1|30</v>
      </c>
      <c r="F15" s="1">
        <f>'商城|Shop'!C14</f>
        <v>30</v>
      </c>
      <c r="G15" s="67">
        <f t="shared" si="2"/>
        <v>4200000</v>
      </c>
      <c r="H15" s="67">
        <f t="shared" si="3"/>
        <v>3000000</v>
      </c>
      <c r="K15" s="90">
        <v>1.4</v>
      </c>
      <c r="L15" s="90">
        <v>1</v>
      </c>
      <c r="M15" s="67">
        <v>3300000</v>
      </c>
      <c r="N15" s="67">
        <f t="shared" si="4"/>
        <v>6300000</v>
      </c>
    </row>
    <row r="16" spans="1:16" x14ac:dyDescent="0.25">
      <c r="A16" s="1">
        <v>204</v>
      </c>
      <c r="B16" s="84" t="str">
        <f t="shared" si="6"/>
        <v>商城-金币.98元</v>
      </c>
      <c r="C16" s="84" t="str">
        <f t="shared" si="0"/>
        <v>充值，即可获得商城-金币.98元奖励</v>
      </c>
      <c r="D16" s="1" t="str">
        <f t="shared" si="5"/>
        <v>1|2|500000,1|1|98</v>
      </c>
      <c r="F16" s="1">
        <f>'商城|Shop'!C15</f>
        <v>98</v>
      </c>
      <c r="G16" s="67">
        <f t="shared" si="2"/>
        <v>13230000.000000002</v>
      </c>
      <c r="H16" s="67">
        <f t="shared" si="3"/>
        <v>9800000</v>
      </c>
      <c r="K16" s="90">
        <v>1.35</v>
      </c>
      <c r="L16" s="90">
        <v>1</v>
      </c>
      <c r="M16" s="67">
        <v>11000000</v>
      </c>
      <c r="N16" s="67">
        <f t="shared" si="4"/>
        <v>20800000</v>
      </c>
    </row>
    <row r="17" spans="1:14" x14ac:dyDescent="0.25">
      <c r="A17" s="1">
        <v>205</v>
      </c>
      <c r="B17" s="84" t="str">
        <f t="shared" si="6"/>
        <v>商城-金币.198元</v>
      </c>
      <c r="C17" s="84" t="str">
        <f t="shared" si="0"/>
        <v>充值，即可获得商城-金币.198元奖励</v>
      </c>
      <c r="D17" s="1" t="str">
        <f t="shared" si="5"/>
        <v>1|2|500000,1|1|198</v>
      </c>
      <c r="F17" s="1">
        <f>'商城|Shop'!C16</f>
        <v>198</v>
      </c>
      <c r="G17" s="67">
        <f t="shared" si="2"/>
        <v>25740000.000000004</v>
      </c>
      <c r="H17" s="67">
        <f t="shared" si="3"/>
        <v>19800000</v>
      </c>
      <c r="K17" s="90">
        <v>1.3</v>
      </c>
      <c r="L17" s="90">
        <v>1</v>
      </c>
      <c r="M17" s="67">
        <v>22800000</v>
      </c>
      <c r="N17" s="67">
        <f t="shared" si="4"/>
        <v>42600000</v>
      </c>
    </row>
    <row r="18" spans="1:14" x14ac:dyDescent="0.25">
      <c r="A18" s="1">
        <v>206</v>
      </c>
      <c r="B18" s="84" t="str">
        <f t="shared" si="6"/>
        <v>商城-金币.328元</v>
      </c>
      <c r="C18" s="84" t="str">
        <f t="shared" si="0"/>
        <v>充值，即可获得商城-金币.328元奖励</v>
      </c>
      <c r="D18" s="1" t="str">
        <f t="shared" si="5"/>
        <v>1|2|500000,1|1|328</v>
      </c>
      <c r="F18" s="1">
        <f>'商城|Shop'!C17</f>
        <v>328</v>
      </c>
      <c r="G18" s="67">
        <f t="shared" si="2"/>
        <v>41000000</v>
      </c>
      <c r="H18" s="67">
        <f t="shared" si="3"/>
        <v>32800000</v>
      </c>
      <c r="K18" s="90">
        <v>1.25</v>
      </c>
      <c r="L18" s="90">
        <v>1</v>
      </c>
      <c r="M18" s="67">
        <v>37800000</v>
      </c>
      <c r="N18" s="67">
        <f t="shared" si="4"/>
        <v>70600000</v>
      </c>
    </row>
    <row r="19" spans="1:14" x14ac:dyDescent="0.25">
      <c r="A19" s="1">
        <v>207</v>
      </c>
      <c r="B19" s="84" t="str">
        <f t="shared" si="6"/>
        <v>商城-金币.648元</v>
      </c>
      <c r="C19" s="84" t="str">
        <f t="shared" si="0"/>
        <v>充值，即可获得商城-金币.648元奖励</v>
      </c>
      <c r="D19" s="1" t="str">
        <f t="shared" si="5"/>
        <v>1|2|500000,1|1|648</v>
      </c>
      <c r="F19" s="1">
        <f>'商城|Shop'!C18</f>
        <v>648</v>
      </c>
      <c r="G19" s="67">
        <f t="shared" si="2"/>
        <v>77760000</v>
      </c>
      <c r="H19" s="67">
        <f t="shared" si="3"/>
        <v>64800000</v>
      </c>
      <c r="K19" s="90">
        <v>1.2</v>
      </c>
      <c r="L19" s="90">
        <v>1</v>
      </c>
      <c r="M19" s="67">
        <v>76800000</v>
      </c>
      <c r="N19" s="67">
        <f t="shared" si="4"/>
        <v>141600000</v>
      </c>
    </row>
    <row r="20" spans="1:14" x14ac:dyDescent="0.25">
      <c r="A20" s="1">
        <v>306</v>
      </c>
      <c r="B20" s="85" t="s">
        <v>26</v>
      </c>
      <c r="C20" s="84" t="str">
        <f t="shared" si="0"/>
        <v>充值，即可获得首充特惠奖励</v>
      </c>
      <c r="D20" s="1" t="str">
        <f t="shared" si="5"/>
        <v>1|2|60000,1|1|6</v>
      </c>
      <c r="F20" s="1">
        <f>'充值活动|RMBActivities'!E5</f>
        <v>6</v>
      </c>
      <c r="G20" s="67">
        <f t="shared" si="2"/>
        <v>3000000</v>
      </c>
      <c r="H20" s="67">
        <f t="shared" si="3"/>
        <v>3000000</v>
      </c>
      <c r="K20" s="91">
        <f>L20</f>
        <v>5</v>
      </c>
      <c r="L20" s="92">
        <v>5</v>
      </c>
      <c r="M20" s="67">
        <v>1200000</v>
      </c>
      <c r="N20" s="67">
        <f t="shared" si="4"/>
        <v>4200000</v>
      </c>
    </row>
    <row r="21" spans="1:14" x14ac:dyDescent="0.25">
      <c r="A21" s="1">
        <v>307</v>
      </c>
      <c r="B21" s="86" t="s">
        <v>27</v>
      </c>
      <c r="C21" s="84" t="str">
        <f t="shared" si="0"/>
        <v>充值，即可获得起航大礼包奖励</v>
      </c>
      <c r="D21" s="1" t="str">
        <f t="shared" si="5"/>
        <v>1|2|300000,1|1|30</v>
      </c>
      <c r="F21" s="1">
        <f>'充值活动|RMBActivities'!E6</f>
        <v>30</v>
      </c>
      <c r="G21" s="67">
        <f t="shared" si="2"/>
        <v>12000000</v>
      </c>
      <c r="H21" s="67">
        <f t="shared" si="3"/>
        <v>12000000</v>
      </c>
      <c r="K21" s="91">
        <f t="shared" ref="K21:K27" si="7">L21</f>
        <v>4</v>
      </c>
      <c r="L21" s="92">
        <v>4</v>
      </c>
      <c r="M21" s="67">
        <v>5000000</v>
      </c>
      <c r="N21" s="67">
        <f t="shared" si="4"/>
        <v>17000000</v>
      </c>
    </row>
    <row r="22" spans="1:14" x14ac:dyDescent="0.25">
      <c r="A22" s="1">
        <v>501</v>
      </c>
      <c r="B22" s="84" t="str">
        <f>"喜从天降."&amp;F22&amp;"元"</f>
        <v>喜从天降.30元</v>
      </c>
      <c r="C22" s="84" t="str">
        <f t="shared" si="0"/>
        <v>充值，即可获得喜从天降.30元奖励</v>
      </c>
      <c r="D22" s="1" t="str">
        <f t="shared" si="5"/>
        <v>1|2|300000,1|1|30</v>
      </c>
      <c r="F22" s="1">
        <f>'充值活动|RMBActivities'!E7</f>
        <v>30</v>
      </c>
      <c r="G22" s="67">
        <f t="shared" si="2"/>
        <v>1050000</v>
      </c>
      <c r="H22" s="67">
        <f t="shared" si="3"/>
        <v>1050000</v>
      </c>
      <c r="K22" s="91">
        <f t="shared" si="7"/>
        <v>0.35</v>
      </c>
      <c r="L22" s="92">
        <v>0.35</v>
      </c>
      <c r="M22" s="67">
        <v>8000000</v>
      </c>
      <c r="N22" s="67">
        <f t="shared" si="4"/>
        <v>9050000</v>
      </c>
    </row>
    <row r="23" spans="1:14" x14ac:dyDescent="0.25">
      <c r="A23" s="1">
        <v>502</v>
      </c>
      <c r="B23" s="84" t="str">
        <f>"喜从天降."&amp;F23&amp;"元"</f>
        <v>喜从天降.60元</v>
      </c>
      <c r="C23" s="84" t="str">
        <f t="shared" si="0"/>
        <v>充值，即可获得喜从天降.60元奖励</v>
      </c>
      <c r="D23" s="1" t="str">
        <f t="shared" si="5"/>
        <v>1|2|500000,1|1|60</v>
      </c>
      <c r="F23" s="1">
        <f>'充值活动|RMBActivities'!E8</f>
        <v>60</v>
      </c>
      <c r="G23" s="67">
        <f t="shared" si="2"/>
        <v>1800000</v>
      </c>
      <c r="H23" s="67">
        <f t="shared" si="3"/>
        <v>1800000</v>
      </c>
      <c r="K23" s="91">
        <f t="shared" si="7"/>
        <v>0.3</v>
      </c>
      <c r="L23" s="92">
        <v>0.3</v>
      </c>
      <c r="M23" s="67">
        <v>16000000</v>
      </c>
      <c r="N23" s="67">
        <f t="shared" si="4"/>
        <v>17800000</v>
      </c>
    </row>
    <row r="24" spans="1:14" x14ac:dyDescent="0.25">
      <c r="A24" s="1">
        <v>701</v>
      </c>
      <c r="B24" s="84" t="str">
        <f t="shared" ref="B24:B27" si="8">"每日超值礼包."&amp;F24&amp;"元"</f>
        <v>每日超值礼包.6元</v>
      </c>
      <c r="C24" s="84" t="str">
        <f t="shared" si="0"/>
        <v>充值，即可获得每日超值礼包.6元奖励</v>
      </c>
      <c r="D24" s="1" t="str">
        <f t="shared" si="5"/>
        <v>1|2|60000,1|1|6</v>
      </c>
      <c r="F24" s="1">
        <f>'每日超值|DailyGiftRe'!C5</f>
        <v>6</v>
      </c>
      <c r="G24" s="67">
        <f t="shared" si="2"/>
        <v>480000.00000000006</v>
      </c>
      <c r="H24" s="67">
        <f t="shared" si="3"/>
        <v>480000.00000000006</v>
      </c>
      <c r="K24" s="91">
        <f t="shared" si="7"/>
        <v>0.8</v>
      </c>
      <c r="L24" s="90">
        <v>0.8</v>
      </c>
      <c r="M24" s="67">
        <v>600000</v>
      </c>
      <c r="N24" s="67">
        <f t="shared" si="4"/>
        <v>1080000</v>
      </c>
    </row>
    <row r="25" spans="1:14" x14ac:dyDescent="0.25">
      <c r="A25" s="1">
        <v>702</v>
      </c>
      <c r="B25" s="84" t="str">
        <f t="shared" si="8"/>
        <v>每日超值礼包.30元</v>
      </c>
      <c r="C25" s="84" t="str">
        <f t="shared" si="0"/>
        <v>充值，即可获得每日超值礼包.30元奖励</v>
      </c>
      <c r="D25" s="1" t="str">
        <f t="shared" si="5"/>
        <v>1|2|300000,1|1|30</v>
      </c>
      <c r="F25" s="1">
        <f>'每日超值|DailyGiftRe'!C6</f>
        <v>30</v>
      </c>
      <c r="G25" s="67">
        <f t="shared" si="2"/>
        <v>2400000</v>
      </c>
      <c r="H25" s="67">
        <f t="shared" si="3"/>
        <v>2400000</v>
      </c>
      <c r="K25" s="91">
        <f t="shared" si="7"/>
        <v>0.8</v>
      </c>
      <c r="L25" s="90">
        <v>0.8</v>
      </c>
      <c r="M25" s="67">
        <v>3500000</v>
      </c>
      <c r="N25" s="67">
        <f t="shared" si="4"/>
        <v>5900000</v>
      </c>
    </row>
    <row r="26" spans="1:14" x14ac:dyDescent="0.25">
      <c r="A26" s="1">
        <v>703</v>
      </c>
      <c r="B26" s="84" t="str">
        <f t="shared" si="8"/>
        <v>每日超值礼包.98元</v>
      </c>
      <c r="C26" s="84" t="str">
        <f t="shared" si="0"/>
        <v>充值，即可获得每日超值礼包.98元奖励</v>
      </c>
      <c r="D26" s="1" t="str">
        <f t="shared" si="5"/>
        <v>1|2|500000,1|1|98</v>
      </c>
      <c r="F26" s="1">
        <f>'每日超值|DailyGiftRe'!C7</f>
        <v>98</v>
      </c>
      <c r="G26" s="67">
        <f t="shared" si="2"/>
        <v>7840000.0000000009</v>
      </c>
      <c r="H26" s="67">
        <f t="shared" si="3"/>
        <v>7840000.0000000009</v>
      </c>
      <c r="K26" s="91">
        <f t="shared" si="7"/>
        <v>0.8</v>
      </c>
      <c r="L26" s="90">
        <v>0.8</v>
      </c>
      <c r="M26" s="67">
        <v>12000000</v>
      </c>
      <c r="N26" s="67">
        <f t="shared" si="4"/>
        <v>19840000</v>
      </c>
    </row>
    <row r="27" spans="1:14" x14ac:dyDescent="0.25">
      <c r="A27" s="1">
        <v>704</v>
      </c>
      <c r="B27" s="84" t="str">
        <f t="shared" si="8"/>
        <v>每日超值礼包.328元</v>
      </c>
      <c r="C27" s="84" t="str">
        <f t="shared" si="0"/>
        <v>充值，即可获得每日超值礼包.328元奖励</v>
      </c>
      <c r="D27" s="1" t="str">
        <f t="shared" si="5"/>
        <v>1|2|500000,1|1|328</v>
      </c>
      <c r="F27" s="1">
        <f>'每日超值|DailyGiftRe'!C8</f>
        <v>328</v>
      </c>
      <c r="G27" s="67">
        <f t="shared" si="2"/>
        <v>26240000.000000004</v>
      </c>
      <c r="H27" s="67">
        <f t="shared" si="3"/>
        <v>26240000.000000004</v>
      </c>
      <c r="K27" s="91">
        <f t="shared" si="7"/>
        <v>0.8</v>
      </c>
      <c r="L27" s="90">
        <v>0.8</v>
      </c>
      <c r="M27" s="67">
        <v>400000</v>
      </c>
      <c r="N27" s="67">
        <f t="shared" si="4"/>
        <v>26640000.000000004</v>
      </c>
    </row>
    <row r="28" spans="1:14" x14ac:dyDescent="0.25">
      <c r="A28" s="1">
        <v>801</v>
      </c>
      <c r="B28" s="84" t="str">
        <f>"超值道具."&amp;F28&amp;"元"</f>
        <v>超值道具.12元</v>
      </c>
      <c r="C28" s="84" t="str">
        <f t="shared" si="0"/>
        <v>充值，即可获得超值道具.12元奖励</v>
      </c>
      <c r="D28" s="1" t="str">
        <f t="shared" si="5"/>
        <v>1|2|120000,1|1|12</v>
      </c>
      <c r="F28" s="12">
        <f>'充值活动|RMBActivities'!E9</f>
        <v>12</v>
      </c>
      <c r="G28" s="87">
        <f t="shared" si="2"/>
        <v>0</v>
      </c>
      <c r="H28" s="67">
        <f t="shared" si="3"/>
        <v>0</v>
      </c>
      <c r="K28" s="91">
        <v>0</v>
      </c>
      <c r="L28" s="92">
        <v>0</v>
      </c>
      <c r="M28" s="67">
        <v>100000</v>
      </c>
      <c r="N28" s="67">
        <f t="shared" si="4"/>
        <v>100000</v>
      </c>
    </row>
    <row r="29" spans="1:14" x14ac:dyDescent="0.25">
      <c r="A29" s="1">
        <v>802</v>
      </c>
      <c r="B29" s="84" t="str">
        <f t="shared" ref="B29:B30" si="9">"超值道具."&amp;F29&amp;"元"</f>
        <v>超值道具.18元</v>
      </c>
      <c r="C29" s="84" t="str">
        <f t="shared" ref="C29:C30" si="10">"充值，即可获得"&amp;B29&amp;"奖励"</f>
        <v>充值，即可获得超值道具.18元奖励</v>
      </c>
      <c r="D29" s="1" t="str">
        <f t="shared" si="5"/>
        <v>1|2|180000,1|1|18</v>
      </c>
      <c r="F29" s="12">
        <f>'充值活动|RMBActivities'!E10</f>
        <v>18</v>
      </c>
      <c r="G29" s="87">
        <f t="shared" si="2"/>
        <v>0</v>
      </c>
      <c r="H29" s="67">
        <f t="shared" si="3"/>
        <v>0</v>
      </c>
      <c r="K29" s="91">
        <v>0</v>
      </c>
      <c r="L29" s="92">
        <v>0</v>
      </c>
      <c r="M29" s="67">
        <v>300000</v>
      </c>
      <c r="N29" s="67">
        <f t="shared" si="4"/>
        <v>300000</v>
      </c>
    </row>
    <row r="30" spans="1:14" x14ac:dyDescent="0.25">
      <c r="A30" s="1">
        <v>803</v>
      </c>
      <c r="B30" s="84" t="str">
        <f t="shared" si="9"/>
        <v>超值道具.30元</v>
      </c>
      <c r="C30" s="84" t="str">
        <f t="shared" si="10"/>
        <v>充值，即可获得超值道具.30元奖励</v>
      </c>
      <c r="D30" s="1" t="str">
        <f t="shared" si="5"/>
        <v>1|2|300000,1|1|30</v>
      </c>
      <c r="F30" s="12">
        <f>'充值活动|RMBActivities'!E11</f>
        <v>30</v>
      </c>
      <c r="G30" s="87">
        <f t="shared" si="2"/>
        <v>0</v>
      </c>
      <c r="H30" s="67">
        <f t="shared" si="3"/>
        <v>0</v>
      </c>
      <c r="K30" s="91">
        <v>0</v>
      </c>
      <c r="L30" s="92">
        <v>0</v>
      </c>
      <c r="M30" s="67">
        <v>1500000</v>
      </c>
      <c r="N30" s="67">
        <f t="shared" si="4"/>
        <v>1500000</v>
      </c>
    </row>
    <row r="31" spans="1:14" x14ac:dyDescent="0.25">
      <c r="A31" s="1">
        <v>901</v>
      </c>
      <c r="B31" s="84" t="str">
        <f>"不破产礼包."&amp;F31&amp;"元"</f>
        <v>不破产礼包.1元</v>
      </c>
      <c r="C31" s="84" t="str">
        <f>"充值，即可触发在该房间永不破产，直到跳转到更高级间"</f>
        <v>充值，即可触发在该房间永不破产，直到跳转到更高级间</v>
      </c>
      <c r="D31" s="1" t="str">
        <f t="shared" si="5"/>
        <v>1|2|10000,1|1|1</v>
      </c>
      <c r="F31" s="1">
        <f>'充值活动|RMBActivities'!E12</f>
        <v>1</v>
      </c>
      <c r="G31" s="67">
        <f t="shared" si="2"/>
        <v>0</v>
      </c>
      <c r="H31" s="67">
        <f t="shared" si="3"/>
        <v>0</v>
      </c>
      <c r="K31" s="90">
        <v>0</v>
      </c>
      <c r="L31" s="90">
        <v>0</v>
      </c>
      <c r="M31" s="67">
        <v>0</v>
      </c>
      <c r="N31" s="67">
        <f t="shared" si="4"/>
        <v>0</v>
      </c>
    </row>
    <row r="32" spans="1:14" x14ac:dyDescent="0.25">
      <c r="A32" s="1">
        <v>902</v>
      </c>
      <c r="B32" s="84" t="str">
        <f t="shared" ref="B32:B33" si="11">"不破产礼包."&amp;F32&amp;"元"</f>
        <v>不破产礼包.6元</v>
      </c>
      <c r="C32" s="84" t="str">
        <f t="shared" ref="C32:C33" si="12">"充值，即可触发在该房间永不破产，直到跳转到更高级间"</f>
        <v>充值，即可触发在该房间永不破产，直到跳转到更高级间</v>
      </c>
      <c r="D32" s="1" t="str">
        <f t="shared" si="5"/>
        <v>1|2|60000,1|1|6</v>
      </c>
      <c r="F32" s="1">
        <f>'充值活动|RMBActivities'!E13</f>
        <v>6</v>
      </c>
      <c r="G32" s="67">
        <f t="shared" si="2"/>
        <v>0</v>
      </c>
      <c r="H32" s="67">
        <f t="shared" si="3"/>
        <v>0</v>
      </c>
      <c r="K32" s="90">
        <v>0</v>
      </c>
      <c r="L32" s="90">
        <v>0</v>
      </c>
      <c r="M32" s="67">
        <v>0</v>
      </c>
      <c r="N32" s="67">
        <f t="shared" si="4"/>
        <v>0</v>
      </c>
    </row>
    <row r="33" spans="1:14" x14ac:dyDescent="0.25">
      <c r="A33" s="1">
        <v>903</v>
      </c>
      <c r="B33" s="84" t="str">
        <f t="shared" si="11"/>
        <v>不破产礼包.30元</v>
      </c>
      <c r="C33" s="84" t="str">
        <f t="shared" si="12"/>
        <v>充值，即可触发在该房间永不破产，直到跳转到更高级间</v>
      </c>
      <c r="D33" s="1" t="str">
        <f t="shared" si="5"/>
        <v>1|2|300000,1|1|30</v>
      </c>
      <c r="F33" s="1">
        <f>'充值活动|RMBActivities'!E14</f>
        <v>30</v>
      </c>
      <c r="G33" s="67">
        <f t="shared" si="2"/>
        <v>0</v>
      </c>
      <c r="H33" s="67">
        <f t="shared" si="3"/>
        <v>0</v>
      </c>
      <c r="K33" s="90">
        <v>0</v>
      </c>
      <c r="L33" s="90">
        <v>0</v>
      </c>
      <c r="M33" s="67">
        <v>0</v>
      </c>
      <c r="N33" s="67">
        <f t="shared" si="4"/>
        <v>0</v>
      </c>
    </row>
    <row r="34" spans="1:14" x14ac:dyDescent="0.25">
      <c r="A34" s="1">
        <v>1001</v>
      </c>
      <c r="B34" s="84" t="s">
        <v>28</v>
      </c>
      <c r="C34" s="84" t="str">
        <f>"充值，即可立得一份大奖，并获得"&amp;B34&amp;"奖励"</f>
        <v>充值，即可立得一份大奖，并获得成长基金奖励</v>
      </c>
      <c r="D34" s="1" t="str">
        <f t="shared" si="5"/>
        <v>1|2|500000,1|1|198</v>
      </c>
      <c r="F34" s="1">
        <f>'充值活动|RMBActivities'!E15</f>
        <v>198</v>
      </c>
      <c r="G34" s="67">
        <f t="shared" si="2"/>
        <v>19800000</v>
      </c>
      <c r="H34" s="67">
        <f t="shared" si="3"/>
        <v>19800000</v>
      </c>
      <c r="K34" s="90">
        <v>1</v>
      </c>
      <c r="L34" s="90">
        <v>1</v>
      </c>
      <c r="M34" s="67">
        <v>0</v>
      </c>
      <c r="N34" s="67">
        <f t="shared" si="4"/>
        <v>19800000</v>
      </c>
    </row>
    <row r="35" spans="1:14" x14ac:dyDescent="0.25">
      <c r="A35" s="1">
        <v>1101</v>
      </c>
      <c r="B35" s="93" t="s">
        <v>29</v>
      </c>
      <c r="C35" s="93" t="s">
        <v>30</v>
      </c>
      <c r="D35" s="1" t="str">
        <f t="shared" si="5"/>
        <v>1|2|60000,1|1|6</v>
      </c>
      <c r="F35" s="1">
        <v>6</v>
      </c>
      <c r="G35" s="67">
        <f t="shared" si="2"/>
        <v>0</v>
      </c>
      <c r="H35" s="67">
        <f t="shared" si="3"/>
        <v>0</v>
      </c>
      <c r="K35" s="90">
        <v>0</v>
      </c>
      <c r="L35" s="90">
        <v>0</v>
      </c>
      <c r="M35" s="67">
        <v>0</v>
      </c>
      <c r="N35" s="67">
        <f t="shared" ref="N35:N37" si="13">H35+M35</f>
        <v>0</v>
      </c>
    </row>
    <row r="36" spans="1:14" x14ac:dyDescent="0.25">
      <c r="A36" s="1">
        <v>1102</v>
      </c>
      <c r="B36" s="93" t="s">
        <v>31</v>
      </c>
      <c r="C36" s="93" t="s">
        <v>30</v>
      </c>
      <c r="D36" s="1" t="str">
        <f t="shared" si="5"/>
        <v>1|2|120000,1|1|12</v>
      </c>
      <c r="F36" s="1">
        <v>12</v>
      </c>
      <c r="G36" s="67">
        <f t="shared" si="2"/>
        <v>0</v>
      </c>
      <c r="H36" s="67">
        <f t="shared" si="3"/>
        <v>0</v>
      </c>
      <c r="K36" s="90">
        <v>0</v>
      </c>
      <c r="L36" s="90">
        <v>0</v>
      </c>
      <c r="M36" s="67">
        <v>0</v>
      </c>
      <c r="N36" s="67">
        <f t="shared" si="13"/>
        <v>0</v>
      </c>
    </row>
    <row r="37" spans="1:14" x14ac:dyDescent="0.25">
      <c r="A37" s="1">
        <v>1103</v>
      </c>
      <c r="B37" s="93" t="s">
        <v>32</v>
      </c>
      <c r="C37" s="93" t="s">
        <v>30</v>
      </c>
      <c r="D37" s="1" t="str">
        <f t="shared" si="5"/>
        <v>1|2|280000,1|1|28</v>
      </c>
      <c r="F37" s="1">
        <v>28</v>
      </c>
      <c r="G37" s="67">
        <f t="shared" si="2"/>
        <v>0</v>
      </c>
      <c r="H37" s="67">
        <f t="shared" si="3"/>
        <v>0</v>
      </c>
      <c r="K37" s="90">
        <v>0</v>
      </c>
      <c r="L37" s="90">
        <v>0</v>
      </c>
      <c r="M37" s="67">
        <v>0</v>
      </c>
      <c r="N37" s="67">
        <f t="shared" si="13"/>
        <v>0</v>
      </c>
    </row>
  </sheetData>
  <phoneticPr fontId="21" type="noConversion"/>
  <conditionalFormatting sqref="A22">
    <cfRule type="containsText" dxfId="438" priority="65" operator="containsText" text=" ">
      <formula>NOT(ISERROR(SEARCH(" ",A22)))</formula>
    </cfRule>
    <cfRule type="containsText" dxfId="437" priority="66" operator="containsText" text=" ">
      <formula>NOT(ISERROR(SEARCH(" ",A22)))</formula>
    </cfRule>
  </conditionalFormatting>
  <conditionalFormatting sqref="A23">
    <cfRule type="containsText" dxfId="436" priority="64" operator="containsText" text=" ">
      <formula>NOT(ISERROR(SEARCH(" ",A23)))</formula>
    </cfRule>
    <cfRule type="containsText" dxfId="435" priority="67" operator="containsText" text=" ">
      <formula>NOT(ISERROR(SEARCH(" ",A23)))</formula>
    </cfRule>
  </conditionalFormatting>
  <conditionalFormatting sqref="A25">
    <cfRule type="containsText" dxfId="434" priority="55" operator="containsText" text=" ">
      <formula>NOT(ISERROR(SEARCH(" ",A25)))</formula>
    </cfRule>
    <cfRule type="containsText" dxfId="433" priority="58" operator="containsText" text=" ">
      <formula>NOT(ISERROR(SEARCH(" ",A25)))</formula>
    </cfRule>
  </conditionalFormatting>
  <conditionalFormatting sqref="A34">
    <cfRule type="containsText" dxfId="432" priority="16" operator="containsText" text=" ">
      <formula>NOT(ISERROR(SEARCH(" ",A34)))</formula>
    </cfRule>
  </conditionalFormatting>
  <conditionalFormatting sqref="A6:A12">
    <cfRule type="containsText" dxfId="431" priority="61" operator="containsText" text=" ">
      <formula>NOT(ISERROR(SEARCH(" ",A6)))</formula>
    </cfRule>
  </conditionalFormatting>
  <conditionalFormatting sqref="A13:A19">
    <cfRule type="containsText" dxfId="430" priority="60" operator="containsText" text=" ">
      <formula>NOT(ISERROR(SEARCH(" ",A13)))</formula>
    </cfRule>
  </conditionalFormatting>
  <conditionalFormatting sqref="A28:A33">
    <cfRule type="containsText" dxfId="429" priority="21" operator="containsText" text=" ">
      <formula>NOT(ISERROR(SEARCH(" ",A28)))</formula>
    </cfRule>
  </conditionalFormatting>
  <conditionalFormatting sqref="A35:A37">
    <cfRule type="containsText" dxfId="428" priority="7" operator="containsText" text=" ">
      <formula>NOT(ISERROR(SEARCH(" ",A35)))</formula>
    </cfRule>
  </conditionalFormatting>
  <conditionalFormatting sqref="E24:E27">
    <cfRule type="containsText" dxfId="427" priority="59" operator="containsText" text=" ">
      <formula>NOT(ISERROR(SEARCH(" ",E24)))</formula>
    </cfRule>
  </conditionalFormatting>
  <conditionalFormatting sqref="F6:F19">
    <cfRule type="containsText" dxfId="426" priority="40" operator="containsText" text=" ">
      <formula>NOT(ISERROR(SEARCH(" ",F6)))</formula>
    </cfRule>
    <cfRule type="containsText" dxfId="425" priority="47" operator="containsText" text=" ">
      <formula>NOT(ISERROR(SEARCH(" ",F6)))</formula>
    </cfRule>
  </conditionalFormatting>
  <conditionalFormatting sqref="F24:F27">
    <cfRule type="containsText" dxfId="424" priority="23" operator="containsText" text=" ">
      <formula>NOT(ISERROR(SEARCH(" ",F24)))</formula>
    </cfRule>
    <cfRule type="containsText" dxfId="423" priority="24" operator="containsText" text=" ">
      <formula>NOT(ISERROR(SEARCH(" ",F24)))</formula>
    </cfRule>
  </conditionalFormatting>
  <conditionalFormatting sqref="F28:F34">
    <cfRule type="containsText" dxfId="422" priority="20" operator="containsText" text=" ">
      <formula>NOT(ISERROR(SEARCH(" ",F28)))</formula>
    </cfRule>
  </conditionalFormatting>
  <conditionalFormatting sqref="G35:G37">
    <cfRule type="containsText" dxfId="421" priority="6" operator="containsText" text=" ">
      <formula>NOT(ISERROR(SEARCH(" ",G35)))</formula>
    </cfRule>
  </conditionalFormatting>
  <conditionalFormatting sqref="H5:H34">
    <cfRule type="containsText" dxfId="420" priority="10" operator="containsText" text=" ">
      <formula>NOT(ISERROR(SEARCH(" ",H5)))</formula>
    </cfRule>
  </conditionalFormatting>
  <conditionalFormatting sqref="H35:H37">
    <cfRule type="containsText" dxfId="419" priority="5" operator="containsText" text=" ">
      <formula>NOT(ISERROR(SEARCH(" ",H35)))</formula>
    </cfRule>
  </conditionalFormatting>
  <conditionalFormatting sqref="M20:M29">
    <cfRule type="containsText" dxfId="418" priority="9" operator="containsText" text=" ">
      <formula>NOT(ISERROR(SEARCH(" ",M20)))</formula>
    </cfRule>
  </conditionalFormatting>
  <conditionalFormatting sqref="N1:N34 N38:N1048576">
    <cfRule type="containsText" dxfId="417" priority="11" operator="containsText" text=" ">
      <formula>NOT(ISERROR(SEARCH(" ",N1)))</formula>
    </cfRule>
  </conditionalFormatting>
  <conditionalFormatting sqref="I30:L34 A38:L1048576 A5 A20:A21 E28:E34 O1:XFD19 O30:XFD1048576 G5:G34 A1:L4 I5:L19 B35:C37 D5:E6 E7:E23 E35:F37 D7:D37 I35:J37">
    <cfRule type="containsText" dxfId="416" priority="68" operator="containsText" text=" ">
      <formula>NOT(ISERROR(SEARCH(" ",A1)))</formula>
    </cfRule>
  </conditionalFormatting>
  <conditionalFormatting sqref="F5 F20:F23">
    <cfRule type="containsText" dxfId="415" priority="54" operator="containsText" text=" ">
      <formula>NOT(ISERROR(SEARCH(" ",F5)))</formula>
    </cfRule>
  </conditionalFormatting>
  <conditionalFormatting sqref="K5:L33">
    <cfRule type="cellIs" dxfId="414" priority="14" operator="equal">
      <formula>0</formula>
    </cfRule>
  </conditionalFormatting>
  <conditionalFormatting sqref="M5:M19 M30:M34">
    <cfRule type="containsText" dxfId="413" priority="8" operator="containsText" text=" ">
      <formula>NOT(ISERROR(SEARCH(" ",M5)))</formula>
    </cfRule>
  </conditionalFormatting>
  <conditionalFormatting sqref="O20:XFD29 I20:L29 K21:K30">
    <cfRule type="containsText" dxfId="412" priority="143" operator="containsText" text=" ">
      <formula>NOT(ISERROR(SEARCH(" ",I20)))</formula>
    </cfRule>
  </conditionalFormatting>
  <conditionalFormatting sqref="A24 A26:A27">
    <cfRule type="containsText" dxfId="411" priority="56" operator="containsText" text=" ">
      <formula>NOT(ISERROR(SEARCH(" ",A24)))</formula>
    </cfRule>
    <cfRule type="containsText" dxfId="410" priority="57" operator="containsText" text=" ">
      <formula>NOT(ISERROR(SEARCH(" ",A24)))</formula>
    </cfRule>
  </conditionalFormatting>
  <conditionalFormatting sqref="N35:N37">
    <cfRule type="containsText" dxfId="409" priority="2" operator="containsText" text=" ">
      <formula>NOT(ISERROR(SEARCH(" ",N35)))</formula>
    </cfRule>
  </conditionalFormatting>
  <conditionalFormatting sqref="K35:L37">
    <cfRule type="containsText" dxfId="408" priority="4" operator="containsText" text=" ">
      <formula>NOT(ISERROR(SEARCH(" ",K35)))</formula>
    </cfRule>
  </conditionalFormatting>
  <conditionalFormatting sqref="K35:L36">
    <cfRule type="cellIs" dxfId="407" priority="3" operator="equal">
      <formula>0</formula>
    </cfRule>
  </conditionalFormatting>
  <conditionalFormatting sqref="M35:M37">
    <cfRule type="containsText" dxfId="406" priority="1" operator="containsText" text=" ">
      <formula>NOT(ISERROR(SEARCH(" ",M35)))</formula>
    </cfRule>
  </conditionalFormatting>
  <pageMargins left="0.7" right="0.7" top="0.75" bottom="0.75" header="0.3" footer="0.3"/>
  <pageSetup paperSize="9" orientation="portrait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Y29"/>
  <sheetViews>
    <sheetView tabSelected="1" topLeftCell="Q4" workbookViewId="0">
      <selection activeCell="AB21" sqref="AB21"/>
    </sheetView>
  </sheetViews>
  <sheetFormatPr defaultColWidth="9" defaultRowHeight="15.6" x14ac:dyDescent="0.25"/>
  <cols>
    <col min="1" max="2" width="14.6640625" style="1" customWidth="1"/>
    <col min="3" max="3" width="17.44140625" style="1" customWidth="1"/>
    <col min="4" max="4" width="8.77734375" style="1" customWidth="1"/>
    <col min="5" max="5" width="15.88671875" style="1" customWidth="1"/>
    <col min="6" max="6" width="58.88671875" style="1" customWidth="1"/>
    <col min="7" max="7" width="26.77734375" style="1" customWidth="1"/>
    <col min="8" max="8" width="13.5546875" style="1" customWidth="1"/>
    <col min="9" max="14" width="15.109375" style="1" customWidth="1"/>
    <col min="15" max="15" width="36.109375" style="1" customWidth="1"/>
    <col min="16" max="16" width="9.21875" style="1" customWidth="1"/>
    <col min="17" max="17" width="11.33203125" style="1" customWidth="1"/>
    <col min="18" max="18" width="12.109375" style="1" customWidth="1"/>
    <col min="19" max="19" width="14.21875" style="1" customWidth="1"/>
    <col min="20" max="20" width="9.21875" style="1" customWidth="1"/>
    <col min="21" max="21" width="10.6640625" style="1" customWidth="1"/>
    <col min="22" max="22" width="7.21875" style="1" customWidth="1"/>
    <col min="23" max="24" width="9.21875" style="1" customWidth="1"/>
    <col min="25" max="25" width="5.44140625" style="1" customWidth="1"/>
    <col min="26" max="26" width="7.21875" style="1" customWidth="1"/>
    <col min="27" max="28" width="9.21875" style="1" customWidth="1"/>
    <col min="29" max="29" width="5.44140625" style="1" customWidth="1"/>
    <col min="30" max="30" width="7.21875" style="1" customWidth="1"/>
    <col min="31" max="32" width="9.21875" style="1" customWidth="1"/>
    <col min="33" max="33" width="5.44140625" style="1" customWidth="1"/>
    <col min="34" max="34" width="7.21875" style="1" customWidth="1"/>
    <col min="35" max="36" width="9.21875" style="1" customWidth="1"/>
    <col min="37" max="37" width="5.44140625" style="1" customWidth="1"/>
    <col min="38" max="38" width="7.21875" style="1" customWidth="1"/>
    <col min="39" max="40" width="9.21875" style="1" customWidth="1"/>
    <col min="41" max="41" width="5.44140625" style="1" customWidth="1"/>
    <col min="42" max="42" width="7.21875" style="1" customWidth="1"/>
    <col min="43" max="44" width="9.21875" style="1" customWidth="1"/>
    <col min="45" max="46" width="9" style="1"/>
    <col min="47" max="47" width="11.6640625" style="1" customWidth="1"/>
    <col min="48" max="48" width="9" style="1"/>
    <col min="49" max="49" width="9.21875" style="1" customWidth="1"/>
    <col min="50" max="16384" width="9" style="1"/>
  </cols>
  <sheetData>
    <row r="1" spans="1:51" x14ac:dyDescent="0.35">
      <c r="A1" s="14" t="s">
        <v>0</v>
      </c>
      <c r="B1" s="14" t="s">
        <v>0</v>
      </c>
      <c r="C1" s="14" t="s">
        <v>33</v>
      </c>
      <c r="D1" s="14" t="s">
        <v>0</v>
      </c>
      <c r="E1" s="14" t="s">
        <v>0</v>
      </c>
      <c r="F1" s="14" t="s">
        <v>0</v>
      </c>
      <c r="G1" s="65" t="s">
        <v>0</v>
      </c>
      <c r="H1" s="15" t="s">
        <v>0</v>
      </c>
      <c r="I1" s="15" t="s">
        <v>0</v>
      </c>
      <c r="J1" s="65" t="s">
        <v>0</v>
      </c>
      <c r="K1" s="15" t="s">
        <v>0</v>
      </c>
      <c r="L1" s="14" t="s">
        <v>33</v>
      </c>
      <c r="M1" s="14" t="s">
        <v>33</v>
      </c>
      <c r="N1" s="14" t="s">
        <v>33</v>
      </c>
    </row>
    <row r="2" spans="1:51" x14ac:dyDescent="0.35">
      <c r="A2" s="14" t="s">
        <v>3</v>
      </c>
      <c r="B2" s="14" t="s">
        <v>3</v>
      </c>
      <c r="C2" s="14" t="s">
        <v>4</v>
      </c>
      <c r="D2" s="14" t="s">
        <v>3</v>
      </c>
      <c r="E2" s="14" t="s">
        <v>3</v>
      </c>
      <c r="F2" s="14" t="s">
        <v>4</v>
      </c>
      <c r="G2" s="14" t="s">
        <v>4</v>
      </c>
      <c r="H2" s="15" t="s">
        <v>3</v>
      </c>
      <c r="I2" s="15" t="s">
        <v>3</v>
      </c>
      <c r="J2" s="14" t="s">
        <v>4</v>
      </c>
      <c r="K2" s="15" t="s">
        <v>3</v>
      </c>
      <c r="L2" s="14" t="s">
        <v>3</v>
      </c>
      <c r="M2" s="14" t="s">
        <v>3</v>
      </c>
      <c r="N2" s="14" t="s">
        <v>4</v>
      </c>
    </row>
    <row r="3" spans="1:51" ht="16.2" x14ac:dyDescent="0.35">
      <c r="A3" s="14" t="s">
        <v>34</v>
      </c>
      <c r="B3" s="14" t="s">
        <v>35</v>
      </c>
      <c r="C3" s="14" t="s">
        <v>36</v>
      </c>
      <c r="D3" s="14" t="s">
        <v>37</v>
      </c>
      <c r="E3" s="14" t="s">
        <v>38</v>
      </c>
      <c r="F3" s="14" t="s">
        <v>39</v>
      </c>
      <c r="G3" s="15" t="s">
        <v>40</v>
      </c>
      <c r="H3" s="15" t="s">
        <v>41</v>
      </c>
      <c r="I3" s="15" t="s">
        <v>42</v>
      </c>
      <c r="J3" s="15" t="s">
        <v>43</v>
      </c>
      <c r="K3" s="15" t="s">
        <v>44</v>
      </c>
      <c r="L3" s="14" t="s">
        <v>45</v>
      </c>
      <c r="M3" s="14" t="s">
        <v>46</v>
      </c>
      <c r="N3" s="14" t="s">
        <v>47</v>
      </c>
      <c r="P3" s="111" t="s">
        <v>48</v>
      </c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74"/>
      <c r="AK3" s="74"/>
      <c r="AL3" s="74"/>
      <c r="AM3" s="74"/>
      <c r="AN3" s="74"/>
      <c r="AO3" s="74"/>
      <c r="AP3" s="74"/>
      <c r="AQ3" s="74"/>
    </row>
    <row r="4" spans="1:51" ht="118.8" x14ac:dyDescent="0.25">
      <c r="A4" s="4" t="s">
        <v>49</v>
      </c>
      <c r="B4" s="4" t="s">
        <v>50</v>
      </c>
      <c r="C4" s="4" t="s">
        <v>51</v>
      </c>
      <c r="D4" s="4" t="s">
        <v>52</v>
      </c>
      <c r="E4" s="4" t="s">
        <v>53</v>
      </c>
      <c r="F4" s="4" t="s">
        <v>54</v>
      </c>
      <c r="G4" s="66" t="s">
        <v>55</v>
      </c>
      <c r="H4" s="66" t="s">
        <v>56</v>
      </c>
      <c r="I4" s="16" t="s">
        <v>57</v>
      </c>
      <c r="J4" s="16" t="s">
        <v>58</v>
      </c>
      <c r="K4" s="16" t="s">
        <v>59</v>
      </c>
      <c r="L4" s="38" t="s">
        <v>60</v>
      </c>
      <c r="M4" s="38" t="s">
        <v>61</v>
      </c>
      <c r="N4" s="38" t="s">
        <v>62</v>
      </c>
      <c r="O4" s="38" t="s">
        <v>63</v>
      </c>
      <c r="P4" s="24" t="s">
        <v>64</v>
      </c>
      <c r="Q4" s="25" t="s">
        <v>65</v>
      </c>
      <c r="R4" s="26" t="s">
        <v>66</v>
      </c>
      <c r="S4" s="26" t="s">
        <v>67</v>
      </c>
      <c r="T4" s="20" t="s">
        <v>68</v>
      </c>
      <c r="U4" s="21" t="s">
        <v>65</v>
      </c>
      <c r="V4" s="22" t="s">
        <v>66</v>
      </c>
      <c r="W4" s="23" t="s">
        <v>67</v>
      </c>
      <c r="X4" s="24" t="s">
        <v>69</v>
      </c>
      <c r="Y4" s="25" t="s">
        <v>65</v>
      </c>
      <c r="Z4" s="26" t="s">
        <v>66</v>
      </c>
      <c r="AA4" s="26" t="s">
        <v>67</v>
      </c>
      <c r="AB4" s="20" t="s">
        <v>70</v>
      </c>
      <c r="AC4" s="21" t="s">
        <v>65</v>
      </c>
      <c r="AD4" s="22" t="s">
        <v>66</v>
      </c>
      <c r="AE4" s="23" t="s">
        <v>67</v>
      </c>
      <c r="AF4" s="28" t="s">
        <v>71</v>
      </c>
      <c r="AG4" s="25" t="s">
        <v>65</v>
      </c>
      <c r="AH4" s="26" t="s">
        <v>66</v>
      </c>
      <c r="AI4" s="29" t="s">
        <v>67</v>
      </c>
      <c r="AJ4" s="20" t="s">
        <v>72</v>
      </c>
      <c r="AK4" s="21" t="s">
        <v>65</v>
      </c>
      <c r="AL4" s="22" t="s">
        <v>66</v>
      </c>
      <c r="AM4" s="23" t="s">
        <v>67</v>
      </c>
      <c r="AN4" s="28" t="s">
        <v>73</v>
      </c>
      <c r="AO4" s="25" t="s">
        <v>65</v>
      </c>
      <c r="AP4" s="26" t="s">
        <v>66</v>
      </c>
      <c r="AQ4" s="29" t="s">
        <v>67</v>
      </c>
      <c r="AR4" s="10" t="s">
        <v>74</v>
      </c>
      <c r="AS4" s="1" t="s">
        <v>75</v>
      </c>
      <c r="AU4" s="30">
        <v>0</v>
      </c>
      <c r="AV4" s="76" t="s">
        <v>76</v>
      </c>
      <c r="AW4" s="78" t="s">
        <v>77</v>
      </c>
      <c r="AX4" s="76" t="s">
        <v>78</v>
      </c>
      <c r="AY4" s="79" t="s">
        <v>5</v>
      </c>
    </row>
    <row r="5" spans="1:51" ht="16.2" x14ac:dyDescent="0.35">
      <c r="A5" s="1">
        <v>306</v>
      </c>
      <c r="B5" s="1">
        <v>5</v>
      </c>
      <c r="C5" s="67"/>
      <c r="D5" s="67"/>
      <c r="E5" s="1">
        <v>6</v>
      </c>
      <c r="F5" s="6" t="str">
        <f>Q5&amp;"|"&amp;R5&amp;"|"&amp;S5&amp;","&amp;U5&amp;"|"&amp;V5&amp;"|"&amp;W5&amp;","&amp;Y5&amp;"|"&amp;Z5&amp;"|"&amp;AA5&amp;","&amp;AC5&amp;"|"&amp;AD5&amp;"|"&amp;AE5&amp;","&amp;AG5&amp;"|"&amp;AH5&amp;"|"&amp;AI5</f>
        <v>1|2|1200000,1|1|50,2|1001|5,2|1002|5,2|1003|5</v>
      </c>
      <c r="G5" s="6"/>
      <c r="H5" s="6"/>
      <c r="I5" s="1">
        <v>-1</v>
      </c>
      <c r="K5" s="1">
        <v>-1</v>
      </c>
      <c r="M5" s="1">
        <v>1</v>
      </c>
      <c r="O5" s="12" t="s">
        <v>79</v>
      </c>
      <c r="P5" s="7" t="s">
        <v>80</v>
      </c>
      <c r="Q5" s="1">
        <f t="shared" ref="Q5:Q11" si="0">VLOOKUP(P5,$AU:$AY,4,0)</f>
        <v>1</v>
      </c>
      <c r="R5" s="1">
        <f t="shared" ref="R5:R11" si="1">VLOOKUP(P5,$AU:$AY,5,0)</f>
        <v>2</v>
      </c>
      <c r="S5" s="27">
        <v>1200000</v>
      </c>
      <c r="T5" s="7" t="s">
        <v>81</v>
      </c>
      <c r="U5" s="1">
        <f t="shared" ref="U5:U11" si="2">VLOOKUP(T5,$AU:$AY,4,0)</f>
        <v>1</v>
      </c>
      <c r="V5" s="1">
        <f t="shared" ref="V5:V11" si="3">VLOOKUP(T5,$AU:$AY,5,0)</f>
        <v>1</v>
      </c>
      <c r="W5" s="7">
        <v>50</v>
      </c>
      <c r="X5" s="7" t="s">
        <v>82</v>
      </c>
      <c r="Y5" s="1">
        <f t="shared" ref="Y5:Y11" si="4">VLOOKUP(X5,$AU:$AY,4,0)</f>
        <v>2</v>
      </c>
      <c r="Z5" s="1">
        <f t="shared" ref="Z5:Z11" si="5">VLOOKUP(X5,$AU:$AY,5,0)</f>
        <v>1001</v>
      </c>
      <c r="AA5" s="7">
        <v>5</v>
      </c>
      <c r="AB5" s="7" t="s">
        <v>83</v>
      </c>
      <c r="AC5" s="1">
        <f>VLOOKUP(AB5,$AU:$AY,4,0)</f>
        <v>2</v>
      </c>
      <c r="AD5" s="1">
        <f>VLOOKUP(AB5,$AU:$AY,5,0)</f>
        <v>1002</v>
      </c>
      <c r="AE5" s="7">
        <v>5</v>
      </c>
      <c r="AF5" s="7" t="s">
        <v>84</v>
      </c>
      <c r="AG5" s="1">
        <f>VLOOKUP(AF5,$AU:$AY,4,0)</f>
        <v>2</v>
      </c>
      <c r="AH5" s="1">
        <f>VLOOKUP(AF5,$AU:$AY,5,0)</f>
        <v>1003</v>
      </c>
      <c r="AI5" s="7">
        <v>5</v>
      </c>
      <c r="AJ5" s="7"/>
      <c r="AM5" s="7"/>
      <c r="AN5" s="75"/>
      <c r="AQ5" s="75"/>
      <c r="AR5" s="1">
        <f>(VLOOKUP(P5,$AU:$AY,2,0)*S5+VLOOKUP(T5,$AU:$AY,2,0)*W5+VLOOKUP(X5,$AU:$AY,2,0)*AA5+VLOOKUP(AB5,$AU:$AY,2,0)*AE5+VLOOKUP(AF5,$AU:$AY,2,0)*AI5)</f>
        <v>19.5</v>
      </c>
      <c r="AS5" s="1">
        <f>AR5/E5</f>
        <v>3.25</v>
      </c>
      <c r="AU5" s="31" t="s">
        <v>85</v>
      </c>
      <c r="AV5" s="32">
        <v>1</v>
      </c>
      <c r="AW5" s="32">
        <v>10</v>
      </c>
      <c r="AX5" s="32">
        <v>1</v>
      </c>
      <c r="AY5" s="33">
        <v>0</v>
      </c>
    </row>
    <row r="6" spans="1:51" ht="16.2" x14ac:dyDescent="0.35">
      <c r="A6" s="12">
        <v>307</v>
      </c>
      <c r="B6" s="1">
        <v>5</v>
      </c>
      <c r="C6" s="67"/>
      <c r="D6" s="67"/>
      <c r="E6" s="1">
        <v>30</v>
      </c>
      <c r="F6" s="6" t="str">
        <f>Q6&amp;"|"&amp;R6&amp;"|"&amp;S6&amp;","&amp;U6&amp;"|"&amp;V6&amp;"|"&amp;W6&amp;","&amp;Y6&amp;"|"&amp;Z6&amp;"|"&amp;AA6&amp;""&amp;AM6</f>
        <v>1|2|5000000,2|1005|1,2|1003|20</v>
      </c>
      <c r="G6" s="6"/>
      <c r="H6" s="6"/>
      <c r="I6" s="1">
        <v>-1</v>
      </c>
      <c r="K6" s="1">
        <v>-1</v>
      </c>
      <c r="L6" s="1">
        <v>88</v>
      </c>
      <c r="M6" s="1">
        <v>4</v>
      </c>
      <c r="P6" s="7" t="s">
        <v>80</v>
      </c>
      <c r="Q6" s="1">
        <f t="shared" si="0"/>
        <v>1</v>
      </c>
      <c r="R6" s="1">
        <f t="shared" si="1"/>
        <v>2</v>
      </c>
      <c r="S6" s="27">
        <v>5000000</v>
      </c>
      <c r="T6" s="7" t="s">
        <v>86</v>
      </c>
      <c r="U6" s="1">
        <f t="shared" si="2"/>
        <v>2</v>
      </c>
      <c r="V6" s="1">
        <f t="shared" si="3"/>
        <v>1005</v>
      </c>
      <c r="W6" s="7">
        <v>1</v>
      </c>
      <c r="X6" s="7" t="s">
        <v>84</v>
      </c>
      <c r="Y6" s="1">
        <f t="shared" si="4"/>
        <v>2</v>
      </c>
      <c r="Z6" s="1">
        <f t="shared" si="5"/>
        <v>1003</v>
      </c>
      <c r="AA6" s="7">
        <v>20</v>
      </c>
      <c r="AB6" s="7"/>
      <c r="AE6" s="7"/>
      <c r="AF6" s="7"/>
      <c r="AI6" s="7"/>
      <c r="AJ6" s="7"/>
      <c r="AM6" s="7"/>
      <c r="AN6" s="7"/>
      <c r="AQ6" s="7"/>
      <c r="AU6" s="64" t="s">
        <v>81</v>
      </c>
      <c r="AV6" s="64">
        <v>0.1</v>
      </c>
      <c r="AW6" s="64">
        <v>1</v>
      </c>
      <c r="AX6" s="64">
        <v>1</v>
      </c>
      <c r="AY6" s="64">
        <v>1</v>
      </c>
    </row>
    <row r="7" spans="1:51" ht="16.2" x14ac:dyDescent="0.35">
      <c r="A7" s="12">
        <v>501</v>
      </c>
      <c r="B7" s="1">
        <v>3</v>
      </c>
      <c r="E7" s="1">
        <v>30</v>
      </c>
      <c r="F7" s="6" t="str">
        <f>Q7&amp;"|"&amp;R7&amp;"|"&amp;S7&amp;","&amp;U7&amp;"|"&amp;V7&amp;"|"&amp;W7&amp;","&amp;Y7&amp;"|"&amp;Z7&amp;"|"&amp;AA7&amp;","&amp;AC7&amp;"|"&amp;AD7&amp;"|"&amp;AE7&amp;","&amp;AG7&amp;"|"&amp;AH7&amp;"|"&amp;AI7&amp;","&amp;AK7&amp;"|"&amp;AL7&amp;"|"&amp;AM7</f>
        <v>1|2|8000000,2|1001|5,2|1003|2,1|1|100,2|1002|2,2|1004|2</v>
      </c>
      <c r="G7" s="6"/>
      <c r="H7" s="6"/>
      <c r="I7" s="1">
        <v>-1</v>
      </c>
      <c r="J7" s="1" t="s">
        <v>87</v>
      </c>
      <c r="K7" s="64">
        <f t="shared" ref="K7:K8" si="6">10*60</f>
        <v>600</v>
      </c>
      <c r="L7" s="69"/>
      <c r="M7" s="69"/>
      <c r="N7" s="69"/>
      <c r="P7" s="7" t="s">
        <v>80</v>
      </c>
      <c r="Q7" s="1">
        <f t="shared" si="0"/>
        <v>1</v>
      </c>
      <c r="R7" s="1">
        <f t="shared" si="1"/>
        <v>2</v>
      </c>
      <c r="S7" s="27">
        <v>8000000</v>
      </c>
      <c r="T7" s="7" t="s">
        <v>82</v>
      </c>
      <c r="U7" s="1">
        <f t="shared" si="2"/>
        <v>2</v>
      </c>
      <c r="V7" s="1">
        <f t="shared" si="3"/>
        <v>1001</v>
      </c>
      <c r="W7" s="7">
        <v>5</v>
      </c>
      <c r="X7" s="7" t="s">
        <v>84</v>
      </c>
      <c r="Y7" s="1">
        <f t="shared" si="4"/>
        <v>2</v>
      </c>
      <c r="Z7" s="1">
        <f t="shared" si="5"/>
        <v>1003</v>
      </c>
      <c r="AA7" s="7">
        <v>2</v>
      </c>
      <c r="AB7" s="7" t="s">
        <v>81</v>
      </c>
      <c r="AC7" s="1">
        <f>VLOOKUP(AB7,$AU:$AY,4,0)</f>
        <v>1</v>
      </c>
      <c r="AD7" s="1">
        <f>VLOOKUP(AB7,$AU:$AY,5,0)</f>
        <v>1</v>
      </c>
      <c r="AE7" s="7">
        <v>100</v>
      </c>
      <c r="AF7" s="7" t="s">
        <v>83</v>
      </c>
      <c r="AG7" s="1">
        <f>VLOOKUP(AF7,$AU:$AY,4,0)</f>
        <v>2</v>
      </c>
      <c r="AH7" s="1">
        <f>VLOOKUP(AF7,$AU:$AY,5,0)</f>
        <v>1002</v>
      </c>
      <c r="AI7" s="7">
        <v>2</v>
      </c>
      <c r="AJ7" s="7" t="s">
        <v>88</v>
      </c>
      <c r="AK7" s="1">
        <f>VLOOKUP(AJ7,$AU:$AY,4,0)</f>
        <v>2</v>
      </c>
      <c r="AL7" s="1">
        <f>VLOOKUP(AJ7,$AU:$AY,5,0)</f>
        <v>1004</v>
      </c>
      <c r="AM7" s="7">
        <v>2</v>
      </c>
      <c r="AN7" s="7" t="s">
        <v>83</v>
      </c>
      <c r="AO7" s="1">
        <f>VLOOKUP(AN7,$AU:$AY,4,0)</f>
        <v>2</v>
      </c>
      <c r="AP7" s="1">
        <f>VLOOKUP(AN7,$AU:$AY,5,0)</f>
        <v>1002</v>
      </c>
      <c r="AQ7" s="7">
        <v>2</v>
      </c>
      <c r="AR7" s="1">
        <f>(VLOOKUP(P7,$AU:$AY,2,0)*S7+VLOOKUP(T7,$AU:$AY,2,0)*W7+VLOOKUP(X7,$AU:$AY,2,0)*AA7+VLOOKUP(AB7,$AU:$AY,2,0)*AE7+VLOOKUP(AF7,$AU:$AY,2,0)*AI7+VLOOKUP(AJ7,$AU:$AY,2,0)*AM7)</f>
        <v>54.4</v>
      </c>
      <c r="AS7" s="1">
        <f t="shared" ref="AS7:AS8" si="7">AR7/E7</f>
        <v>1.8133333333333332</v>
      </c>
      <c r="AU7" s="64" t="s">
        <v>80</v>
      </c>
      <c r="AV7" s="64">
        <v>5.0000000000000004E-6</v>
      </c>
      <c r="AW7" s="64">
        <v>5.0000000000000002E-5</v>
      </c>
      <c r="AX7" s="64">
        <v>1</v>
      </c>
      <c r="AY7" s="64">
        <v>2</v>
      </c>
    </row>
    <row r="8" spans="1:51" ht="16.2" x14ac:dyDescent="0.35">
      <c r="A8" s="68">
        <v>502</v>
      </c>
      <c r="B8" s="1">
        <v>3</v>
      </c>
      <c r="E8" s="1">
        <v>60</v>
      </c>
      <c r="F8" s="6" t="str">
        <f>Q8&amp;"|"&amp;R8&amp;"|"&amp;S8&amp;","&amp;U8&amp;"|"&amp;V8&amp;"|"&amp;W8&amp;","&amp;Y8&amp;"|"&amp;Z8&amp;"|"&amp;AA8&amp;","&amp;AC8&amp;"|"&amp;AD8&amp;"|"&amp;AE8&amp;","&amp;AG8&amp;"|"&amp;AH8&amp;"|"&amp;AI8&amp;","&amp;AK8&amp;"|"&amp;AL8&amp;"|"&amp;AM8</f>
        <v>1|2|16000000,2|1001|10,2|1003|5,1|1|200,2|1002|5,2|1004|5</v>
      </c>
      <c r="G8" s="6"/>
      <c r="H8" s="6"/>
      <c r="I8" s="1">
        <v>-1</v>
      </c>
      <c r="J8" s="1" t="s">
        <v>89</v>
      </c>
      <c r="K8" s="64">
        <f t="shared" si="6"/>
        <v>600</v>
      </c>
      <c r="L8" s="69"/>
      <c r="M8" s="69"/>
      <c r="N8" s="69"/>
      <c r="P8" s="7" t="s">
        <v>80</v>
      </c>
      <c r="Q8" s="1">
        <f t="shared" si="0"/>
        <v>1</v>
      </c>
      <c r="R8" s="1">
        <f t="shared" si="1"/>
        <v>2</v>
      </c>
      <c r="S8" s="27">
        <v>16000000</v>
      </c>
      <c r="T8" s="7" t="s">
        <v>82</v>
      </c>
      <c r="U8" s="1">
        <f t="shared" si="2"/>
        <v>2</v>
      </c>
      <c r="V8" s="1">
        <f t="shared" si="3"/>
        <v>1001</v>
      </c>
      <c r="W8" s="7">
        <v>10</v>
      </c>
      <c r="X8" s="7" t="s">
        <v>84</v>
      </c>
      <c r="Y8" s="1">
        <f t="shared" si="4"/>
        <v>2</v>
      </c>
      <c r="Z8" s="1">
        <f t="shared" si="5"/>
        <v>1003</v>
      </c>
      <c r="AA8" s="7">
        <v>5</v>
      </c>
      <c r="AB8" s="7" t="s">
        <v>81</v>
      </c>
      <c r="AC8" s="1">
        <f>VLOOKUP(AB8,$AU:$AY,4,0)</f>
        <v>1</v>
      </c>
      <c r="AD8" s="1">
        <f>VLOOKUP(AB8,$AU:$AY,5,0)</f>
        <v>1</v>
      </c>
      <c r="AE8" s="7">
        <v>200</v>
      </c>
      <c r="AF8" s="7" t="s">
        <v>83</v>
      </c>
      <c r="AG8" s="1">
        <f>VLOOKUP(AF8,$AU:$AY,4,0)</f>
        <v>2</v>
      </c>
      <c r="AH8" s="1">
        <f>VLOOKUP(AF8,$AU:$AY,5,0)</f>
        <v>1002</v>
      </c>
      <c r="AI8" s="7">
        <v>5</v>
      </c>
      <c r="AJ8" s="7" t="s">
        <v>88</v>
      </c>
      <c r="AK8" s="1">
        <f>VLOOKUP(AJ8,$AU:$AY,4,0)</f>
        <v>2</v>
      </c>
      <c r="AL8" s="1">
        <f>VLOOKUP(AJ8,$AU:$AY,5,0)</f>
        <v>1004</v>
      </c>
      <c r="AM8" s="7">
        <v>5</v>
      </c>
      <c r="AN8" s="7" t="s">
        <v>83</v>
      </c>
      <c r="AO8" s="1">
        <f>VLOOKUP(AN8,$AU:$AY,4,0)</f>
        <v>2</v>
      </c>
      <c r="AP8" s="1">
        <f>VLOOKUP(AN8,$AU:$AY,5,0)</f>
        <v>1002</v>
      </c>
      <c r="AQ8" s="7">
        <v>5</v>
      </c>
      <c r="AR8" s="1">
        <f>(VLOOKUP(P8,$AU:$AY,2,0)*S8+VLOOKUP(T8,$AU:$AY,2,0)*W8+VLOOKUP(X8,$AU:$AY,2,0)*AA8+VLOOKUP(AB8,$AU:$AY,2,0)*AE8+VLOOKUP(AF8,$AU:$AY,2,0)*AI8+VLOOKUP(AJ8,$AU:$AY,2,0)*AM8)</f>
        <v>110.5</v>
      </c>
      <c r="AS8" s="1">
        <f t="shared" si="7"/>
        <v>1.8416666666666666</v>
      </c>
      <c r="AU8" s="64" t="s">
        <v>82</v>
      </c>
      <c r="AV8" s="64">
        <v>0.2</v>
      </c>
      <c r="AW8" s="64">
        <v>2</v>
      </c>
      <c r="AX8" s="64">
        <v>2</v>
      </c>
      <c r="AY8" s="64">
        <v>1001</v>
      </c>
    </row>
    <row r="9" spans="1:51" ht="16.2" x14ac:dyDescent="0.35">
      <c r="A9" s="1">
        <v>801</v>
      </c>
      <c r="B9" s="1">
        <v>6</v>
      </c>
      <c r="D9" s="1">
        <v>333</v>
      </c>
      <c r="E9" s="1">
        <v>12</v>
      </c>
      <c r="F9" s="6" t="str">
        <f>Q9&amp;"|"&amp;R9&amp;"|"&amp;S9&amp;","&amp;U9&amp;"|"&amp;V9&amp;"|"&amp;W9&amp;","&amp;Y9&amp;"|"&amp;Z9&amp;"|"&amp;AA9&amp;","&amp;AC9&amp;"|"&amp;AD9&amp;"|"&amp;AE9</f>
        <v>2|1002|5,2|1004|5,2|1003|5,2|1001|50</v>
      </c>
      <c r="G9" s="6"/>
      <c r="H9" s="6"/>
      <c r="L9" s="1">
        <v>40</v>
      </c>
      <c r="M9" s="1">
        <v>1</v>
      </c>
      <c r="P9" s="7" t="s">
        <v>83</v>
      </c>
      <c r="Q9" s="1">
        <f t="shared" si="0"/>
        <v>2</v>
      </c>
      <c r="R9" s="1">
        <f t="shared" si="1"/>
        <v>1002</v>
      </c>
      <c r="S9" s="27">
        <v>5</v>
      </c>
      <c r="T9" s="7" t="s">
        <v>88</v>
      </c>
      <c r="U9" s="1">
        <f t="shared" si="2"/>
        <v>2</v>
      </c>
      <c r="V9" s="1">
        <f t="shared" si="3"/>
        <v>1004</v>
      </c>
      <c r="W9" s="7">
        <v>5</v>
      </c>
      <c r="X9" s="7" t="s">
        <v>84</v>
      </c>
      <c r="Y9" s="1">
        <f t="shared" si="4"/>
        <v>2</v>
      </c>
      <c r="Z9" s="1">
        <f t="shared" si="5"/>
        <v>1003</v>
      </c>
      <c r="AA9" s="7">
        <v>5</v>
      </c>
      <c r="AB9" s="7" t="s">
        <v>82</v>
      </c>
      <c r="AC9" s="1">
        <f>VLOOKUP(AB9,$AU:$AY,4,0)</f>
        <v>2</v>
      </c>
      <c r="AD9" s="1">
        <f>VLOOKUP(AB9,$AU:$AY,5,0)</f>
        <v>1001</v>
      </c>
      <c r="AE9" s="7">
        <v>50</v>
      </c>
      <c r="AR9" s="1">
        <f>(VLOOKUP(P9,$AU:$AY,3,0)*S9+VLOOKUP(T9,$AU:$AY,3,0)*W9+VLOOKUP(X9,$AU:$AY,3,0)*AA9+VLOOKUP(AB9,$AU:$AY,3,0)*AE9)</f>
        <v>185</v>
      </c>
      <c r="AS9" s="1">
        <f t="shared" ref="AS9:AS11" si="8">AR9/E9/10</f>
        <v>1.5416666666666665</v>
      </c>
      <c r="AU9" s="77" t="s">
        <v>83</v>
      </c>
      <c r="AV9" s="77">
        <v>0.5</v>
      </c>
      <c r="AW9" s="77">
        <v>5</v>
      </c>
      <c r="AX9" s="77">
        <v>2</v>
      </c>
      <c r="AY9" s="77">
        <v>1002</v>
      </c>
    </row>
    <row r="10" spans="1:51" ht="16.2" x14ac:dyDescent="0.35">
      <c r="A10" s="1">
        <v>802</v>
      </c>
      <c r="B10" s="1">
        <v>6</v>
      </c>
      <c r="D10" s="1">
        <v>667</v>
      </c>
      <c r="E10" s="1">
        <v>18</v>
      </c>
      <c r="F10" s="6" t="str">
        <f t="shared" ref="F10:F11" si="9">Q10&amp;"|"&amp;R10&amp;"|"&amp;S10&amp;","&amp;U10&amp;"|"&amp;V10&amp;"|"&amp;W10&amp;","&amp;Y10&amp;"|"&amp;Z10&amp;"|"&amp;AA10&amp;","&amp;AC10&amp;"|"&amp;AD10&amp;"|"&amp;AE10</f>
        <v>2|1002|8,2|1004|8,2|1003|8,2|1001|100</v>
      </c>
      <c r="G10" s="6"/>
      <c r="H10" s="6"/>
      <c r="I10" s="6"/>
      <c r="J10" s="6"/>
      <c r="K10" s="6"/>
      <c r="L10" s="1">
        <v>120</v>
      </c>
      <c r="M10" s="6">
        <v>2</v>
      </c>
      <c r="N10" s="6"/>
      <c r="O10" s="6"/>
      <c r="P10" s="7" t="s">
        <v>83</v>
      </c>
      <c r="Q10" s="1">
        <f t="shared" si="0"/>
        <v>2</v>
      </c>
      <c r="R10" s="1">
        <f t="shared" si="1"/>
        <v>1002</v>
      </c>
      <c r="S10" s="27">
        <v>8</v>
      </c>
      <c r="T10" s="7" t="s">
        <v>88</v>
      </c>
      <c r="U10" s="1">
        <f t="shared" si="2"/>
        <v>2</v>
      </c>
      <c r="V10" s="1">
        <f t="shared" si="3"/>
        <v>1004</v>
      </c>
      <c r="W10" s="7">
        <v>8</v>
      </c>
      <c r="X10" s="7" t="s">
        <v>84</v>
      </c>
      <c r="Y10" s="1">
        <f t="shared" si="4"/>
        <v>2</v>
      </c>
      <c r="Z10" s="1">
        <f t="shared" si="5"/>
        <v>1003</v>
      </c>
      <c r="AA10" s="7">
        <v>8</v>
      </c>
      <c r="AB10" s="7" t="s">
        <v>82</v>
      </c>
      <c r="AC10" s="1">
        <f>VLOOKUP(AB10,$AU:$AY,4,0)</f>
        <v>2</v>
      </c>
      <c r="AD10" s="1">
        <f>VLOOKUP(AB10,$AU:$AY,5,0)</f>
        <v>1001</v>
      </c>
      <c r="AE10" s="7">
        <v>100</v>
      </c>
      <c r="AR10" s="1">
        <f t="shared" ref="AR10:AR11" si="10">(VLOOKUP(P10,$AU:$AY,3,0)*S10+VLOOKUP(T10,$AU:$AY,3,0)*W10+VLOOKUP(X10,$AU:$AY,3,0)*AA10+VLOOKUP(AB10,$AU:$AY,3,0)*AE10)</f>
        <v>336</v>
      </c>
      <c r="AS10" s="1">
        <f t="shared" si="8"/>
        <v>1.8666666666666667</v>
      </c>
      <c r="AU10" s="64" t="s">
        <v>84</v>
      </c>
      <c r="AV10" s="64">
        <v>1</v>
      </c>
      <c r="AW10" s="64">
        <v>10</v>
      </c>
      <c r="AX10" s="64">
        <v>2</v>
      </c>
      <c r="AY10" s="64">
        <v>1003</v>
      </c>
    </row>
    <row r="11" spans="1:51" ht="16.2" x14ac:dyDescent="0.35">
      <c r="A11" s="1">
        <v>803</v>
      </c>
      <c r="B11" s="1">
        <v>6</v>
      </c>
      <c r="D11" s="1">
        <v>2000</v>
      </c>
      <c r="E11" s="1">
        <v>30</v>
      </c>
      <c r="F11" s="6" t="str">
        <f t="shared" si="9"/>
        <v>2|1002|15,2|1004|15,2|1001|15,2|1003|50</v>
      </c>
      <c r="G11" s="6"/>
      <c r="H11" s="6"/>
      <c r="I11" s="6"/>
      <c r="J11" s="6"/>
      <c r="K11" s="6"/>
      <c r="L11" s="1">
        <v>600</v>
      </c>
      <c r="M11" s="6">
        <v>3</v>
      </c>
      <c r="N11" s="6"/>
      <c r="O11" s="6"/>
      <c r="P11" s="7" t="s">
        <v>83</v>
      </c>
      <c r="Q11" s="1">
        <f t="shared" si="0"/>
        <v>2</v>
      </c>
      <c r="R11" s="1">
        <f t="shared" si="1"/>
        <v>1002</v>
      </c>
      <c r="S11" s="27">
        <v>15</v>
      </c>
      <c r="T11" s="7" t="s">
        <v>88</v>
      </c>
      <c r="U11" s="1">
        <f t="shared" si="2"/>
        <v>2</v>
      </c>
      <c r="V11" s="1">
        <f t="shared" si="3"/>
        <v>1004</v>
      </c>
      <c r="W11" s="7">
        <v>15</v>
      </c>
      <c r="X11" s="7" t="s">
        <v>220</v>
      </c>
      <c r="Y11" s="1">
        <f t="shared" si="4"/>
        <v>2</v>
      </c>
      <c r="Z11" s="1">
        <f t="shared" si="5"/>
        <v>1001</v>
      </c>
      <c r="AA11" s="7">
        <v>15</v>
      </c>
      <c r="AB11" s="7" t="s">
        <v>219</v>
      </c>
      <c r="AC11" s="1">
        <f>VLOOKUP(AB11,$AU:$AY,4,0)</f>
        <v>2</v>
      </c>
      <c r="AD11" s="1">
        <f>VLOOKUP(AB11,$AU:$AY,5,0)</f>
        <v>1003</v>
      </c>
      <c r="AE11" s="7">
        <v>50</v>
      </c>
      <c r="AR11" s="1">
        <f t="shared" si="10"/>
        <v>635</v>
      </c>
      <c r="AS11" s="1">
        <f t="shared" si="8"/>
        <v>2.1166666666666667</v>
      </c>
      <c r="AU11" s="64" t="s">
        <v>88</v>
      </c>
      <c r="AV11" s="64">
        <v>0.2</v>
      </c>
      <c r="AW11" s="64">
        <v>2</v>
      </c>
      <c r="AX11" s="64">
        <v>2</v>
      </c>
      <c r="AY11" s="64">
        <v>1004</v>
      </c>
    </row>
    <row r="12" spans="1:51" x14ac:dyDescent="0.35">
      <c r="A12" s="1">
        <v>901</v>
      </c>
      <c r="B12" s="1">
        <v>7</v>
      </c>
      <c r="E12" s="1">
        <v>1</v>
      </c>
      <c r="F12" s="6"/>
      <c r="G12" s="6"/>
      <c r="H12" s="6"/>
      <c r="I12" s="6"/>
      <c r="J12" s="6">
        <v>1</v>
      </c>
      <c r="K12" s="6">
        <f>30*60</f>
        <v>1800</v>
      </c>
      <c r="L12" s="6"/>
      <c r="M12" s="6"/>
      <c r="N12" s="6"/>
      <c r="O12" s="6"/>
      <c r="AU12" s="64" t="s">
        <v>90</v>
      </c>
      <c r="AV12" s="64">
        <v>2.5000000000000001E-3</v>
      </c>
      <c r="AW12" s="64">
        <v>2.5000000000000001E-2</v>
      </c>
      <c r="AX12" s="64">
        <v>2</v>
      </c>
      <c r="AY12" s="64">
        <v>1204</v>
      </c>
    </row>
    <row r="13" spans="1:51" x14ac:dyDescent="0.35">
      <c r="A13" s="1">
        <v>902</v>
      </c>
      <c r="B13" s="1">
        <v>7</v>
      </c>
      <c r="E13" s="1">
        <v>6</v>
      </c>
      <c r="F13" s="6"/>
      <c r="G13" s="6"/>
      <c r="H13" s="6"/>
      <c r="I13" s="6"/>
      <c r="J13" s="6">
        <v>2</v>
      </c>
      <c r="K13" s="6">
        <f t="shared" ref="K13:K14" si="11">30*60</f>
        <v>1800</v>
      </c>
      <c r="L13" s="6"/>
      <c r="M13" s="6"/>
      <c r="N13" s="6"/>
      <c r="O13" s="6"/>
      <c r="AU13" s="64" t="s">
        <v>86</v>
      </c>
      <c r="AV13" s="64">
        <v>5</v>
      </c>
      <c r="AW13" s="64">
        <v>50</v>
      </c>
      <c r="AX13" s="64">
        <v>2</v>
      </c>
      <c r="AY13" s="64">
        <v>1005</v>
      </c>
    </row>
    <row r="14" spans="1:51" x14ac:dyDescent="0.35">
      <c r="A14" s="1">
        <v>903</v>
      </c>
      <c r="B14" s="1">
        <v>7</v>
      </c>
      <c r="E14" s="1">
        <v>30</v>
      </c>
      <c r="F14" s="6"/>
      <c r="G14" s="6"/>
      <c r="H14" s="6"/>
      <c r="I14" s="6"/>
      <c r="J14" s="6">
        <v>3</v>
      </c>
      <c r="K14" s="6">
        <f t="shared" si="11"/>
        <v>1800</v>
      </c>
      <c r="L14" s="6"/>
      <c r="M14" s="6"/>
      <c r="N14" s="6"/>
      <c r="O14" s="6"/>
      <c r="AU14" s="64" t="s">
        <v>91</v>
      </c>
      <c r="AV14" s="64">
        <v>10</v>
      </c>
      <c r="AW14" s="64">
        <v>100</v>
      </c>
      <c r="AX14" s="64">
        <v>2</v>
      </c>
      <c r="AY14" s="64">
        <v>1006</v>
      </c>
    </row>
    <row r="15" spans="1:51" ht="16.2" x14ac:dyDescent="0.35">
      <c r="A15" s="1">
        <v>1001</v>
      </c>
      <c r="B15" s="1">
        <v>8</v>
      </c>
      <c r="E15" s="1">
        <v>198</v>
      </c>
      <c r="F15" s="6" t="str">
        <f>Q15&amp;"|"&amp;R15&amp;"|"&amp;S15</f>
        <v>1|1|1980</v>
      </c>
      <c r="G15" s="6"/>
      <c r="H15" s="6"/>
      <c r="I15" s="6"/>
      <c r="J15" s="6"/>
      <c r="K15" s="6"/>
      <c r="L15" s="6">
        <v>3280</v>
      </c>
      <c r="M15" s="6"/>
      <c r="N15" s="6"/>
      <c r="O15" s="6"/>
      <c r="P15" s="7" t="s">
        <v>81</v>
      </c>
      <c r="Q15" s="1">
        <f>VLOOKUP(P15,$AU:$AY,4,0)</f>
        <v>1</v>
      </c>
      <c r="R15" s="1">
        <f>VLOOKUP(P15,$AU:$AY,5,0)</f>
        <v>1</v>
      </c>
      <c r="S15" s="27">
        <v>1980</v>
      </c>
      <c r="T15" s="7"/>
      <c r="W15" s="7"/>
      <c r="X15" s="7"/>
      <c r="AA15" s="7"/>
      <c r="AB15" s="7"/>
      <c r="AE15" s="7"/>
      <c r="AF15" s="7"/>
      <c r="AI15" s="7"/>
      <c r="AR15" s="1" t="e">
        <f>(VLOOKUP(P15,$AU:$AY,2,0)*S15+VLOOKUP(T15,$AU:$AY,2,0)*W15+VLOOKUP(X15,$AU:$AY,2,0)*AA15+VLOOKUP(AB15,$AU:$AY,2,0)*AE15+VLOOKUP(AF15,$AU:$AY,2,0)*AI15)</f>
        <v>#VALUE!</v>
      </c>
      <c r="AU15" s="64" t="s">
        <v>92</v>
      </c>
      <c r="AV15" s="64">
        <v>25</v>
      </c>
      <c r="AW15" s="64">
        <v>250</v>
      </c>
      <c r="AX15" s="64">
        <v>2</v>
      </c>
      <c r="AY15" s="64">
        <v>1007</v>
      </c>
    </row>
    <row r="16" spans="1:51" x14ac:dyDescent="0.25">
      <c r="A16" s="1">
        <v>1101</v>
      </c>
      <c r="B16" s="1">
        <v>9</v>
      </c>
      <c r="E16" s="1">
        <v>6</v>
      </c>
      <c r="F16" s="1" t="s">
        <v>93</v>
      </c>
      <c r="H16" s="1">
        <v>2</v>
      </c>
      <c r="AU16" s="64" t="s">
        <v>94</v>
      </c>
      <c r="AV16" s="64">
        <v>50</v>
      </c>
      <c r="AW16" s="64">
        <v>500</v>
      </c>
      <c r="AX16" s="64">
        <v>2</v>
      </c>
      <c r="AY16" s="64">
        <v>1008</v>
      </c>
    </row>
    <row r="17" spans="1:51" x14ac:dyDescent="0.25">
      <c r="A17" s="1">
        <v>1102</v>
      </c>
      <c r="B17" s="1">
        <v>9</v>
      </c>
      <c r="E17" s="1">
        <v>12</v>
      </c>
      <c r="F17" s="1" t="s">
        <v>95</v>
      </c>
      <c r="H17" s="1">
        <v>1</v>
      </c>
      <c r="AU17" s="64" t="s">
        <v>96</v>
      </c>
      <c r="AV17" s="64">
        <v>5</v>
      </c>
      <c r="AW17" s="64">
        <v>50</v>
      </c>
      <c r="AX17" s="64">
        <v>2</v>
      </c>
      <c r="AY17" s="64">
        <v>1206</v>
      </c>
    </row>
    <row r="18" spans="1:51" x14ac:dyDescent="0.25">
      <c r="A18" s="1">
        <v>1103</v>
      </c>
      <c r="B18" s="1">
        <v>9</v>
      </c>
      <c r="E18" s="1">
        <v>28</v>
      </c>
      <c r="F18" s="1" t="s">
        <v>97</v>
      </c>
      <c r="H18" s="1">
        <v>1</v>
      </c>
      <c r="AU18" s="64" t="s">
        <v>98</v>
      </c>
      <c r="AV18" s="64">
        <v>2</v>
      </c>
      <c r="AW18" s="64">
        <v>20</v>
      </c>
      <c r="AX18" s="64">
        <v>2</v>
      </c>
      <c r="AY18" s="64">
        <v>1205</v>
      </c>
    </row>
    <row r="19" spans="1:51" x14ac:dyDescent="0.25">
      <c r="AU19" s="64" t="s">
        <v>99</v>
      </c>
      <c r="AV19" s="64">
        <v>200</v>
      </c>
      <c r="AW19" s="64">
        <v>2000</v>
      </c>
      <c r="AX19" s="64">
        <v>2</v>
      </c>
      <c r="AY19" s="64">
        <v>1208</v>
      </c>
    </row>
    <row r="20" spans="1:51" x14ac:dyDescent="0.25">
      <c r="AU20" s="64" t="s">
        <v>100</v>
      </c>
      <c r="AV20" s="64">
        <v>30</v>
      </c>
      <c r="AW20" s="64">
        <v>300</v>
      </c>
      <c r="AX20" s="64">
        <v>2</v>
      </c>
      <c r="AY20" s="64">
        <v>1209</v>
      </c>
    </row>
    <row r="21" spans="1:51" x14ac:dyDescent="0.25">
      <c r="AU21" s="64" t="s">
        <v>101</v>
      </c>
      <c r="AV21" s="64">
        <v>50</v>
      </c>
      <c r="AW21" s="64">
        <v>500</v>
      </c>
      <c r="AX21" s="64">
        <v>2</v>
      </c>
      <c r="AY21" s="64">
        <v>1210</v>
      </c>
    </row>
    <row r="22" spans="1:51" x14ac:dyDescent="0.25">
      <c r="Q22" s="70" t="s">
        <v>102</v>
      </c>
      <c r="R22" s="71"/>
      <c r="V22" s="72" t="s">
        <v>103</v>
      </c>
      <c r="W22" s="72"/>
      <c r="AU22" s="64" t="s">
        <v>104</v>
      </c>
      <c r="AV22" s="64">
        <v>1</v>
      </c>
      <c r="AW22" s="64">
        <v>10</v>
      </c>
      <c r="AX22" s="64">
        <v>1</v>
      </c>
      <c r="AY22" s="64">
        <v>6</v>
      </c>
    </row>
    <row r="23" spans="1:51" x14ac:dyDescent="0.25">
      <c r="P23" s="1" t="s">
        <v>105</v>
      </c>
      <c r="Q23" s="39" t="s">
        <v>106</v>
      </c>
      <c r="R23" s="73" t="s">
        <v>107</v>
      </c>
      <c r="S23" s="1" t="s">
        <v>108</v>
      </c>
      <c r="T23" s="1" t="s">
        <v>109</v>
      </c>
      <c r="U23" s="67" t="s">
        <v>110</v>
      </c>
      <c r="V23" s="1" t="s">
        <v>111</v>
      </c>
      <c r="W23" s="1" t="s">
        <v>112</v>
      </c>
      <c r="AU23" s="64" t="s">
        <v>113</v>
      </c>
      <c r="AV23" s="64">
        <v>1</v>
      </c>
      <c r="AW23" s="64">
        <v>10</v>
      </c>
      <c r="AX23" s="64">
        <v>2</v>
      </c>
      <c r="AY23" s="64">
        <v>1301</v>
      </c>
    </row>
    <row r="24" spans="1:51" x14ac:dyDescent="0.25">
      <c r="P24" s="1">
        <v>300</v>
      </c>
      <c r="Q24" s="1">
        <v>310</v>
      </c>
      <c r="R24" s="1">
        <v>180</v>
      </c>
      <c r="S24" s="1">
        <v>8</v>
      </c>
      <c r="T24" s="1">
        <f>Q24/S24</f>
        <v>38.75</v>
      </c>
      <c r="U24" s="1">
        <f t="shared" ref="U24:U28" si="12">S24*20</f>
        <v>160</v>
      </c>
      <c r="V24" s="1">
        <f>Q24-U24</f>
        <v>150</v>
      </c>
      <c r="W24" s="1">
        <v>150</v>
      </c>
      <c r="X24" s="1">
        <f>P24*45*5</f>
        <v>67500</v>
      </c>
      <c r="AU24" s="64" t="s">
        <v>114</v>
      </c>
      <c r="AV24" s="64">
        <v>1</v>
      </c>
      <c r="AW24" s="64">
        <v>10</v>
      </c>
      <c r="AX24" s="64">
        <v>2</v>
      </c>
      <c r="AY24" s="64">
        <v>1302</v>
      </c>
    </row>
    <row r="25" spans="1:51" x14ac:dyDescent="0.25">
      <c r="P25" s="1">
        <v>500</v>
      </c>
      <c r="Q25" s="1">
        <v>730</v>
      </c>
      <c r="R25" s="1">
        <v>450</v>
      </c>
      <c r="S25" s="1">
        <v>18</v>
      </c>
      <c r="T25" s="1">
        <f t="shared" ref="T25:T28" si="13">Q25/S25</f>
        <v>40.555555555555557</v>
      </c>
      <c r="U25" s="1">
        <f t="shared" si="12"/>
        <v>360</v>
      </c>
      <c r="V25" s="1">
        <f t="shared" ref="V25:V28" si="14">Q25-U25</f>
        <v>370</v>
      </c>
      <c r="W25" s="1">
        <v>900</v>
      </c>
      <c r="X25" s="1">
        <f>P25*45*5</f>
        <v>112500</v>
      </c>
      <c r="AU25" s="64" t="s">
        <v>115</v>
      </c>
      <c r="AV25" s="64">
        <v>1</v>
      </c>
      <c r="AW25" s="64">
        <v>10</v>
      </c>
      <c r="AX25" s="64">
        <v>2</v>
      </c>
      <c r="AY25" s="64">
        <v>1303</v>
      </c>
    </row>
    <row r="26" spans="1:51" x14ac:dyDescent="0.25">
      <c r="P26" s="1">
        <v>1000</v>
      </c>
      <c r="Q26" s="1">
        <v>1740</v>
      </c>
      <c r="R26" s="1">
        <v>1050</v>
      </c>
      <c r="S26" s="1">
        <v>50</v>
      </c>
      <c r="T26" s="1">
        <f t="shared" si="13"/>
        <v>34.799999999999997</v>
      </c>
      <c r="U26" s="1">
        <f t="shared" si="12"/>
        <v>1000</v>
      </c>
      <c r="V26" s="1">
        <f t="shared" si="14"/>
        <v>740</v>
      </c>
      <c r="W26" s="1">
        <v>900</v>
      </c>
      <c r="X26" s="1">
        <f>P26*45*5</f>
        <v>225000</v>
      </c>
      <c r="AU26" s="64" t="s">
        <v>116</v>
      </c>
      <c r="AV26" s="64">
        <v>1</v>
      </c>
      <c r="AW26" s="64">
        <v>10</v>
      </c>
      <c r="AX26" s="64">
        <v>2</v>
      </c>
      <c r="AY26" s="64">
        <v>1304</v>
      </c>
    </row>
    <row r="27" spans="1:51" x14ac:dyDescent="0.25">
      <c r="P27" s="1">
        <v>3500</v>
      </c>
      <c r="Q27" s="1">
        <v>12000</v>
      </c>
      <c r="R27" s="1">
        <v>9000</v>
      </c>
      <c r="S27" s="1">
        <v>328</v>
      </c>
      <c r="T27" s="1">
        <f t="shared" si="13"/>
        <v>36.585365853658537</v>
      </c>
      <c r="U27" s="1">
        <f t="shared" si="12"/>
        <v>6560</v>
      </c>
      <c r="V27" s="1">
        <f t="shared" si="14"/>
        <v>5440</v>
      </c>
      <c r="W27" s="1">
        <v>4500</v>
      </c>
      <c r="X27" s="1">
        <f>P27*45*5</f>
        <v>787500</v>
      </c>
      <c r="AU27" s="64" t="s">
        <v>117</v>
      </c>
      <c r="AV27" s="64">
        <v>100</v>
      </c>
      <c r="AW27" s="64">
        <v>1000</v>
      </c>
      <c r="AX27" s="64">
        <v>2</v>
      </c>
      <c r="AY27" s="64">
        <v>1500</v>
      </c>
    </row>
    <row r="28" spans="1:51" x14ac:dyDescent="0.25">
      <c r="P28" s="1">
        <v>6000</v>
      </c>
      <c r="Q28" s="1">
        <v>19500</v>
      </c>
      <c r="R28" s="1">
        <v>11000</v>
      </c>
      <c r="S28" s="1">
        <v>648</v>
      </c>
      <c r="T28" s="1">
        <f t="shared" si="13"/>
        <v>30.092592592592592</v>
      </c>
      <c r="U28" s="1">
        <f t="shared" si="12"/>
        <v>12960</v>
      </c>
      <c r="V28" s="1">
        <f t="shared" si="14"/>
        <v>6540</v>
      </c>
      <c r="W28" s="1">
        <v>10000</v>
      </c>
      <c r="X28" s="1">
        <f>P28*45*5</f>
        <v>1350000</v>
      </c>
    </row>
    <row r="29" spans="1:51" x14ac:dyDescent="0.25">
      <c r="P29" s="12" t="s">
        <v>118</v>
      </c>
    </row>
  </sheetData>
  <mergeCells count="1">
    <mergeCell ref="P3:AI3"/>
  </mergeCells>
  <phoneticPr fontId="21" type="noConversion"/>
  <conditionalFormatting sqref="H1">
    <cfRule type="containsText" dxfId="405" priority="7" operator="containsText" text=" ">
      <formula>NOT(ISERROR(SEARCH(" ",H1)))</formula>
    </cfRule>
  </conditionalFormatting>
  <conditionalFormatting sqref="H2">
    <cfRule type="containsText" dxfId="404" priority="8" operator="containsText" text=" ">
      <formula>NOT(ISERROR(SEARCH(" ",H2)))</formula>
    </cfRule>
  </conditionalFormatting>
  <conditionalFormatting sqref="O4">
    <cfRule type="containsText" dxfId="403" priority="170" operator="containsText" text=" ">
      <formula>NOT(ISERROR(SEARCH(" ",O4)))</formula>
    </cfRule>
  </conditionalFormatting>
  <conditionalFormatting sqref="AG4">
    <cfRule type="containsText" dxfId="402" priority="256" operator="containsText" text=" ">
      <formula>NOT(ISERROR(SEARCH(" ",AG4)))</formula>
    </cfRule>
  </conditionalFormatting>
  <conditionalFormatting sqref="AK4">
    <cfRule type="containsText" dxfId="401" priority="248" operator="containsText" text=" ">
      <formula>NOT(ISERROR(SEARCH(" ",AK4)))</formula>
    </cfRule>
  </conditionalFormatting>
  <conditionalFormatting sqref="AO4">
    <cfRule type="containsText" dxfId="400" priority="148" operator="containsText" text=" ">
      <formula>NOT(ISERROR(SEARCH(" ",AO4)))</formula>
    </cfRule>
  </conditionalFormatting>
  <conditionalFormatting sqref="AR4">
    <cfRule type="containsText" dxfId="399" priority="254" operator="containsText" text=" ">
      <formula>NOT(ISERROR(SEARCH(" ",AR4)))</formula>
    </cfRule>
  </conditionalFormatting>
  <conditionalFormatting sqref="A5">
    <cfRule type="containsText" dxfId="398" priority="168" operator="containsText" text=" ">
      <formula>NOT(ISERROR(SEARCH(" ",A5)))</formula>
    </cfRule>
  </conditionalFormatting>
  <conditionalFormatting sqref="B5">
    <cfRule type="containsText" dxfId="397" priority="150" operator="containsText" text=" ">
      <formula>NOT(ISERROR(SEARCH(" ",B5)))</formula>
    </cfRule>
  </conditionalFormatting>
  <conditionalFormatting sqref="F5">
    <cfRule type="containsText" dxfId="396" priority="107" operator="containsText" text=" ">
      <formula>NOT(ISERROR(SEARCH(" ",F5)))</formula>
    </cfRule>
  </conditionalFormatting>
  <conditionalFormatting sqref="G5:H5">
    <cfRule type="containsText" dxfId="395" priority="153" operator="containsText" text=" ">
      <formula>NOT(ISERROR(SEARCH(" ",G5)))</formula>
    </cfRule>
  </conditionalFormatting>
  <conditionalFormatting sqref="I5">
    <cfRule type="containsText" dxfId="394" priority="73" operator="containsText" text=" ">
      <formula>NOT(ISERROR(SEARCH(" ",I5)))</formula>
    </cfRule>
  </conditionalFormatting>
  <conditionalFormatting sqref="J5:N5">
    <cfRule type="containsText" dxfId="393" priority="155" operator="containsText" text=" ">
      <formula>NOT(ISERROR(SEARCH(" ",J5)))</formula>
    </cfRule>
  </conditionalFormatting>
  <conditionalFormatting sqref="O5">
    <cfRule type="containsText" dxfId="392" priority="152" operator="containsText" text=" ">
      <formula>NOT(ISERROR(SEARCH(" ",O5)))</formula>
    </cfRule>
  </conditionalFormatting>
  <conditionalFormatting sqref="P5">
    <cfRule type="containsText" dxfId="391" priority="151" operator="containsText" text=" ">
      <formula>NOT(ISERROR(SEARCH(" ",P5)))</formula>
    </cfRule>
  </conditionalFormatting>
  <conditionalFormatting sqref="Q5:S5">
    <cfRule type="containsText" dxfId="390" priority="154" operator="containsText" text=" ">
      <formula>NOT(ISERROR(SEARCH(" ",Q5)))</formula>
    </cfRule>
  </conditionalFormatting>
  <conditionalFormatting sqref="T5">
    <cfRule type="containsText" dxfId="389" priority="74" operator="containsText" text=" ">
      <formula>NOT(ISERROR(SEARCH(" ",T5)))</formula>
    </cfRule>
  </conditionalFormatting>
  <conditionalFormatting sqref="U5:V5">
    <cfRule type="containsText" dxfId="388" priority="121" operator="containsText" text=" ">
      <formula>NOT(ISERROR(SEARCH(" ",U5)))</formula>
    </cfRule>
  </conditionalFormatting>
  <conditionalFormatting sqref="W5">
    <cfRule type="containsText" dxfId="387" priority="109" operator="containsText" text=" ">
      <formula>NOT(ISERROR(SEARCH(" ",W5)))</formula>
    </cfRule>
  </conditionalFormatting>
  <conditionalFormatting sqref="X5">
    <cfRule type="containsText" dxfId="386" priority="108" operator="containsText" text=" ">
      <formula>NOT(ISERROR(SEARCH(" ",X5)))</formula>
    </cfRule>
  </conditionalFormatting>
  <conditionalFormatting sqref="Y5:Z5">
    <cfRule type="containsText" dxfId="385" priority="115" operator="containsText" text=" ">
      <formula>NOT(ISERROR(SEARCH(" ",Y5)))</formula>
    </cfRule>
  </conditionalFormatting>
  <conditionalFormatting sqref="AA5">
    <cfRule type="containsText" dxfId="384" priority="118" operator="containsText" text=" ">
      <formula>NOT(ISERROR(SEARCH(" ",AA5)))</formula>
    </cfRule>
  </conditionalFormatting>
  <conditionalFormatting sqref="AB5">
    <cfRule type="containsText" dxfId="383" priority="120" operator="containsText" text=" ">
      <formula>NOT(ISERROR(SEARCH(" ",AB5)))</formula>
    </cfRule>
  </conditionalFormatting>
  <conditionalFormatting sqref="AC5:AD5">
    <cfRule type="containsText" dxfId="382" priority="114" operator="containsText" text=" ">
      <formula>NOT(ISERROR(SEARCH(" ",AC5)))</formula>
    </cfRule>
  </conditionalFormatting>
  <conditionalFormatting sqref="AE5">
    <cfRule type="containsText" dxfId="381" priority="117" operator="containsText" text=" ">
      <formula>NOT(ISERROR(SEARCH(" ",AE5)))</formula>
    </cfRule>
  </conditionalFormatting>
  <conditionalFormatting sqref="AF5">
    <cfRule type="containsText" dxfId="380" priority="119" operator="containsText" text=" ">
      <formula>NOT(ISERROR(SEARCH(" ",AF5)))</formula>
    </cfRule>
  </conditionalFormatting>
  <conditionalFormatting sqref="AG5:AH5">
    <cfRule type="containsText" dxfId="379" priority="113" operator="containsText" text=" ">
      <formula>NOT(ISERROR(SEARCH(" ",AG5)))</formula>
    </cfRule>
  </conditionalFormatting>
  <conditionalFormatting sqref="AI5">
    <cfRule type="containsText" dxfId="378" priority="116" operator="containsText" text=" ">
      <formula>NOT(ISERROR(SEARCH(" ",AI5)))</formula>
    </cfRule>
  </conditionalFormatting>
  <conditionalFormatting sqref="AJ5">
    <cfRule type="containsText" dxfId="377" priority="112" operator="containsText" text=" ">
      <formula>NOT(ISERROR(SEARCH(" ",AJ5)))</formula>
    </cfRule>
  </conditionalFormatting>
  <conditionalFormatting sqref="AK5:AL5">
    <cfRule type="containsText" dxfId="376" priority="110" operator="containsText" text=" ">
      <formula>NOT(ISERROR(SEARCH(" ",AK5)))</formula>
    </cfRule>
  </conditionalFormatting>
  <conditionalFormatting sqref="AM5">
    <cfRule type="containsText" dxfId="375" priority="111" operator="containsText" text=" ">
      <formula>NOT(ISERROR(SEARCH(" ",AM5)))</formula>
    </cfRule>
  </conditionalFormatting>
  <conditionalFormatting sqref="AN5">
    <cfRule type="containsText" dxfId="374" priority="131" operator="containsText" text=" ">
      <formula>NOT(ISERROR(SEARCH(" ",AN5)))</formula>
    </cfRule>
  </conditionalFormatting>
  <conditionalFormatting sqref="AO5:AP5">
    <cfRule type="containsText" dxfId="373" priority="132" operator="containsText" text=" ">
      <formula>NOT(ISERROR(SEARCH(" ",AO5)))</formula>
    </cfRule>
  </conditionalFormatting>
  <conditionalFormatting sqref="AQ5">
    <cfRule type="containsText" dxfId="372" priority="133" operator="containsText" text=" ">
      <formula>NOT(ISERROR(SEARCH(" ",AQ5)))</formula>
    </cfRule>
  </conditionalFormatting>
  <conditionalFormatting sqref="AR5">
    <cfRule type="containsText" dxfId="371" priority="156" operator="containsText" text=" ">
      <formula>NOT(ISERROR(SEARCH(" ",AR5)))</formula>
    </cfRule>
  </conditionalFormatting>
  <conditionalFormatting sqref="A6:B6">
    <cfRule type="containsText" dxfId="370" priority="159" operator="containsText" text=" ">
      <formula>NOT(ISERROR(SEARCH(" ",A6)))</formula>
    </cfRule>
  </conditionalFormatting>
  <conditionalFormatting sqref="C6:E6">
    <cfRule type="containsText" dxfId="369" priority="164" operator="containsText" text=" ">
      <formula>NOT(ISERROR(SEARCH(" ",C6)))</formula>
    </cfRule>
  </conditionalFormatting>
  <conditionalFormatting sqref="F6:H6">
    <cfRule type="containsText" dxfId="368" priority="162" operator="containsText" text=" ">
      <formula>NOT(ISERROR(SEARCH(" ",F6)))</formula>
    </cfRule>
  </conditionalFormatting>
  <conditionalFormatting sqref="I6">
    <cfRule type="containsText" dxfId="367" priority="160" operator="containsText" text=" ">
      <formula>NOT(ISERROR(SEARCH(" ",I6)))</formula>
    </cfRule>
  </conditionalFormatting>
  <conditionalFormatting sqref="J6:N6">
    <cfRule type="containsText" dxfId="366" priority="165" operator="containsText" text=" ">
      <formula>NOT(ISERROR(SEARCH(" ",J6)))</formula>
    </cfRule>
  </conditionalFormatting>
  <conditionalFormatting sqref="O6">
    <cfRule type="containsText" dxfId="365" priority="161" operator="containsText" text=" ">
      <formula>NOT(ISERROR(SEARCH(" ",O6)))</formula>
    </cfRule>
  </conditionalFormatting>
  <conditionalFormatting sqref="P6">
    <cfRule type="containsText" dxfId="364" priority="158" operator="containsText" text=" ">
      <formula>NOT(ISERROR(SEARCH(" ",P6)))</formula>
    </cfRule>
  </conditionalFormatting>
  <conditionalFormatting sqref="Q6:S6">
    <cfRule type="containsText" dxfId="363" priority="163" operator="containsText" text=" ">
      <formula>NOT(ISERROR(SEARCH(" ",Q6)))</formula>
    </cfRule>
  </conditionalFormatting>
  <conditionalFormatting sqref="T6">
    <cfRule type="containsText" dxfId="362" priority="105" operator="containsText" text=" ">
      <formula>NOT(ISERROR(SEARCH(" ",T6)))</formula>
    </cfRule>
  </conditionalFormatting>
  <conditionalFormatting sqref="U6:V6">
    <cfRule type="containsText" dxfId="361" priority="106" operator="containsText" text=" ">
      <formula>NOT(ISERROR(SEARCH(" ",U6)))</formula>
    </cfRule>
  </conditionalFormatting>
  <conditionalFormatting sqref="W6">
    <cfRule type="containsText" dxfId="360" priority="102" operator="containsText" text=" ">
      <formula>NOT(ISERROR(SEARCH(" ",W6)))</formula>
    </cfRule>
  </conditionalFormatting>
  <conditionalFormatting sqref="X6">
    <cfRule type="containsText" dxfId="359" priority="101" operator="containsText" text=" ">
      <formula>NOT(ISERROR(SEARCH(" ",X6)))</formula>
    </cfRule>
  </conditionalFormatting>
  <conditionalFormatting sqref="Y6:Z6">
    <cfRule type="containsText" dxfId="358" priority="103" operator="containsText" text=" ">
      <formula>NOT(ISERROR(SEARCH(" ",Y6)))</formula>
    </cfRule>
  </conditionalFormatting>
  <conditionalFormatting sqref="AA6">
    <cfRule type="containsText" dxfId="357" priority="104" operator="containsText" text=" ">
      <formula>NOT(ISERROR(SEARCH(" ",AA6)))</formula>
    </cfRule>
  </conditionalFormatting>
  <conditionalFormatting sqref="AB6">
    <cfRule type="containsText" dxfId="356" priority="130" operator="containsText" text=" ">
      <formula>NOT(ISERROR(SEARCH(" ",AB6)))</formula>
    </cfRule>
  </conditionalFormatting>
  <conditionalFormatting sqref="AC6:AD6">
    <cfRule type="containsText" dxfId="355" priority="126" operator="containsText" text=" ">
      <formula>NOT(ISERROR(SEARCH(" ",AC6)))</formula>
    </cfRule>
  </conditionalFormatting>
  <conditionalFormatting sqref="AE6">
    <cfRule type="containsText" dxfId="354" priority="128" operator="containsText" text=" ">
      <formula>NOT(ISERROR(SEARCH(" ",AE6)))</formula>
    </cfRule>
  </conditionalFormatting>
  <conditionalFormatting sqref="AF6">
    <cfRule type="containsText" dxfId="353" priority="129" operator="containsText" text=" ">
      <formula>NOT(ISERROR(SEARCH(" ",AF6)))</formula>
    </cfRule>
  </conditionalFormatting>
  <conditionalFormatting sqref="AG6:AH6">
    <cfRule type="containsText" dxfId="352" priority="125" operator="containsText" text=" ">
      <formula>NOT(ISERROR(SEARCH(" ",AG6)))</formula>
    </cfRule>
  </conditionalFormatting>
  <conditionalFormatting sqref="AI6">
    <cfRule type="containsText" dxfId="351" priority="127" operator="containsText" text=" ">
      <formula>NOT(ISERROR(SEARCH(" ",AI6)))</formula>
    </cfRule>
  </conditionalFormatting>
  <conditionalFormatting sqref="AJ6">
    <cfRule type="containsText" dxfId="350" priority="124" operator="containsText" text=" ">
      <formula>NOT(ISERROR(SEARCH(" ",AJ6)))</formula>
    </cfRule>
  </conditionalFormatting>
  <conditionalFormatting sqref="AK6:AL6">
    <cfRule type="containsText" dxfId="349" priority="122" operator="containsText" text=" ">
      <formula>NOT(ISERROR(SEARCH(" ",AK6)))</formula>
    </cfRule>
  </conditionalFormatting>
  <conditionalFormatting sqref="AM6">
    <cfRule type="containsText" dxfId="348" priority="123" operator="containsText" text=" ">
      <formula>NOT(ISERROR(SEARCH(" ",AM6)))</formula>
    </cfRule>
  </conditionalFormatting>
  <conditionalFormatting sqref="AN6">
    <cfRule type="containsText" dxfId="347" priority="136" operator="containsText" text=" ">
      <formula>NOT(ISERROR(SEARCH(" ",AN6)))</formula>
    </cfRule>
  </conditionalFormatting>
  <conditionalFormatting sqref="AO6:AP6">
    <cfRule type="containsText" dxfId="346" priority="134" operator="containsText" text=" ">
      <formula>NOT(ISERROR(SEARCH(" ",AO6)))</formula>
    </cfRule>
  </conditionalFormatting>
  <conditionalFormatting sqref="AQ6">
    <cfRule type="containsText" dxfId="345" priority="135" operator="containsText" text=" ">
      <formula>NOT(ISERROR(SEARCH(" ",AQ6)))</formula>
    </cfRule>
  </conditionalFormatting>
  <conditionalFormatting sqref="AR6">
    <cfRule type="containsText" dxfId="344" priority="166" operator="containsText" text=" ">
      <formula>NOT(ISERROR(SEARCH(" ",AR6)))</formula>
    </cfRule>
  </conditionalFormatting>
  <conditionalFormatting sqref="A7:D7">
    <cfRule type="containsText" dxfId="343" priority="224" operator="containsText" text=" ">
      <formula>NOT(ISERROR(SEARCH(" ",A7)))</formula>
    </cfRule>
    <cfRule type="containsText" dxfId="342" priority="246" operator="containsText" text=" ">
      <formula>NOT(ISERROR(SEARCH(" ",A7)))</formula>
    </cfRule>
  </conditionalFormatting>
  <conditionalFormatting sqref="E7">
    <cfRule type="containsText" dxfId="341" priority="177" operator="containsText" text=" ">
      <formula>NOT(ISERROR(SEARCH(" ",E7)))</formula>
    </cfRule>
    <cfRule type="containsText" dxfId="340" priority="178" operator="containsText" text=" ">
      <formula>NOT(ISERROR(SEARCH(" ",E7)))</formula>
    </cfRule>
  </conditionalFormatting>
  <conditionalFormatting sqref="F7:H7">
    <cfRule type="containsText" dxfId="339" priority="223" operator="containsText" text=" ">
      <formula>NOT(ISERROR(SEARCH(" ",F7)))</formula>
    </cfRule>
    <cfRule type="containsText" dxfId="338" priority="245" operator="containsText" text=" ">
      <formula>NOT(ISERROR(SEARCH(" ",F7)))</formula>
    </cfRule>
  </conditionalFormatting>
  <conditionalFormatting sqref="O7">
    <cfRule type="containsText" dxfId="337" priority="222" operator="containsText" text=" ">
      <formula>NOT(ISERROR(SEARCH(" ",O7)))</formula>
    </cfRule>
    <cfRule type="containsText" dxfId="336" priority="244" operator="containsText" text=" ">
      <formula>NOT(ISERROR(SEARCH(" ",O7)))</formula>
    </cfRule>
  </conditionalFormatting>
  <conditionalFormatting sqref="P7">
    <cfRule type="containsText" dxfId="335" priority="210" operator="containsText" text=" ">
      <formula>NOT(ISERROR(SEARCH(" ",P7)))</formula>
    </cfRule>
    <cfRule type="containsText" dxfId="334" priority="232" operator="containsText" text=" ">
      <formula>NOT(ISERROR(SEARCH(" ",P7)))</formula>
    </cfRule>
  </conditionalFormatting>
  <conditionalFormatting sqref="T7">
    <cfRule type="containsText" dxfId="333" priority="220" operator="containsText" text=" ">
      <formula>NOT(ISERROR(SEARCH(" ",T7)))</formula>
    </cfRule>
    <cfRule type="containsText" dxfId="332" priority="242" operator="containsText" text=" ">
      <formula>NOT(ISERROR(SEARCH(" ",T7)))</formula>
    </cfRule>
  </conditionalFormatting>
  <conditionalFormatting sqref="U7:V7">
    <cfRule type="containsText" dxfId="331" priority="221" operator="containsText" text=" ">
      <formula>NOT(ISERROR(SEARCH(" ",U7)))</formula>
    </cfRule>
    <cfRule type="containsText" dxfId="330" priority="243" operator="containsText" text=" ">
      <formula>NOT(ISERROR(SEARCH(" ",U7)))</formula>
    </cfRule>
  </conditionalFormatting>
  <conditionalFormatting sqref="W7">
    <cfRule type="containsText" dxfId="329" priority="206" operator="containsText" text=" ">
      <formula>NOT(ISERROR(SEARCH(" ",W7)))</formula>
    </cfRule>
    <cfRule type="containsText" dxfId="328" priority="228" operator="containsText" text=" ">
      <formula>NOT(ISERROR(SEARCH(" ",W7)))</formula>
    </cfRule>
  </conditionalFormatting>
  <conditionalFormatting sqref="X7">
    <cfRule type="containsText" dxfId="327" priority="205" operator="containsText" text=" ">
      <formula>NOT(ISERROR(SEARCH(" ",X7)))</formula>
    </cfRule>
    <cfRule type="containsText" dxfId="326" priority="227" operator="containsText" text=" ">
      <formula>NOT(ISERROR(SEARCH(" ",X7)))</formula>
    </cfRule>
  </conditionalFormatting>
  <conditionalFormatting sqref="Y7:Z7">
    <cfRule type="containsText" dxfId="325" priority="214" operator="containsText" text=" ">
      <formula>NOT(ISERROR(SEARCH(" ",Y7)))</formula>
    </cfRule>
    <cfRule type="containsText" dxfId="324" priority="236" operator="containsText" text=" ">
      <formula>NOT(ISERROR(SEARCH(" ",Y7)))</formula>
    </cfRule>
  </conditionalFormatting>
  <conditionalFormatting sqref="AA7">
    <cfRule type="containsText" dxfId="323" priority="217" operator="containsText" text=" ">
      <formula>NOT(ISERROR(SEARCH(" ",AA7)))</formula>
    </cfRule>
    <cfRule type="containsText" dxfId="322" priority="239" operator="containsText" text=" ">
      <formula>NOT(ISERROR(SEARCH(" ",AA7)))</formula>
    </cfRule>
  </conditionalFormatting>
  <conditionalFormatting sqref="AB7">
    <cfRule type="containsText" dxfId="321" priority="219" operator="containsText" text=" ">
      <formula>NOT(ISERROR(SEARCH(" ",AB7)))</formula>
    </cfRule>
    <cfRule type="containsText" dxfId="320" priority="241" operator="containsText" text=" ">
      <formula>NOT(ISERROR(SEARCH(" ",AB7)))</formula>
    </cfRule>
  </conditionalFormatting>
  <conditionalFormatting sqref="AC7:AD7">
    <cfRule type="containsText" dxfId="319" priority="213" operator="containsText" text=" ">
      <formula>NOT(ISERROR(SEARCH(" ",AC7)))</formula>
    </cfRule>
    <cfRule type="containsText" dxfId="318" priority="235" operator="containsText" text=" ">
      <formula>NOT(ISERROR(SEARCH(" ",AC7)))</formula>
    </cfRule>
  </conditionalFormatting>
  <conditionalFormatting sqref="AE7">
    <cfRule type="containsText" dxfId="317" priority="216" operator="containsText" text=" ">
      <formula>NOT(ISERROR(SEARCH(" ",AE7)))</formula>
    </cfRule>
    <cfRule type="containsText" dxfId="316" priority="238" operator="containsText" text=" ">
      <formula>NOT(ISERROR(SEARCH(" ",AE7)))</formula>
    </cfRule>
  </conditionalFormatting>
  <conditionalFormatting sqref="AF7">
    <cfRule type="containsText" dxfId="315" priority="218" operator="containsText" text=" ">
      <formula>NOT(ISERROR(SEARCH(" ",AF7)))</formula>
    </cfRule>
    <cfRule type="containsText" dxfId="314" priority="240" operator="containsText" text=" ">
      <formula>NOT(ISERROR(SEARCH(" ",AF7)))</formula>
    </cfRule>
  </conditionalFormatting>
  <conditionalFormatting sqref="AG7:AH7">
    <cfRule type="containsText" dxfId="313" priority="212" operator="containsText" text=" ">
      <formula>NOT(ISERROR(SEARCH(" ",AG7)))</formula>
    </cfRule>
    <cfRule type="containsText" dxfId="312" priority="234" operator="containsText" text=" ">
      <formula>NOT(ISERROR(SEARCH(" ",AG7)))</formula>
    </cfRule>
  </conditionalFormatting>
  <conditionalFormatting sqref="AI7">
    <cfRule type="containsText" dxfId="311" priority="215" operator="containsText" text=" ">
      <formula>NOT(ISERROR(SEARCH(" ",AI7)))</formula>
    </cfRule>
    <cfRule type="containsText" dxfId="310" priority="237" operator="containsText" text=" ">
      <formula>NOT(ISERROR(SEARCH(" ",AI7)))</formula>
    </cfRule>
  </conditionalFormatting>
  <conditionalFormatting sqref="AJ7">
    <cfRule type="containsText" dxfId="309" priority="209" operator="containsText" text=" ">
      <formula>NOT(ISERROR(SEARCH(" ",AJ7)))</formula>
    </cfRule>
    <cfRule type="containsText" dxfId="308" priority="231" operator="containsText" text=" ">
      <formula>NOT(ISERROR(SEARCH(" ",AJ7)))</formula>
    </cfRule>
  </conditionalFormatting>
  <conditionalFormatting sqref="AK7:AL7">
    <cfRule type="containsText" dxfId="307" priority="207" operator="containsText" text=" ">
      <formula>NOT(ISERROR(SEARCH(" ",AK7)))</formula>
    </cfRule>
    <cfRule type="containsText" dxfId="306" priority="229" operator="containsText" text=" ">
      <formula>NOT(ISERROR(SEARCH(" ",AK7)))</formula>
    </cfRule>
  </conditionalFormatting>
  <conditionalFormatting sqref="AM7">
    <cfRule type="containsText" dxfId="305" priority="208" operator="containsText" text=" ">
      <formula>NOT(ISERROR(SEARCH(" ",AM7)))</formula>
    </cfRule>
    <cfRule type="containsText" dxfId="304" priority="230" operator="containsText" text=" ">
      <formula>NOT(ISERROR(SEARCH(" ",AM7)))</formula>
    </cfRule>
  </conditionalFormatting>
  <conditionalFormatting sqref="AN7">
    <cfRule type="containsText" dxfId="303" priority="142" operator="containsText" text=" ">
      <formula>NOT(ISERROR(SEARCH(" ",AN7)))</formula>
    </cfRule>
    <cfRule type="containsText" dxfId="302" priority="145" operator="containsText" text=" ">
      <formula>NOT(ISERROR(SEARCH(" ",AN7)))</formula>
    </cfRule>
  </conditionalFormatting>
  <conditionalFormatting sqref="AO7:AP7">
    <cfRule type="containsText" dxfId="301" priority="140" operator="containsText" text=" ">
      <formula>NOT(ISERROR(SEARCH(" ",AO7)))</formula>
    </cfRule>
    <cfRule type="containsText" dxfId="300" priority="143" operator="containsText" text=" ">
      <formula>NOT(ISERROR(SEARCH(" ",AO7)))</formula>
    </cfRule>
  </conditionalFormatting>
  <conditionalFormatting sqref="AQ7">
    <cfRule type="containsText" dxfId="299" priority="141" operator="containsText" text=" ">
      <formula>NOT(ISERROR(SEARCH(" ",AQ7)))</formula>
    </cfRule>
    <cfRule type="containsText" dxfId="298" priority="144" operator="containsText" text=" ">
      <formula>NOT(ISERROR(SEARCH(" ",AQ7)))</formula>
    </cfRule>
  </conditionalFormatting>
  <conditionalFormatting sqref="AR7">
    <cfRule type="containsText" dxfId="297" priority="203" operator="containsText" text=" ">
      <formula>NOT(ISERROR(SEARCH(" ",AR7)))</formula>
    </cfRule>
    <cfRule type="containsText" dxfId="296" priority="225" operator="containsText" text=" ">
      <formula>NOT(ISERROR(SEARCH(" ",AR7)))</formula>
    </cfRule>
  </conditionalFormatting>
  <conditionalFormatting sqref="AS7">
    <cfRule type="containsText" dxfId="295" priority="204" operator="containsText" text=" ">
      <formula>NOT(ISERROR(SEARCH(" ",AS7)))</formula>
    </cfRule>
    <cfRule type="containsText" dxfId="294" priority="226" operator="containsText" text=" ">
      <formula>NOT(ISERROR(SEARCH(" ",AS7)))</formula>
    </cfRule>
  </conditionalFormatting>
  <conditionalFormatting sqref="A8">
    <cfRule type="containsText" dxfId="293" priority="99" operator="containsText" text=" ">
      <formula>NOT(ISERROR(SEARCH(" ",A8)))</formula>
    </cfRule>
    <cfRule type="containsText" dxfId="292" priority="100" operator="containsText" text=" ">
      <formula>NOT(ISERROR(SEARCH(" ",A8)))</formula>
    </cfRule>
  </conditionalFormatting>
  <conditionalFormatting sqref="B8:D8">
    <cfRule type="containsText" dxfId="291" priority="202" operator="containsText" text=" ">
      <formula>NOT(ISERROR(SEARCH(" ",B8)))</formula>
    </cfRule>
  </conditionalFormatting>
  <conditionalFormatting sqref="E8">
    <cfRule type="containsText" dxfId="290" priority="176" operator="containsText" text=" ">
      <formula>NOT(ISERROR(SEARCH(" ",E8)))</formula>
    </cfRule>
    <cfRule type="containsText" dxfId="289" priority="179" operator="containsText" text=" ">
      <formula>NOT(ISERROR(SEARCH(" ",E8)))</formula>
    </cfRule>
  </conditionalFormatting>
  <conditionalFormatting sqref="F8:H8">
    <cfRule type="containsText" dxfId="288" priority="201" operator="containsText" text=" ">
      <formula>NOT(ISERROR(SEARCH(" ",F8)))</formula>
    </cfRule>
    <cfRule type="containsText" dxfId="287" priority="252" operator="containsText" text=" ">
      <formula>NOT(ISERROR(SEARCH(" ",F8)))</formula>
    </cfRule>
  </conditionalFormatting>
  <conditionalFormatting sqref="O8">
    <cfRule type="containsText" dxfId="286" priority="200" operator="containsText" text=" ">
      <formula>NOT(ISERROR(SEARCH(" ",O8)))</formula>
    </cfRule>
  </conditionalFormatting>
  <conditionalFormatting sqref="P8">
    <cfRule type="containsText" dxfId="285" priority="188" operator="containsText" text=" ">
      <formula>NOT(ISERROR(SEARCH(" ",P8)))</formula>
    </cfRule>
  </conditionalFormatting>
  <conditionalFormatting sqref="Q8:R8">
    <cfRule type="containsText" dxfId="284" priority="189" operator="containsText" text=" ">
      <formula>NOT(ISERROR(SEARCH(" ",Q8)))</formula>
    </cfRule>
  </conditionalFormatting>
  <conditionalFormatting sqref="T8">
    <cfRule type="containsText" dxfId="283" priority="198" operator="containsText" text=" ">
      <formula>NOT(ISERROR(SEARCH(" ",T8)))</formula>
    </cfRule>
  </conditionalFormatting>
  <conditionalFormatting sqref="U8:V8">
    <cfRule type="containsText" dxfId="282" priority="199" operator="containsText" text=" ">
      <formula>NOT(ISERROR(SEARCH(" ",U8)))</formula>
    </cfRule>
  </conditionalFormatting>
  <conditionalFormatting sqref="W8">
    <cfRule type="containsText" dxfId="281" priority="184" operator="containsText" text=" ">
      <formula>NOT(ISERROR(SEARCH(" ",W8)))</formula>
    </cfRule>
  </conditionalFormatting>
  <conditionalFormatting sqref="X8">
    <cfRule type="containsText" dxfId="280" priority="183" operator="containsText" text=" ">
      <formula>NOT(ISERROR(SEARCH(" ",X8)))</formula>
    </cfRule>
  </conditionalFormatting>
  <conditionalFormatting sqref="Y8:Z8">
    <cfRule type="containsText" dxfId="279" priority="192" operator="containsText" text=" ">
      <formula>NOT(ISERROR(SEARCH(" ",Y8)))</formula>
    </cfRule>
  </conditionalFormatting>
  <conditionalFormatting sqref="AA8">
    <cfRule type="containsText" dxfId="278" priority="195" operator="containsText" text=" ">
      <formula>NOT(ISERROR(SEARCH(" ",AA8)))</formula>
    </cfRule>
  </conditionalFormatting>
  <conditionalFormatting sqref="AB8:AE8">
    <cfRule type="containsText" dxfId="277" priority="258" operator="containsText" text=" ">
      <formula>NOT(ISERROR(SEARCH(" ",AB8)))</formula>
    </cfRule>
  </conditionalFormatting>
  <conditionalFormatting sqref="AB8">
    <cfRule type="containsText" dxfId="276" priority="197" operator="containsText" text=" ">
      <formula>NOT(ISERROR(SEARCH(" ",AB8)))</formula>
    </cfRule>
  </conditionalFormatting>
  <conditionalFormatting sqref="AC8:AD8">
    <cfRule type="containsText" dxfId="275" priority="191" operator="containsText" text=" ">
      <formula>NOT(ISERROR(SEARCH(" ",AC8)))</formula>
    </cfRule>
  </conditionalFormatting>
  <conditionalFormatting sqref="AE8">
    <cfRule type="containsText" dxfId="274" priority="194" operator="containsText" text=" ">
      <formula>NOT(ISERROR(SEARCH(" ",AE8)))</formula>
    </cfRule>
  </conditionalFormatting>
  <conditionalFormatting sqref="AF8">
    <cfRule type="containsText" dxfId="273" priority="196" operator="containsText" text=" ">
      <formula>NOT(ISERROR(SEARCH(" ",AF8)))</formula>
    </cfRule>
  </conditionalFormatting>
  <conditionalFormatting sqref="AG8:AH8">
    <cfRule type="containsText" dxfId="272" priority="190" operator="containsText" text=" ">
      <formula>NOT(ISERROR(SEARCH(" ",AG8)))</formula>
    </cfRule>
  </conditionalFormatting>
  <conditionalFormatting sqref="AI8">
    <cfRule type="containsText" dxfId="271" priority="193" operator="containsText" text=" ">
      <formula>NOT(ISERROR(SEARCH(" ",AI8)))</formula>
    </cfRule>
  </conditionalFormatting>
  <conditionalFormatting sqref="AJ8:AM8">
    <cfRule type="containsText" dxfId="270" priority="249" operator="containsText" text=" ">
      <formula>NOT(ISERROR(SEARCH(" ",AJ8)))</formula>
    </cfRule>
  </conditionalFormatting>
  <conditionalFormatting sqref="AJ8">
    <cfRule type="containsText" dxfId="269" priority="187" operator="containsText" text=" ">
      <formula>NOT(ISERROR(SEARCH(" ",AJ8)))</formula>
    </cfRule>
  </conditionalFormatting>
  <conditionalFormatting sqref="AK8:AL8">
    <cfRule type="containsText" dxfId="268" priority="185" operator="containsText" text=" ">
      <formula>NOT(ISERROR(SEARCH(" ",AK8)))</formula>
    </cfRule>
  </conditionalFormatting>
  <conditionalFormatting sqref="AM8">
    <cfRule type="containsText" dxfId="267" priority="186" operator="containsText" text=" ">
      <formula>NOT(ISERROR(SEARCH(" ",AM8)))</formula>
    </cfRule>
  </conditionalFormatting>
  <conditionalFormatting sqref="AN8">
    <cfRule type="containsText" dxfId="266" priority="139" operator="containsText" text=" ">
      <formula>NOT(ISERROR(SEARCH(" ",AN8)))</formula>
    </cfRule>
  </conditionalFormatting>
  <conditionalFormatting sqref="AN8:AQ8">
    <cfRule type="containsText" dxfId="265" priority="149" operator="containsText" text=" ">
      <formula>NOT(ISERROR(SEARCH(" ",AN8)))</formula>
    </cfRule>
  </conditionalFormatting>
  <conditionalFormatting sqref="AO8:AP8">
    <cfRule type="containsText" dxfId="264" priority="137" operator="containsText" text=" ">
      <formula>NOT(ISERROR(SEARCH(" ",AO8)))</formula>
    </cfRule>
  </conditionalFormatting>
  <conditionalFormatting sqref="AQ8">
    <cfRule type="containsText" dxfId="263" priority="138" operator="containsText" text=" ">
      <formula>NOT(ISERROR(SEARCH(" ",AQ8)))</formula>
    </cfRule>
  </conditionalFormatting>
  <conditionalFormatting sqref="AR8">
    <cfRule type="containsText" dxfId="262" priority="181" operator="containsText" text=" ">
      <formula>NOT(ISERROR(SEARCH(" ",AR8)))</formula>
    </cfRule>
  </conditionalFormatting>
  <conditionalFormatting sqref="AS8">
    <cfRule type="containsText" dxfId="261" priority="182" operator="containsText" text=" ">
      <formula>NOT(ISERROR(SEARCH(" ",AS8)))</formula>
    </cfRule>
  </conditionalFormatting>
  <conditionalFormatting sqref="P9">
    <cfRule type="containsText" dxfId="260" priority="52" operator="containsText" text=" ">
      <formula>NOT(ISERROR(SEARCH(" ",P9)))</formula>
    </cfRule>
    <cfRule type="containsText" dxfId="259" priority="61" operator="containsText" text=" ">
      <formula>NOT(ISERROR(SEARCH(" ",P9)))</formula>
    </cfRule>
  </conditionalFormatting>
  <conditionalFormatting sqref="T9">
    <cfRule type="containsText" dxfId="258" priority="57" operator="containsText" text=" ">
      <formula>NOT(ISERROR(SEARCH(" ",T9)))</formula>
    </cfRule>
    <cfRule type="containsText" dxfId="257" priority="66" operator="containsText" text=" ">
      <formula>NOT(ISERROR(SEARCH(" ",T9)))</formula>
    </cfRule>
  </conditionalFormatting>
  <conditionalFormatting sqref="U9:V9">
    <cfRule type="containsText" dxfId="256" priority="58" operator="containsText" text=" ">
      <formula>NOT(ISERROR(SEARCH(" ",U9)))</formula>
    </cfRule>
    <cfRule type="containsText" dxfId="255" priority="67" operator="containsText" text=" ">
      <formula>NOT(ISERROR(SEARCH(" ",U9)))</formula>
    </cfRule>
  </conditionalFormatting>
  <conditionalFormatting sqref="W9">
    <cfRule type="containsText" dxfId="254" priority="51" operator="containsText" text=" ">
      <formula>NOT(ISERROR(SEARCH(" ",W9)))</formula>
    </cfRule>
    <cfRule type="containsText" dxfId="253" priority="60" operator="containsText" text=" ">
      <formula>NOT(ISERROR(SEARCH(" ",W9)))</formula>
    </cfRule>
  </conditionalFormatting>
  <conditionalFormatting sqref="X9">
    <cfRule type="containsText" dxfId="252" priority="50" operator="containsText" text=" ">
      <formula>NOT(ISERROR(SEARCH(" ",X9)))</formula>
    </cfRule>
    <cfRule type="containsText" dxfId="251" priority="59" operator="containsText" text=" ">
      <formula>NOT(ISERROR(SEARCH(" ",X9)))</formula>
    </cfRule>
  </conditionalFormatting>
  <conditionalFormatting sqref="Y9:Z9">
    <cfRule type="containsText" dxfId="250" priority="54" operator="containsText" text=" ">
      <formula>NOT(ISERROR(SEARCH(" ",Y9)))</formula>
    </cfRule>
    <cfRule type="containsText" dxfId="249" priority="63" operator="containsText" text=" ">
      <formula>NOT(ISERROR(SEARCH(" ",Y9)))</formula>
    </cfRule>
  </conditionalFormatting>
  <conditionalFormatting sqref="AA9">
    <cfRule type="containsText" dxfId="248" priority="56" operator="containsText" text=" ">
      <formula>NOT(ISERROR(SEARCH(" ",AA9)))</formula>
    </cfRule>
    <cfRule type="containsText" dxfId="247" priority="65" operator="containsText" text=" ">
      <formula>NOT(ISERROR(SEARCH(" ",AA9)))</formula>
    </cfRule>
  </conditionalFormatting>
  <conditionalFormatting sqref="AB9">
    <cfRule type="containsText" dxfId="246" priority="17" operator="containsText" text=" ">
      <formula>NOT(ISERROR(SEARCH(" ",AB9)))</formula>
    </cfRule>
    <cfRule type="containsText" dxfId="245" priority="18" operator="containsText" text=" ">
      <formula>NOT(ISERROR(SEARCH(" ",AB9)))</formula>
    </cfRule>
  </conditionalFormatting>
  <conditionalFormatting sqref="AC9:AD9">
    <cfRule type="containsText" dxfId="244" priority="53" operator="containsText" text=" ">
      <formula>NOT(ISERROR(SEARCH(" ",AC9)))</formula>
    </cfRule>
    <cfRule type="containsText" dxfId="243" priority="62" operator="containsText" text=" ">
      <formula>NOT(ISERROR(SEARCH(" ",AC9)))</formula>
    </cfRule>
  </conditionalFormatting>
  <conditionalFormatting sqref="AE9">
    <cfRule type="containsText" dxfId="242" priority="55" operator="containsText" text=" ">
      <formula>NOT(ISERROR(SEARCH(" ",AE9)))</formula>
    </cfRule>
    <cfRule type="containsText" dxfId="241" priority="64" operator="containsText" text=" ">
      <formula>NOT(ISERROR(SEARCH(" ",AE9)))</formula>
    </cfRule>
  </conditionalFormatting>
  <conditionalFormatting sqref="P10">
    <cfRule type="containsText" dxfId="240" priority="30" operator="containsText" text=" ">
      <formula>NOT(ISERROR(SEARCH(" ",P10)))</formula>
    </cfRule>
    <cfRule type="containsText" dxfId="239" priority="39" operator="containsText" text=" ">
      <formula>NOT(ISERROR(SEARCH(" ",P10)))</formula>
    </cfRule>
  </conditionalFormatting>
  <conditionalFormatting sqref="T10">
    <cfRule type="containsText" dxfId="238" priority="35" operator="containsText" text=" ">
      <formula>NOT(ISERROR(SEARCH(" ",T10)))</formula>
    </cfRule>
    <cfRule type="containsText" dxfId="237" priority="44" operator="containsText" text=" ">
      <formula>NOT(ISERROR(SEARCH(" ",T10)))</formula>
    </cfRule>
  </conditionalFormatting>
  <conditionalFormatting sqref="U10:V10">
    <cfRule type="containsText" dxfId="236" priority="36" operator="containsText" text=" ">
      <formula>NOT(ISERROR(SEARCH(" ",U10)))</formula>
    </cfRule>
    <cfRule type="containsText" dxfId="235" priority="45" operator="containsText" text=" ">
      <formula>NOT(ISERROR(SEARCH(" ",U10)))</formula>
    </cfRule>
  </conditionalFormatting>
  <conditionalFormatting sqref="W10">
    <cfRule type="containsText" dxfId="234" priority="29" operator="containsText" text=" ">
      <formula>NOT(ISERROR(SEARCH(" ",W10)))</formula>
    </cfRule>
    <cfRule type="containsText" dxfId="233" priority="38" operator="containsText" text=" ">
      <formula>NOT(ISERROR(SEARCH(" ",W10)))</formula>
    </cfRule>
  </conditionalFormatting>
  <conditionalFormatting sqref="X10">
    <cfRule type="containsText" dxfId="232" priority="28" operator="containsText" text=" ">
      <formula>NOT(ISERROR(SEARCH(" ",X10)))</formula>
    </cfRule>
    <cfRule type="containsText" dxfId="231" priority="37" operator="containsText" text=" ">
      <formula>NOT(ISERROR(SEARCH(" ",X10)))</formula>
    </cfRule>
  </conditionalFormatting>
  <conditionalFormatting sqref="Y10:Z10">
    <cfRule type="containsText" dxfId="230" priority="32" operator="containsText" text=" ">
      <formula>NOT(ISERROR(SEARCH(" ",Y10)))</formula>
    </cfRule>
    <cfRule type="containsText" dxfId="229" priority="41" operator="containsText" text=" ">
      <formula>NOT(ISERROR(SEARCH(" ",Y10)))</formula>
    </cfRule>
  </conditionalFormatting>
  <conditionalFormatting sqref="AA10">
    <cfRule type="containsText" dxfId="228" priority="34" operator="containsText" text=" ">
      <formula>NOT(ISERROR(SEARCH(" ",AA10)))</formula>
    </cfRule>
    <cfRule type="containsText" dxfId="227" priority="43" operator="containsText" text=" ">
      <formula>NOT(ISERROR(SEARCH(" ",AA10)))</formula>
    </cfRule>
  </conditionalFormatting>
  <conditionalFormatting sqref="AB10">
    <cfRule type="containsText" dxfId="226" priority="15" operator="containsText" text=" ">
      <formula>NOT(ISERROR(SEARCH(" ",AB10)))</formula>
    </cfRule>
    <cfRule type="containsText" dxfId="225" priority="16" operator="containsText" text=" ">
      <formula>NOT(ISERROR(SEARCH(" ",AB10)))</formula>
    </cfRule>
  </conditionalFormatting>
  <conditionalFormatting sqref="AC10:AD10">
    <cfRule type="containsText" dxfId="224" priority="31" operator="containsText" text=" ">
      <formula>NOT(ISERROR(SEARCH(" ",AC10)))</formula>
    </cfRule>
    <cfRule type="containsText" dxfId="223" priority="40" operator="containsText" text=" ">
      <formula>NOT(ISERROR(SEARCH(" ",AC10)))</formula>
    </cfRule>
  </conditionalFormatting>
  <conditionalFormatting sqref="AE10">
    <cfRule type="containsText" dxfId="222" priority="33" operator="containsText" text=" ">
      <formula>NOT(ISERROR(SEARCH(" ",AE10)))</formula>
    </cfRule>
    <cfRule type="containsText" dxfId="221" priority="42" operator="containsText" text=" ">
      <formula>NOT(ISERROR(SEARCH(" ",AE10)))</formula>
    </cfRule>
  </conditionalFormatting>
  <conditionalFormatting sqref="P11">
    <cfRule type="containsText" dxfId="220" priority="20" operator="containsText" text=" ">
      <formula>NOT(ISERROR(SEARCH(" ",P11)))</formula>
    </cfRule>
  </conditionalFormatting>
  <conditionalFormatting sqref="P11:R11">
    <cfRule type="containsText" dxfId="219" priority="46" operator="containsText" text=" ">
      <formula>NOT(ISERROR(SEARCH(" ",P11)))</formula>
    </cfRule>
  </conditionalFormatting>
  <conditionalFormatting sqref="Q11:R11">
    <cfRule type="containsText" dxfId="218" priority="21" operator="containsText" text=" ">
      <formula>NOT(ISERROR(SEARCH(" ",Q11)))</formula>
    </cfRule>
  </conditionalFormatting>
  <conditionalFormatting sqref="T11">
    <cfRule type="containsText" dxfId="217" priority="26" operator="containsText" text=" ">
      <formula>NOT(ISERROR(SEARCH(" ",T11)))</formula>
    </cfRule>
  </conditionalFormatting>
  <conditionalFormatting sqref="T11:V11">
    <cfRule type="containsText" dxfId="216" priority="49" operator="containsText" text=" ">
      <formula>NOT(ISERROR(SEARCH(" ",T11)))</formula>
    </cfRule>
  </conditionalFormatting>
  <conditionalFormatting sqref="U11:V11">
    <cfRule type="containsText" dxfId="215" priority="27" operator="containsText" text=" ">
      <formula>NOT(ISERROR(SEARCH(" ",U11)))</formula>
    </cfRule>
  </conditionalFormatting>
  <conditionalFormatting sqref="X11">
    <cfRule type="containsText" dxfId="214" priority="11" operator="containsText" text=" ">
      <formula>NOT(ISERROR(SEARCH(" ",X11)))</formula>
    </cfRule>
    <cfRule type="containsText" dxfId="213" priority="12" operator="containsText" text=" ">
      <formula>NOT(ISERROR(SEARCH(" ",X11)))</formula>
    </cfRule>
  </conditionalFormatting>
  <conditionalFormatting sqref="Y11:Z11">
    <cfRule type="containsText" dxfId="212" priority="23" operator="containsText" text=" ">
      <formula>NOT(ISERROR(SEARCH(" ",Y11)))</formula>
    </cfRule>
  </conditionalFormatting>
  <conditionalFormatting sqref="Y11:Z11">
    <cfRule type="containsText" dxfId="211" priority="48" operator="containsText" text=" ">
      <formula>NOT(ISERROR(SEARCH(" ",Y11)))</formula>
    </cfRule>
  </conditionalFormatting>
  <conditionalFormatting sqref="AB11">
    <cfRule type="containsText" dxfId="210" priority="9" operator="containsText" text=" ">
      <formula>NOT(ISERROR(SEARCH(" ",AB11)))</formula>
    </cfRule>
    <cfRule type="containsText" dxfId="209" priority="10" operator="containsText" text=" ">
      <formula>NOT(ISERROR(SEARCH(" ",AB11)))</formula>
    </cfRule>
  </conditionalFormatting>
  <conditionalFormatting sqref="AC11:AD11">
    <cfRule type="containsText" dxfId="208" priority="47" operator="containsText" text=" ">
      <formula>NOT(ISERROR(SEARCH(" ",AC11)))</formula>
    </cfRule>
  </conditionalFormatting>
  <conditionalFormatting sqref="AC11:AD11">
    <cfRule type="containsText" dxfId="207" priority="22" operator="containsText" text=" ">
      <formula>NOT(ISERROR(SEARCH(" ",AC11)))</formula>
    </cfRule>
  </conditionalFormatting>
  <conditionalFormatting sqref="AY12">
    <cfRule type="containsText" dxfId="206" priority="265" operator="containsText" text=" ">
      <formula>NOT(ISERROR(SEARCH(" ",AY12)))</formula>
    </cfRule>
  </conditionalFormatting>
  <conditionalFormatting sqref="F15">
    <cfRule type="containsText" dxfId="205" priority="75" operator="containsText" text=" ">
      <formula>NOT(ISERROR(SEARCH(" ",F15)))</formula>
    </cfRule>
    <cfRule type="containsText" dxfId="204" priority="76" operator="containsText" text=" ">
      <formula>NOT(ISERROR(SEARCH(" ",F15)))</formula>
    </cfRule>
  </conditionalFormatting>
  <conditionalFormatting sqref="P15">
    <cfRule type="containsText" dxfId="203" priority="79" operator="containsText" text=" ">
      <formula>NOT(ISERROR(SEARCH(" ",P15)))</formula>
    </cfRule>
  </conditionalFormatting>
  <conditionalFormatting sqref="P15:R15">
    <cfRule type="containsText" dxfId="202" priority="93" operator="containsText" text=" ">
      <formula>NOT(ISERROR(SEARCH(" ",P15)))</formula>
    </cfRule>
  </conditionalFormatting>
  <conditionalFormatting sqref="Q15:R15">
    <cfRule type="containsText" dxfId="201" priority="80" operator="containsText" text=" ">
      <formula>NOT(ISERROR(SEARCH(" ",Q15)))</formula>
    </cfRule>
  </conditionalFormatting>
  <conditionalFormatting sqref="S15">
    <cfRule type="containsText" dxfId="200" priority="91" operator="containsText" text=" ">
      <formula>NOT(ISERROR(SEARCH(" ",S15)))</formula>
    </cfRule>
    <cfRule type="containsText" dxfId="199" priority="92" operator="containsText" text=" ">
      <formula>NOT(ISERROR(SEARCH(" ",S15)))</formula>
    </cfRule>
  </conditionalFormatting>
  <conditionalFormatting sqref="T15">
    <cfRule type="containsText" dxfId="198" priority="89" operator="containsText" text=" ">
      <formula>NOT(ISERROR(SEARCH(" ",T15)))</formula>
    </cfRule>
  </conditionalFormatting>
  <conditionalFormatting sqref="T15:W15">
    <cfRule type="containsText" dxfId="197" priority="97" operator="containsText" text=" ">
      <formula>NOT(ISERROR(SEARCH(" ",T15)))</formula>
    </cfRule>
  </conditionalFormatting>
  <conditionalFormatting sqref="U15:V15">
    <cfRule type="containsText" dxfId="196" priority="90" operator="containsText" text=" ">
      <formula>NOT(ISERROR(SEARCH(" ",U15)))</formula>
    </cfRule>
  </conditionalFormatting>
  <conditionalFormatting sqref="W15">
    <cfRule type="containsText" dxfId="195" priority="78" operator="containsText" text=" ">
      <formula>NOT(ISERROR(SEARCH(" ",W15)))</formula>
    </cfRule>
  </conditionalFormatting>
  <conditionalFormatting sqref="X15">
    <cfRule type="containsText" dxfId="194" priority="77" operator="containsText" text=" ">
      <formula>NOT(ISERROR(SEARCH(" ",X15)))</formula>
    </cfRule>
  </conditionalFormatting>
  <conditionalFormatting sqref="X15:AA15">
    <cfRule type="containsText" dxfId="193" priority="96" operator="containsText" text=" ">
      <formula>NOT(ISERROR(SEARCH(" ",X15)))</formula>
    </cfRule>
  </conditionalFormatting>
  <conditionalFormatting sqref="Y15:Z15">
    <cfRule type="containsText" dxfId="192" priority="83" operator="containsText" text=" ">
      <formula>NOT(ISERROR(SEARCH(" ",Y15)))</formula>
    </cfRule>
  </conditionalFormatting>
  <conditionalFormatting sqref="AA15">
    <cfRule type="containsText" dxfId="191" priority="86" operator="containsText" text=" ">
      <formula>NOT(ISERROR(SEARCH(" ",AA15)))</formula>
    </cfRule>
  </conditionalFormatting>
  <conditionalFormatting sqref="AB15:AE15">
    <cfRule type="containsText" dxfId="190" priority="95" operator="containsText" text=" ">
      <formula>NOT(ISERROR(SEARCH(" ",AB15)))</formula>
    </cfRule>
  </conditionalFormatting>
  <conditionalFormatting sqref="AB15">
    <cfRule type="containsText" dxfId="189" priority="88" operator="containsText" text=" ">
      <formula>NOT(ISERROR(SEARCH(" ",AB15)))</formula>
    </cfRule>
  </conditionalFormatting>
  <conditionalFormatting sqref="AC15:AD15">
    <cfRule type="containsText" dxfId="188" priority="82" operator="containsText" text=" ">
      <formula>NOT(ISERROR(SEARCH(" ",AC15)))</formula>
    </cfRule>
  </conditionalFormatting>
  <conditionalFormatting sqref="AE15">
    <cfRule type="containsText" dxfId="187" priority="85" operator="containsText" text=" ">
      <formula>NOT(ISERROR(SEARCH(" ",AE15)))</formula>
    </cfRule>
  </conditionalFormatting>
  <conditionalFormatting sqref="AF15">
    <cfRule type="containsText" dxfId="186" priority="87" operator="containsText" text=" ">
      <formula>NOT(ISERROR(SEARCH(" ",AF15)))</formula>
    </cfRule>
  </conditionalFormatting>
  <conditionalFormatting sqref="AF15:AI15">
    <cfRule type="containsText" dxfId="185" priority="94" operator="containsText" text=" ">
      <formula>NOT(ISERROR(SEARCH(" ",AF15)))</formula>
    </cfRule>
  </conditionalFormatting>
  <conditionalFormatting sqref="AG15:AH15">
    <cfRule type="containsText" dxfId="184" priority="81" operator="containsText" text=" ">
      <formula>NOT(ISERROR(SEARCH(" ",AG15)))</formula>
    </cfRule>
  </conditionalFormatting>
  <conditionalFormatting sqref="AI15">
    <cfRule type="containsText" dxfId="183" priority="84" operator="containsText" text=" ">
      <formula>NOT(ISERROR(SEARCH(" ",AI15)))</formula>
    </cfRule>
  </conditionalFormatting>
  <conditionalFormatting sqref="AR15">
    <cfRule type="containsText" dxfId="182" priority="70" operator="containsText" text=" ">
      <formula>NOT(ISERROR(SEARCH(" ",AR15)))</formula>
    </cfRule>
  </conditionalFormatting>
  <conditionalFormatting sqref="AU17:AV17">
    <cfRule type="containsText" dxfId="181" priority="262" operator="containsText" text=" ">
      <formula>NOT(ISERROR(SEARCH(" ",AU17)))</formula>
    </cfRule>
  </conditionalFormatting>
  <conditionalFormatting sqref="AU18:AV18">
    <cfRule type="containsText" dxfId="180" priority="261" operator="containsText" text=" ">
      <formula>NOT(ISERROR(SEARCH(" ",AU18)))</formula>
    </cfRule>
  </conditionalFormatting>
  <conditionalFormatting sqref="AY19">
    <cfRule type="containsText" dxfId="179" priority="260" operator="containsText" text=" ">
      <formula>NOT(ISERROR(SEARCH(" ",AY19)))</formula>
    </cfRule>
  </conditionalFormatting>
  <conditionalFormatting sqref="R23">
    <cfRule type="containsText" dxfId="178" priority="180" operator="containsText" text=" ">
      <formula>NOT(ISERROR(SEARCH(" ",R23)))</formula>
    </cfRule>
  </conditionalFormatting>
  <conditionalFormatting sqref="F9:F11">
    <cfRule type="containsText" dxfId="177" priority="98" operator="containsText" text=" ">
      <formula>NOT(ISERROR(SEARCH(" ",F9)))</formula>
    </cfRule>
  </conditionalFormatting>
  <conditionalFormatting sqref="N3:N4">
    <cfRule type="containsText" dxfId="176" priority="172" operator="containsText" text=" ">
      <formula>NOT(ISERROR(SEARCH(" ",N3)))</formula>
    </cfRule>
  </conditionalFormatting>
  <conditionalFormatting sqref="O1:O3">
    <cfRule type="containsText" dxfId="175" priority="250" operator="containsText" text=" ">
      <formula>NOT(ISERROR(SEARCH(" ",O1)))</formula>
    </cfRule>
  </conditionalFormatting>
  <conditionalFormatting sqref="O8:O9">
    <cfRule type="containsText" dxfId="174" priority="251" operator="containsText" text=" ">
      <formula>NOT(ISERROR(SEARCH(" ",O8)))</formula>
    </cfRule>
  </conditionalFormatting>
  <conditionalFormatting sqref="S9:S11">
    <cfRule type="containsText" dxfId="173" priority="13" operator="containsText" text=" ">
      <formula>NOT(ISERROR(SEARCH(" ",S9)))</formula>
    </cfRule>
    <cfRule type="containsText" dxfId="172" priority="14" operator="containsText" text=" ">
      <formula>NOT(ISERROR(SEARCH(" ",S9)))</formula>
    </cfRule>
  </conditionalFormatting>
  <conditionalFormatting sqref="AR9:AR11">
    <cfRule type="containsText" dxfId="171" priority="72" operator="containsText" text=" ">
      <formula>NOT(ISERROR(SEARCH(" ",AR9)))</formula>
    </cfRule>
  </conditionalFormatting>
  <conditionalFormatting sqref="AS9:AS11">
    <cfRule type="containsText" dxfId="170" priority="71" operator="containsText" text=" ">
      <formula>NOT(ISERROR(SEARCH(" ",AS9)))</formula>
    </cfRule>
  </conditionalFormatting>
  <conditionalFormatting sqref="AW13:AW16">
    <cfRule type="containsText" dxfId="169" priority="263" operator="containsText" text=" ">
      <formula>NOT(ISERROR(SEARCH(" ",AW13)))</formula>
    </cfRule>
  </conditionalFormatting>
  <conditionalFormatting sqref="AY13:AY16">
    <cfRule type="containsText" dxfId="168" priority="264" operator="containsText" text=" ">
      <formula>NOT(ISERROR(SEARCH(" ",AY13)))</formula>
    </cfRule>
  </conditionalFormatting>
  <conditionalFormatting sqref="G1 AR12:AT14 AS15:AT15 AR16:AT1048576 AT9:AT11">
    <cfRule type="containsText" dxfId="167" priority="175" operator="containsText" text=" ">
      <formula>NOT(ISERROR(SEARCH(" ",G1)))</formula>
    </cfRule>
  </conditionalFormatting>
  <conditionalFormatting sqref="M1 AZ7:XFD8 AZ5:AZ6 BB5:XFD6 AT5:AT8 I7:N8 AU4:AY7">
    <cfRule type="containsText" dxfId="166" priority="173" operator="containsText" text=" ">
      <formula>NOT(ISERROR(SEARCH(" ",I1)))</formula>
    </cfRule>
  </conditionalFormatting>
  <conditionalFormatting sqref="AC4 I10:O17 T18:AM19 I18:P19 Y22:AM29 I22:O29 I30:AM1048576 I9:N9 X22:X24 T22:W22 Y16:AM16 X26:X28 R26:V28 R24:V24 P26:P28 P23:P24 I20:AM21 I1:L1 I3:M4">
    <cfRule type="containsText" dxfId="165" priority="255" operator="containsText" text=" ">
      <formula>NOT(ISERROR(SEARCH(" ",I1)))</formula>
    </cfRule>
  </conditionalFormatting>
  <conditionalFormatting sqref="N1 P29:X29 Y17:AM17">
    <cfRule type="containsText" dxfId="164" priority="171" operator="containsText" text=" ">
      <formula>NOT(ISERROR(SEARCH(" ",N1)))</formula>
    </cfRule>
  </conditionalFormatting>
  <conditionalFormatting sqref="I2 K2:L2">
    <cfRule type="containsText" dxfId="163" priority="268" operator="containsText" text=" ">
      <formula>NOT(ISERROR(SEARCH(" ",I2)))</formula>
    </cfRule>
  </conditionalFormatting>
  <conditionalFormatting sqref="M2 AU8:AY11">
    <cfRule type="containsText" dxfId="162" priority="174" operator="containsText" text=" ">
      <formula>NOT(ISERROR(SEARCH(" ",M2)))</formula>
    </cfRule>
  </conditionalFormatting>
  <conditionalFormatting sqref="G15 A15:E15 A16:G1048576 A12:G14 G9:G11 A9:E11 Q4 S23:U23 AU45:XFD1048576 AJ15:AM15 AB12:AM14 AF9:AM11 AZ9:XFD44 H9:H1048576">
    <cfRule type="containsText" dxfId="161" priority="247" operator="containsText" text=" ">
      <formula>NOT(ISERROR(SEARCH(" ",A4)))</formula>
    </cfRule>
  </conditionalFormatting>
  <conditionalFormatting sqref="U4 Y4">
    <cfRule type="containsText" dxfId="160" priority="267" operator="containsText" text=" ">
      <formula>NOT(ISERROR(SEARCH(" ",U4)))</formula>
    </cfRule>
  </conditionalFormatting>
  <conditionalFormatting sqref="B5:E5 AS5">
    <cfRule type="containsText" dxfId="159" priority="157" operator="containsText" text=" ">
      <formula>NOT(ISERROR(SEARCH(" ",B5)))</formula>
    </cfRule>
  </conditionalFormatting>
  <conditionalFormatting sqref="A6:B6 AS6">
    <cfRule type="containsText" dxfId="158" priority="167" operator="containsText" text=" ">
      <formula>NOT(ISERROR(SEARCH(" ",A6)))</formula>
    </cfRule>
  </conditionalFormatting>
  <conditionalFormatting sqref="Q7:S7 S8">
    <cfRule type="containsText" dxfId="157" priority="211" operator="containsText" text=" ">
      <formula>NOT(ISERROR(SEARCH(" ",Q7)))</formula>
    </cfRule>
    <cfRule type="containsText" dxfId="156" priority="233" operator="containsText" text=" ">
      <formula>NOT(ISERROR(SEARCH(" ",Q7)))</formula>
    </cfRule>
  </conditionalFormatting>
  <conditionalFormatting sqref="B8:D8 T8:W8 AS8">
    <cfRule type="containsText" dxfId="155" priority="269" operator="containsText" text=" ">
      <formula>NOT(ISERROR(SEARCH(" ",B8)))</formula>
    </cfRule>
  </conditionalFormatting>
  <conditionalFormatting sqref="P8:R8 S22 P22:Q22">
    <cfRule type="containsText" dxfId="154" priority="253" operator="containsText" text=" ">
      <formula>NOT(ISERROR(SEARCH(" ",P8)))</formula>
    </cfRule>
  </conditionalFormatting>
  <conditionalFormatting sqref="X8:AA8 Y12:AA14">
    <cfRule type="containsText" dxfId="153" priority="259" operator="containsText" text=" ">
      <formula>NOT(ISERROR(SEARCH(" ",X8)))</formula>
    </cfRule>
  </conditionalFormatting>
  <conditionalFormatting sqref="AF8:AI8 AR8">
    <cfRule type="containsText" dxfId="152" priority="257" operator="containsText" text=" ">
      <formula>NOT(ISERROR(SEARCH(" ",AF8)))</formula>
    </cfRule>
  </conditionalFormatting>
  <conditionalFormatting sqref="Q9:R10">
    <cfRule type="containsText" dxfId="151" priority="68" operator="containsText" text=" ">
      <formula>NOT(ISERROR(SEARCH(" ",Q9)))</formula>
    </cfRule>
    <cfRule type="containsText" dxfId="150" priority="69" operator="containsText" text=" ">
      <formula>NOT(ISERROR(SEARCH(" ",Q9)))</formula>
    </cfRule>
  </conditionalFormatting>
  <conditionalFormatting sqref="AN9:AQ15">
    <cfRule type="containsText" dxfId="149" priority="146" operator="containsText" text=" ">
      <formula>NOT(ISERROR(SEARCH(" ",AN9)))</formula>
    </cfRule>
  </conditionalFormatting>
  <conditionalFormatting sqref="AU20:AY27 AU19:AX19 AW17:AY18 AX13:AX16 AU13:AV16 AU12:AX12">
    <cfRule type="containsText" dxfId="148" priority="266" operator="containsText" text=" ">
      <formula>NOT(ISERROR(SEARCH(" ",AU12)))</formula>
    </cfRule>
  </conditionalFormatting>
  <conditionalFormatting sqref="AN16:AQ1048576">
    <cfRule type="containsText" dxfId="147" priority="147" operator="containsText" text=" ">
      <formula>NOT(ISERROR(SEARCH(" ",AN16)))</formula>
    </cfRule>
  </conditionalFormatting>
  <conditionalFormatting sqref="P25 X25 S25:V25">
    <cfRule type="containsText" dxfId="146" priority="169" operator="containsText" text=" ">
      <formula>NOT(ISERROR(SEARCH(" ",P25)))</formula>
    </cfRule>
  </conditionalFormatting>
  <conditionalFormatting sqref="W11">
    <cfRule type="containsText" dxfId="145" priority="5" operator="containsText" text=" ">
      <formula>NOT(ISERROR(SEARCH(" ",W11)))</formula>
    </cfRule>
    <cfRule type="containsText" dxfId="144" priority="6" operator="containsText" text=" ">
      <formula>NOT(ISERROR(SEARCH(" ",W11)))</formula>
    </cfRule>
  </conditionalFormatting>
  <conditionalFormatting sqref="AA11">
    <cfRule type="containsText" dxfId="143" priority="3" operator="containsText" text=" ">
      <formula>NOT(ISERROR(SEARCH(" ",AA11)))</formula>
    </cfRule>
    <cfRule type="containsText" dxfId="142" priority="4" operator="containsText" text=" ">
      <formula>NOT(ISERROR(SEARCH(" ",AA11)))</formula>
    </cfRule>
  </conditionalFormatting>
  <conditionalFormatting sqref="AE11">
    <cfRule type="containsText" dxfId="141" priority="1" operator="containsText" text=" ">
      <formula>NOT(ISERROR(SEARCH(" ",AE11)))</formula>
    </cfRule>
    <cfRule type="containsText" dxfId="140" priority="2" operator="containsText" text=" ">
      <formula>NOT(ISERROR(SEARCH(" ",AE11)))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O41"/>
  <sheetViews>
    <sheetView workbookViewId="0">
      <selection activeCell="AK20" sqref="AK20"/>
    </sheetView>
  </sheetViews>
  <sheetFormatPr defaultColWidth="9" defaultRowHeight="15.6" x14ac:dyDescent="0.35"/>
  <cols>
    <col min="1" max="1" width="16" style="6" customWidth="1"/>
    <col min="2" max="2" width="12.77734375" style="6" customWidth="1"/>
    <col min="3" max="4" width="9.44140625" style="6" customWidth="1"/>
    <col min="5" max="5" width="35.109375" style="6" customWidth="1"/>
    <col min="6" max="6" width="34.21875" style="6" customWidth="1"/>
    <col min="7" max="7" width="34" style="6" customWidth="1"/>
    <col min="8" max="8" width="13.6640625" style="6" customWidth="1"/>
    <col min="9" max="9" width="35.109375" style="6" customWidth="1"/>
    <col min="10" max="10" width="34.33203125" style="6" customWidth="1"/>
    <col min="11" max="11" width="13.109375" style="6" customWidth="1"/>
    <col min="12" max="12" width="43.77734375" style="6" customWidth="1"/>
    <col min="13" max="13" width="9" style="6"/>
    <col min="14" max="14" width="7.6640625" style="6" customWidth="1"/>
    <col min="15" max="15" width="9" style="6"/>
    <col min="16" max="16" width="6" style="37" customWidth="1"/>
    <col min="17" max="17" width="3.109375" style="37" customWidth="1"/>
    <col min="18" max="18" width="6" style="37" customWidth="1"/>
    <col min="19" max="19" width="10.44140625" style="37" customWidth="1"/>
    <col min="20" max="20" width="6" style="37" customWidth="1"/>
    <col min="21" max="21" width="3.109375" style="37" customWidth="1"/>
    <col min="22" max="22" width="6" style="37" customWidth="1"/>
    <col min="23" max="23" width="4.6640625" style="37" customWidth="1"/>
    <col min="24" max="24" width="6" style="37" customWidth="1"/>
    <col min="25" max="25" width="3.109375" style="37" customWidth="1"/>
    <col min="26" max="26" width="6" style="37" customWidth="1"/>
    <col min="27" max="27" width="4.6640625" style="37" customWidth="1"/>
    <col min="28" max="28" width="6" style="37" customWidth="1"/>
    <col min="29" max="29" width="3.109375" style="37" customWidth="1"/>
    <col min="30" max="30" width="6" style="37" customWidth="1"/>
    <col min="31" max="31" width="4.6640625" style="37" customWidth="1"/>
    <col min="32" max="32" width="6" style="37" customWidth="1"/>
    <col min="33" max="33" width="3.109375" style="37" customWidth="1"/>
    <col min="34" max="34" width="6" style="37" customWidth="1"/>
    <col min="35" max="35" width="4.44140625" style="37" customWidth="1"/>
    <col min="36" max="36" width="9" style="6"/>
    <col min="37" max="37" width="11.6640625" style="1" customWidth="1"/>
    <col min="38" max="38" width="9" style="1"/>
    <col min="39" max="39" width="9.21875" style="1" customWidth="1"/>
    <col min="40" max="41" width="9" style="1"/>
    <col min="42" max="16384" width="9" style="6"/>
  </cols>
  <sheetData>
    <row r="1" spans="1:41" x14ac:dyDescent="0.35">
      <c r="A1" s="14" t="s">
        <v>0</v>
      </c>
      <c r="B1" s="14" t="s">
        <v>0</v>
      </c>
      <c r="C1" s="14" t="s">
        <v>0</v>
      </c>
      <c r="D1" s="14" t="s">
        <v>33</v>
      </c>
      <c r="E1" s="14" t="s">
        <v>0</v>
      </c>
      <c r="F1" s="14" t="s">
        <v>0</v>
      </c>
      <c r="G1" s="14" t="s">
        <v>0</v>
      </c>
      <c r="H1" s="14" t="s">
        <v>0</v>
      </c>
      <c r="I1" s="14" t="s">
        <v>0</v>
      </c>
      <c r="J1" s="14" t="s">
        <v>0</v>
      </c>
      <c r="K1" s="14" t="s">
        <v>0</v>
      </c>
      <c r="L1" s="14" t="s">
        <v>0</v>
      </c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</row>
    <row r="2" spans="1:41" x14ac:dyDescent="0.35">
      <c r="A2" s="14" t="s">
        <v>3</v>
      </c>
      <c r="B2" s="14" t="s">
        <v>3</v>
      </c>
      <c r="C2" s="14" t="s">
        <v>3</v>
      </c>
      <c r="D2" s="14" t="s">
        <v>3</v>
      </c>
      <c r="E2" s="14" t="s">
        <v>4</v>
      </c>
      <c r="F2" s="14" t="s">
        <v>4</v>
      </c>
      <c r="G2" s="14" t="s">
        <v>4</v>
      </c>
      <c r="H2" s="14" t="s">
        <v>4</v>
      </c>
      <c r="I2" s="14" t="s">
        <v>4</v>
      </c>
      <c r="J2" s="14" t="s">
        <v>4</v>
      </c>
      <c r="K2" s="14" t="s">
        <v>4</v>
      </c>
      <c r="L2" s="14" t="s">
        <v>4</v>
      </c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</row>
    <row r="3" spans="1:41" x14ac:dyDescent="0.35">
      <c r="A3" s="14" t="s">
        <v>34</v>
      </c>
      <c r="B3" s="14" t="s">
        <v>35</v>
      </c>
      <c r="C3" s="14" t="s">
        <v>38</v>
      </c>
      <c r="D3" s="14" t="s">
        <v>119</v>
      </c>
      <c r="E3" s="14" t="s">
        <v>120</v>
      </c>
      <c r="F3" s="14" t="s">
        <v>121</v>
      </c>
      <c r="G3" s="14" t="s">
        <v>122</v>
      </c>
      <c r="H3" s="14" t="s">
        <v>123</v>
      </c>
      <c r="I3" s="14" t="s">
        <v>124</v>
      </c>
      <c r="J3" s="14" t="s">
        <v>125</v>
      </c>
      <c r="K3" s="14" t="s">
        <v>126</v>
      </c>
      <c r="L3" s="14" t="s">
        <v>127</v>
      </c>
      <c r="P3" s="112" t="s">
        <v>48</v>
      </c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</row>
    <row r="4" spans="1:41" ht="79.2" x14ac:dyDescent="0.35">
      <c r="A4" s="4" t="s">
        <v>128</v>
      </c>
      <c r="B4" s="4" t="s">
        <v>129</v>
      </c>
      <c r="C4" s="4" t="s">
        <v>53</v>
      </c>
      <c r="D4" s="4" t="s">
        <v>130</v>
      </c>
      <c r="E4" s="4" t="s">
        <v>131</v>
      </c>
      <c r="F4" s="38" t="s">
        <v>132</v>
      </c>
      <c r="G4" s="38" t="s">
        <v>133</v>
      </c>
      <c r="H4" s="38" t="s">
        <v>134</v>
      </c>
      <c r="I4" s="40" t="s">
        <v>135</v>
      </c>
      <c r="J4" s="40" t="s">
        <v>136</v>
      </c>
      <c r="K4" s="40" t="s">
        <v>134</v>
      </c>
      <c r="L4" s="38" t="s">
        <v>137</v>
      </c>
      <c r="P4" s="41" t="s">
        <v>138</v>
      </c>
      <c r="Q4" s="41" t="s">
        <v>65</v>
      </c>
      <c r="R4" s="48" t="s">
        <v>66</v>
      </c>
      <c r="S4" s="49" t="s">
        <v>139</v>
      </c>
      <c r="T4" s="50" t="s">
        <v>140</v>
      </c>
      <c r="U4" s="51" t="s">
        <v>65</v>
      </c>
      <c r="V4" s="52" t="s">
        <v>66</v>
      </c>
      <c r="W4" s="53" t="s">
        <v>139</v>
      </c>
      <c r="X4" s="54" t="s">
        <v>141</v>
      </c>
      <c r="Y4" s="54" t="s">
        <v>65</v>
      </c>
      <c r="Z4" s="61" t="s">
        <v>66</v>
      </c>
      <c r="AA4" s="62" t="s">
        <v>139</v>
      </c>
      <c r="AB4" s="50" t="s">
        <v>142</v>
      </c>
      <c r="AC4" s="51" t="s">
        <v>65</v>
      </c>
      <c r="AD4" s="52" t="s">
        <v>66</v>
      </c>
      <c r="AE4" s="53" t="s">
        <v>139</v>
      </c>
      <c r="AF4" s="54" t="s">
        <v>143</v>
      </c>
      <c r="AG4" s="54" t="s">
        <v>65</v>
      </c>
      <c r="AH4" s="61" t="s">
        <v>66</v>
      </c>
      <c r="AI4" s="62" t="s">
        <v>139</v>
      </c>
      <c r="AJ4" s="63" t="s">
        <v>144</v>
      </c>
      <c r="AK4" s="30">
        <f>'充值活动|RMBActivities'!AU4</f>
        <v>0</v>
      </c>
      <c r="AL4" s="30" t="str">
        <f>'充值活动|RMBActivities'!AV4</f>
        <v>人民币价值</v>
      </c>
      <c r="AM4" s="30" t="str">
        <f>'充值活动|RMBActivities'!AW4</f>
        <v>价值
钻石价值</v>
      </c>
      <c r="AN4" s="30" t="str">
        <f>'充值活动|RMBActivities'!AX4</f>
        <v>物品类型</v>
      </c>
      <c r="AO4" s="30" t="str">
        <f>'充值活动|RMBActivities'!AY4</f>
        <v>id</v>
      </c>
    </row>
    <row r="5" spans="1:41" x14ac:dyDescent="0.35">
      <c r="A5" s="6">
        <v>701</v>
      </c>
      <c r="B5" s="6">
        <v>6</v>
      </c>
      <c r="C5" s="6">
        <v>6</v>
      </c>
      <c r="D5" s="6">
        <v>1</v>
      </c>
      <c r="E5" s="37" t="str">
        <f>Q5&amp;"|"&amp;R5&amp;"|"&amp;S5&amp;","&amp;U5&amp;"|"&amp;V5&amp;"|"&amp;W5&amp;","&amp;Y5&amp;"|"&amp;Z5&amp;"|"&amp;AA5&amp;","&amp;AC5&amp;"|"&amp;AD5&amp;"|"&amp;AE5&amp;","&amp;AG5&amp;"|"&amp;AH5&amp;"|"&amp;AI5</f>
        <v>1|2|600000,2|1001|1,2|1002|1,2|1004|1,1|1|5</v>
      </c>
      <c r="F5" s="37" t="str">
        <f>Q6&amp;"|"&amp;R6&amp;"|"&amp;S6&amp;","&amp;U6&amp;"|"&amp;V6&amp;"|"&amp;W6&amp;","&amp;Y6&amp;"|"&amp;Z6&amp;"|"&amp;AA6&amp;","&amp;AC6&amp;"|"&amp;AD6&amp;"|"&amp;AE6&amp;","&amp;AG6&amp;"|"&amp;AH6&amp;"|"&amp;AI6</f>
        <v>1|2|660000,2|1001|2,2|1002|2,2|1003|1,1|1|7</v>
      </c>
      <c r="G5" s="37" t="str">
        <f>Q7&amp;"|"&amp;R7&amp;"|"&amp;S7&amp;","&amp;U7&amp;"|"&amp;V7&amp;"|"&amp;W7&amp;","&amp;Y7&amp;"|"&amp;Z7&amp;"|"&amp;AA7&amp;","&amp;AC7&amp;"|"&amp;AD7&amp;"|"&amp;AE7&amp;","&amp;AG7&amp;"|"&amp;AH7&amp;"|"&amp;AI7</f>
        <v>1|2|630000,2|1001|1,2|1002|1,2|1004|1,1|1|6</v>
      </c>
      <c r="H5" s="37" t="s">
        <v>145</v>
      </c>
      <c r="I5" s="37" t="str">
        <f>Q8&amp;"|"&amp;R8&amp;"|"&amp;S8&amp;","&amp;U8&amp;"|"&amp;V8&amp;"|"&amp;W8&amp;","&amp;Y8&amp;"|"&amp;Z8&amp;"|"&amp;AA8&amp;","&amp;AC8&amp;"|"&amp;AD8&amp;"|"&amp;AE8&amp;","&amp;AG8&amp;"|"&amp;AH8&amp;"|"&amp;AI8</f>
        <v>1|2|720000,2|1001|3,2|1002|3,2|1003|2,1|1|8</v>
      </c>
      <c r="J5" s="37" t="str">
        <f>Q9&amp;"|"&amp;R9&amp;"|"&amp;S9&amp;","&amp;U9&amp;"|"&amp;V9&amp;"|"&amp;W9&amp;","&amp;Y9&amp;"|"&amp;Z9&amp;"|"&amp;AA9&amp;","&amp;AC9&amp;"|"&amp;AD9&amp;"|"&amp;AE9&amp;","&amp;AG9&amp;"|"&amp;AH9&amp;"|"&amp;AI9</f>
        <v>1|2|660000,2|1001|2,2|1002|2,2|1004|2,1|1|7</v>
      </c>
      <c r="K5" s="37" t="s">
        <v>146</v>
      </c>
      <c r="L5" s="37" t="str">
        <f>Q10&amp;"|"&amp;R10&amp;"|"&amp;S10&amp;","&amp;U10&amp;"|"&amp;V10&amp;"|"&amp;W10&amp;","&amp;Y10&amp;"|"&amp;Z10&amp;"|"&amp;AA10&amp;","&amp;AC10&amp;"|"&amp;AD10&amp;"|"&amp;AE10&amp;","&amp;AG10&amp;"|"&amp;AH10&amp;"|"&amp;AI10</f>
        <v>1|2|600000,2|1001|1,2|1002|1,2|1004|1,1|1|5</v>
      </c>
      <c r="N5" s="113" t="str">
        <f>C5&amp;"元档"</f>
        <v>6元档</v>
      </c>
      <c r="O5" s="42" t="s">
        <v>147</v>
      </c>
      <c r="P5" s="43" t="s">
        <v>80</v>
      </c>
      <c r="Q5" s="55">
        <f t="shared" ref="Q5:Q28" si="0">VLOOKUP(P5,$AK:$AO,4,0)</f>
        <v>1</v>
      </c>
      <c r="R5" s="55">
        <f t="shared" ref="R5:R16" si="1">VLOOKUP(P5,$AK:$AO,5,0)</f>
        <v>2</v>
      </c>
      <c r="S5" s="56">
        <v>600000</v>
      </c>
      <c r="T5" s="43" t="s">
        <v>82</v>
      </c>
      <c r="U5" s="55">
        <f t="shared" ref="U5:U28" si="2">VLOOKUP(T5,$AK:$AO,4,0)</f>
        <v>2</v>
      </c>
      <c r="V5" s="55">
        <f t="shared" ref="V5:V16" si="3">VLOOKUP(T5,$AK:$AO,5,0)</f>
        <v>1001</v>
      </c>
      <c r="W5" s="56">
        <v>1</v>
      </c>
      <c r="X5" s="43" t="s">
        <v>83</v>
      </c>
      <c r="Y5" s="55">
        <f t="shared" ref="Y5:Y28" si="4">VLOOKUP(X5,$AK:$AO,4,0)</f>
        <v>2</v>
      </c>
      <c r="Z5" s="55">
        <f t="shared" ref="Z5:Z16" si="5">VLOOKUP(X5,$AK:$AO,5,0)</f>
        <v>1002</v>
      </c>
      <c r="AA5" s="56">
        <v>1</v>
      </c>
      <c r="AB5" s="43" t="s">
        <v>88</v>
      </c>
      <c r="AC5" s="55">
        <f t="shared" ref="AC5:AC28" si="6">VLOOKUP(AB5,$AK:$AO,4,0)</f>
        <v>2</v>
      </c>
      <c r="AD5" s="55">
        <f t="shared" ref="AD5:AD16" si="7">VLOOKUP(AB5,$AK:$AO,5,0)</f>
        <v>1004</v>
      </c>
      <c r="AE5" s="56">
        <v>1</v>
      </c>
      <c r="AF5" s="43" t="s">
        <v>81</v>
      </c>
      <c r="AG5" s="55">
        <f t="shared" ref="AG5:AG28" si="8">VLOOKUP(AF5,$AK:$AO,4,0)</f>
        <v>1</v>
      </c>
      <c r="AH5" s="55">
        <f t="shared" ref="AH5:AH16" si="9">VLOOKUP(AF5,$AK:$AO,5,0)</f>
        <v>1</v>
      </c>
      <c r="AI5" s="56">
        <v>5</v>
      </c>
      <c r="AJ5" s="6">
        <v>60000</v>
      </c>
      <c r="AK5" s="31" t="str">
        <f>'充值活动|RMBActivities'!AU5</f>
        <v>人民币</v>
      </c>
      <c r="AL5" s="32">
        <f>'充值活动|RMBActivities'!AV5</f>
        <v>1</v>
      </c>
      <c r="AM5" s="32">
        <f>'充值活动|RMBActivities'!AW5</f>
        <v>10</v>
      </c>
      <c r="AN5" s="32">
        <f>'充值活动|RMBActivities'!AX5</f>
        <v>1</v>
      </c>
      <c r="AO5" s="33">
        <f>'充值活动|RMBActivities'!AY5</f>
        <v>0</v>
      </c>
    </row>
    <row r="6" spans="1:41" x14ac:dyDescent="0.35">
      <c r="A6" s="6">
        <v>702</v>
      </c>
      <c r="B6" s="6">
        <v>6</v>
      </c>
      <c r="C6" s="6">
        <v>30</v>
      </c>
      <c r="D6" s="6">
        <v>1</v>
      </c>
      <c r="E6" s="37" t="str">
        <f>Q11&amp;"|"&amp;R11&amp;"|"&amp;S11&amp;","&amp;U11&amp;"|"&amp;V11&amp;"|"&amp;W11&amp;","&amp;Y11&amp;"|"&amp;Z11&amp;"|"&amp;AA11&amp;","&amp;AC11&amp;"|"&amp;AD11&amp;"|"&amp;AE11&amp;","&amp;AG11&amp;"|"&amp;AH11&amp;"|"&amp;AI11</f>
        <v>1|2|3500000,2|1001|2,2|1002|2,2|1004|2,1|1|25</v>
      </c>
      <c r="F6" s="37" t="str">
        <f>Q12&amp;"|"&amp;R12&amp;"|"&amp;S12&amp;","&amp;U12&amp;"|"&amp;V12&amp;"|"&amp;W12&amp;","&amp;Y12&amp;"|"&amp;Z12&amp;"|"&amp;AA12&amp;","&amp;AC12&amp;"|"&amp;AD12&amp;"|"&amp;AE12&amp;","&amp;AG12&amp;"|"&amp;AH12&amp;"|"&amp;AI12</f>
        <v>1|2|3850000,2|1001|3,2|1002|3,2|1003|2,1|1|35</v>
      </c>
      <c r="G6" s="37" t="str">
        <f>Q13&amp;"|"&amp;R13&amp;"|"&amp;S13&amp;","&amp;U13&amp;"|"&amp;V13&amp;"|"&amp;W13&amp;","&amp;Y13&amp;"|"&amp;Z13&amp;"|"&amp;AA13&amp;","&amp;AC13&amp;"|"&amp;AD13&amp;"|"&amp;AE13&amp;","&amp;AG13&amp;"|"&amp;AH13&amp;"|"&amp;AI13</f>
        <v>1|2|3675000,2|1001|2,2|1002|2,2|1004|2,1|1|30</v>
      </c>
      <c r="H6" s="37" t="s">
        <v>145</v>
      </c>
      <c r="I6" s="37" t="str">
        <f>Q14&amp;"|"&amp;R14&amp;"|"&amp;S14&amp;","&amp;U14&amp;"|"&amp;V14&amp;"|"&amp;W14&amp;","&amp;Y14&amp;"|"&amp;Z14&amp;"|"&amp;AA14&amp;","&amp;AC14&amp;"|"&amp;AD14&amp;"|"&amp;AE14&amp;","&amp;AG14&amp;"|"&amp;AH14&amp;"|"&amp;AI14</f>
        <v>1|2|4200000,2|1001|4,2|1002|4,2|1003|3,1|1|40</v>
      </c>
      <c r="J6" s="37" t="str">
        <f>Q15&amp;"|"&amp;R15&amp;"|"&amp;S15&amp;","&amp;U15&amp;"|"&amp;V15&amp;"|"&amp;W15&amp;","&amp;Y15&amp;"|"&amp;Z15&amp;"|"&amp;AA15&amp;","&amp;AC15&amp;"|"&amp;AD15&amp;"|"&amp;AE15&amp;","&amp;AG15&amp;"|"&amp;AH15&amp;"|"&amp;AI15</f>
        <v>1|2|3850000,2|1001|3,2|1002|3,2|1004|3,1|1|35</v>
      </c>
      <c r="K6" s="37" t="s">
        <v>146</v>
      </c>
      <c r="L6" s="37" t="str">
        <f>Q16&amp;"|"&amp;R16&amp;"|"&amp;S16&amp;","&amp;U16&amp;"|"&amp;V16&amp;"|"&amp;W16&amp;","&amp;Y16&amp;"|"&amp;Z16&amp;"|"&amp;AA16&amp;","&amp;AC16&amp;"|"&amp;AD16&amp;"|"&amp;AE16&amp;","&amp;AG16&amp;"|"&amp;AH16&amp;"|"&amp;AI16</f>
        <v>1|2|3500000,2|1001|2,2|1002|2,2|1004|2,1|1|25</v>
      </c>
      <c r="N6" s="114"/>
      <c r="O6" s="44" t="s">
        <v>148</v>
      </c>
      <c r="P6" s="45" t="s">
        <v>80</v>
      </c>
      <c r="Q6" s="57">
        <f t="shared" si="0"/>
        <v>1</v>
      </c>
      <c r="R6" s="57">
        <f t="shared" si="1"/>
        <v>2</v>
      </c>
      <c r="S6" s="58">
        <f>S5*1.1</f>
        <v>660000</v>
      </c>
      <c r="T6" s="45" t="s">
        <v>82</v>
      </c>
      <c r="U6" s="57">
        <f t="shared" si="2"/>
        <v>2</v>
      </c>
      <c r="V6" s="57">
        <f t="shared" si="3"/>
        <v>1001</v>
      </c>
      <c r="W6" s="58">
        <v>2</v>
      </c>
      <c r="X6" s="45" t="s">
        <v>83</v>
      </c>
      <c r="Y6" s="57">
        <f t="shared" si="4"/>
        <v>2</v>
      </c>
      <c r="Z6" s="57">
        <f t="shared" si="5"/>
        <v>1002</v>
      </c>
      <c r="AA6" s="58">
        <v>2</v>
      </c>
      <c r="AB6" s="45" t="s">
        <v>84</v>
      </c>
      <c r="AC6" s="57">
        <f t="shared" si="6"/>
        <v>2</v>
      </c>
      <c r="AD6" s="57">
        <f t="shared" si="7"/>
        <v>1003</v>
      </c>
      <c r="AE6" s="58">
        <v>1</v>
      </c>
      <c r="AF6" s="45" t="s">
        <v>81</v>
      </c>
      <c r="AG6" s="57">
        <f t="shared" si="8"/>
        <v>1</v>
      </c>
      <c r="AH6" s="57">
        <f t="shared" si="9"/>
        <v>1</v>
      </c>
      <c r="AI6" s="58">
        <v>7</v>
      </c>
      <c r="AK6" s="64" t="str">
        <f>'充值活动|RMBActivities'!AU6</f>
        <v>钻石</v>
      </c>
      <c r="AL6" s="64">
        <f>'充值活动|RMBActivities'!AV6</f>
        <v>0.1</v>
      </c>
      <c r="AM6" s="64">
        <f>'充值活动|RMBActivities'!AW6</f>
        <v>1</v>
      </c>
      <c r="AN6" s="64">
        <f>'充值活动|RMBActivities'!AX6</f>
        <v>1</v>
      </c>
      <c r="AO6" s="64">
        <f>'充值活动|RMBActivities'!AY6</f>
        <v>1</v>
      </c>
    </row>
    <row r="7" spans="1:41" x14ac:dyDescent="0.35">
      <c r="A7" s="6">
        <v>703</v>
      </c>
      <c r="B7" s="6">
        <v>6</v>
      </c>
      <c r="C7" s="6">
        <v>98</v>
      </c>
      <c r="D7" s="6">
        <v>1</v>
      </c>
      <c r="E7" s="37" t="str">
        <f>Q17&amp;"|"&amp;R17&amp;"|"&amp;S17&amp;","&amp;U17&amp;"|"&amp;V17&amp;"|"&amp;W17&amp;","&amp;Y17&amp;"|"&amp;Z17&amp;"|"&amp;AA17&amp;","&amp;AC17&amp;"|"&amp;AD17&amp;"|"&amp;AE17&amp;","&amp;AG17&amp;"|"&amp;AH17&amp;"|"&amp;AI17</f>
        <v>1|2|12000000,2|1001|4,2|1002|4,2|1004|3,1|1|100</v>
      </c>
      <c r="F7" s="37" t="str">
        <f>Q18&amp;"|"&amp;R18&amp;"|"&amp;S18&amp;","&amp;U18&amp;"|"&amp;V18&amp;"|"&amp;W18&amp;","&amp;Y18&amp;"|"&amp;Z18&amp;"|"&amp;AA18&amp;","&amp;AC18&amp;"|"&amp;AD18&amp;"|"&amp;AE18&amp;","&amp;AG18&amp;"|"&amp;AH18&amp;"|"&amp;AI18</f>
        <v>1|2|13200000,2|1001|6,2|1002|6,2|1003|3,1|1|140</v>
      </c>
      <c r="G7" s="37" t="str">
        <f>Q19&amp;"|"&amp;R19&amp;"|"&amp;S19&amp;","&amp;U19&amp;"|"&amp;V19&amp;"|"&amp;W19&amp;","&amp;Y19&amp;"|"&amp;Z19&amp;"|"&amp;AA19&amp;","&amp;AC19&amp;"|"&amp;AD19&amp;"|"&amp;AE19&amp;","&amp;AG19&amp;"|"&amp;AH19&amp;"|"&amp;AI19</f>
        <v>1|2|12600000,2|1001|4,2|1002|4,2|1004|3,1|1|120</v>
      </c>
      <c r="H7" s="37" t="s">
        <v>145</v>
      </c>
      <c r="I7" s="37" t="str">
        <f>Q20&amp;"|"&amp;R20&amp;"|"&amp;S20&amp;","&amp;U20&amp;"|"&amp;V20&amp;"|"&amp;W20&amp;","&amp;Y20&amp;"|"&amp;Z20&amp;"|"&amp;AA20&amp;","&amp;AC20&amp;"|"&amp;AD20&amp;"|"&amp;AE20&amp;","&amp;AG20&amp;"|"&amp;AH20&amp;"|"&amp;AI20</f>
        <v>1|2|14400000,2|1001|8,2|1002|8,2|1003|4,1|1|160</v>
      </c>
      <c r="J7" s="37" t="str">
        <f>Q21&amp;"|"&amp;R21&amp;"|"&amp;S21&amp;","&amp;U21&amp;"|"&amp;V21&amp;"|"&amp;W21&amp;","&amp;Y21&amp;"|"&amp;Z21&amp;"|"&amp;AA21&amp;","&amp;AC21&amp;"|"&amp;AD21&amp;"|"&amp;AE21&amp;","&amp;AG21&amp;"|"&amp;AH21&amp;"|"&amp;AI21</f>
        <v>1|2|13200000,2|1001|6,2|1002|6,2|1004|4,1|1|140</v>
      </c>
      <c r="K7" s="37" t="s">
        <v>146</v>
      </c>
      <c r="L7" s="37" t="str">
        <f>Q22&amp;"|"&amp;R22&amp;"|"&amp;S22&amp;","&amp;U22&amp;"|"&amp;V22&amp;"|"&amp;W22&amp;","&amp;Y22&amp;"|"&amp;Z22&amp;"|"&amp;AA22&amp;","&amp;AC22&amp;"|"&amp;AD22&amp;"|"&amp;AE22&amp;","&amp;AG22&amp;"|"&amp;AH22&amp;"|"&amp;AI22</f>
        <v>1|2|12000000,2|1001|4,2|1002|4,2|1004|3,1|1|100</v>
      </c>
      <c r="N7" s="114"/>
      <c r="O7" s="44" t="s">
        <v>149</v>
      </c>
      <c r="P7" s="45" t="s">
        <v>80</v>
      </c>
      <c r="Q7" s="57">
        <f t="shared" si="0"/>
        <v>1</v>
      </c>
      <c r="R7" s="57">
        <f t="shared" si="1"/>
        <v>2</v>
      </c>
      <c r="S7" s="58">
        <f>S5*1.05</f>
        <v>630000</v>
      </c>
      <c r="T7" s="45" t="s">
        <v>82</v>
      </c>
      <c r="U7" s="57">
        <f t="shared" si="2"/>
        <v>2</v>
      </c>
      <c r="V7" s="57">
        <f t="shared" si="3"/>
        <v>1001</v>
      </c>
      <c r="W7" s="58">
        <v>1</v>
      </c>
      <c r="X7" s="45" t="s">
        <v>83</v>
      </c>
      <c r="Y7" s="57">
        <f t="shared" si="4"/>
        <v>2</v>
      </c>
      <c r="Z7" s="57">
        <f t="shared" si="5"/>
        <v>1002</v>
      </c>
      <c r="AA7" s="58">
        <v>1</v>
      </c>
      <c r="AB7" s="45" t="s">
        <v>88</v>
      </c>
      <c r="AC7" s="57">
        <f t="shared" si="6"/>
        <v>2</v>
      </c>
      <c r="AD7" s="57">
        <f t="shared" si="7"/>
        <v>1004</v>
      </c>
      <c r="AE7" s="58">
        <v>1</v>
      </c>
      <c r="AF7" s="45" t="s">
        <v>81</v>
      </c>
      <c r="AG7" s="57">
        <f t="shared" si="8"/>
        <v>1</v>
      </c>
      <c r="AH7" s="57">
        <f t="shared" si="9"/>
        <v>1</v>
      </c>
      <c r="AI7" s="58">
        <v>6</v>
      </c>
      <c r="AK7" s="64" t="str">
        <f>'充值活动|RMBActivities'!AU7</f>
        <v>金币</v>
      </c>
      <c r="AL7" s="64">
        <f>'充值活动|RMBActivities'!AV7</f>
        <v>5.0000000000000004E-6</v>
      </c>
      <c r="AM7" s="64">
        <f>'充值活动|RMBActivities'!AW7</f>
        <v>5.0000000000000002E-5</v>
      </c>
      <c r="AN7" s="64">
        <f>'充值活动|RMBActivities'!AX7</f>
        <v>1</v>
      </c>
      <c r="AO7" s="64">
        <f>'充值活动|RMBActivities'!AY7</f>
        <v>2</v>
      </c>
    </row>
    <row r="8" spans="1:41" x14ac:dyDescent="0.35">
      <c r="A8" s="6">
        <v>704</v>
      </c>
      <c r="B8" s="6">
        <v>6</v>
      </c>
      <c r="C8" s="6">
        <v>328</v>
      </c>
      <c r="D8" s="6">
        <v>1</v>
      </c>
      <c r="E8" s="37" t="str">
        <f>Q23&amp;"|"&amp;R23&amp;"|"&amp;S23&amp;","&amp;U23&amp;"|"&amp;V23&amp;"|"&amp;W23&amp;","&amp;Y23&amp;"|"&amp;Z23&amp;"|"&amp;AA23&amp;","&amp;AC23&amp;"|"&amp;AD23&amp;"|"&amp;AE23&amp;","&amp;AG23&amp;"|"&amp;AH23&amp;"|"&amp;AI23</f>
        <v>1|2|40000000,2|1001|6,2|1002|6,2|1004|4,1|1|300</v>
      </c>
      <c r="F8" s="37" t="str">
        <f>Q24&amp;"|"&amp;R24&amp;"|"&amp;S24&amp;","&amp;U24&amp;"|"&amp;V24&amp;"|"&amp;W24&amp;","&amp;Y24&amp;"|"&amp;Z24&amp;"|"&amp;AA24&amp;","&amp;AC24&amp;"|"&amp;AD24&amp;"|"&amp;AE24&amp;","&amp;AG24&amp;"|"&amp;AH24&amp;"|"&amp;AI24</f>
        <v>1|2|44000000,2|1001|8,2|1002|8,2|1003|4,1|1|420</v>
      </c>
      <c r="G8" s="37" t="str">
        <f>Q25&amp;"|"&amp;R25&amp;"|"&amp;S25&amp;","&amp;U25&amp;"|"&amp;V25&amp;"|"&amp;W25&amp;","&amp;Y25&amp;"|"&amp;Z25&amp;"|"&amp;AA25&amp;","&amp;AC25&amp;"|"&amp;AD25&amp;"|"&amp;AE25&amp;","&amp;AG25&amp;"|"&amp;AH25&amp;"|"&amp;AI25</f>
        <v>1|2|42000000,2|1001|6,2|1002|6,2|1004|4,1|1|360</v>
      </c>
      <c r="H8" s="37" t="s">
        <v>145</v>
      </c>
      <c r="I8" s="37" t="str">
        <f>Q26&amp;"|"&amp;R26&amp;"|"&amp;S26&amp;","&amp;U26&amp;"|"&amp;V26&amp;"|"&amp;W26&amp;","&amp;Y26&amp;"|"&amp;Z26&amp;"|"&amp;AA26&amp;","&amp;AC26&amp;"|"&amp;AD26&amp;"|"&amp;AE26&amp;","&amp;AG26&amp;"|"&amp;AH26&amp;"|"&amp;AI26</f>
        <v>1|2|48000000,2|1001|10,2|1002|10,2|1003|5,1|1|480</v>
      </c>
      <c r="J8" s="37" t="str">
        <f>Q27&amp;"|"&amp;R27&amp;"|"&amp;S27&amp;","&amp;U27&amp;"|"&amp;V27&amp;"|"&amp;W27&amp;","&amp;Y27&amp;"|"&amp;Z27&amp;"|"&amp;AA27&amp;","&amp;AC27&amp;"|"&amp;AD27&amp;"|"&amp;AE27&amp;","&amp;AG27&amp;"|"&amp;AH27&amp;"|"&amp;AI27</f>
        <v>1|2|44000000,2|1001|8,2|1002|8,2|1004|5,1|1|420</v>
      </c>
      <c r="K8" s="37" t="s">
        <v>146</v>
      </c>
      <c r="L8" s="37" t="str">
        <f>Q28&amp;"|"&amp;R28&amp;"|"&amp;S28&amp;","&amp;U28&amp;"|"&amp;V28&amp;"|"&amp;W28&amp;","&amp;Y28&amp;"|"&amp;Z28&amp;"|"&amp;AA28&amp;","&amp;AC28&amp;"|"&amp;AD28&amp;"|"&amp;AE28&amp;","&amp;AG28&amp;"|"&amp;AH28&amp;"|"&amp;AI28</f>
        <v>1|2|40000000,2|1001|6,2|1002|6,2|1004|4,1|1|300</v>
      </c>
      <c r="N8" s="114"/>
      <c r="O8" s="44" t="s">
        <v>150</v>
      </c>
      <c r="P8" s="45" t="s">
        <v>80</v>
      </c>
      <c r="Q8" s="57">
        <f t="shared" si="0"/>
        <v>1</v>
      </c>
      <c r="R8" s="57">
        <f t="shared" si="1"/>
        <v>2</v>
      </c>
      <c r="S8" s="58">
        <f>S5*1.2</f>
        <v>720000</v>
      </c>
      <c r="T8" s="45" t="s">
        <v>82</v>
      </c>
      <c r="U8" s="57">
        <f t="shared" si="2"/>
        <v>2</v>
      </c>
      <c r="V8" s="57">
        <f t="shared" si="3"/>
        <v>1001</v>
      </c>
      <c r="W8" s="58">
        <v>3</v>
      </c>
      <c r="X8" s="45" t="s">
        <v>83</v>
      </c>
      <c r="Y8" s="57">
        <f t="shared" si="4"/>
        <v>2</v>
      </c>
      <c r="Z8" s="57">
        <f t="shared" si="5"/>
        <v>1002</v>
      </c>
      <c r="AA8" s="58">
        <v>3</v>
      </c>
      <c r="AB8" s="45" t="s">
        <v>84</v>
      </c>
      <c r="AC8" s="57">
        <f t="shared" si="6"/>
        <v>2</v>
      </c>
      <c r="AD8" s="57">
        <f t="shared" si="7"/>
        <v>1003</v>
      </c>
      <c r="AE8" s="58">
        <v>2</v>
      </c>
      <c r="AF8" s="45" t="s">
        <v>81</v>
      </c>
      <c r="AG8" s="57">
        <f t="shared" si="8"/>
        <v>1</v>
      </c>
      <c r="AH8" s="57">
        <f t="shared" si="9"/>
        <v>1</v>
      </c>
      <c r="AI8" s="58">
        <v>8</v>
      </c>
      <c r="AK8" s="64" t="str">
        <f>'充值活动|RMBActivities'!AU8</f>
        <v>锁定</v>
      </c>
      <c r="AL8" s="64">
        <f>'充值活动|RMBActivities'!AV8</f>
        <v>0.2</v>
      </c>
      <c r="AM8" s="64">
        <f>'充值活动|RMBActivities'!AW8</f>
        <v>2</v>
      </c>
      <c r="AN8" s="64">
        <f>'充值活动|RMBActivities'!AX8</f>
        <v>2</v>
      </c>
      <c r="AO8" s="64">
        <f>'充值活动|RMBActivities'!AY8</f>
        <v>1001</v>
      </c>
    </row>
    <row r="9" spans="1:41" x14ac:dyDescent="0.35">
      <c r="N9" s="114"/>
      <c r="O9" s="44" t="s">
        <v>151</v>
      </c>
      <c r="P9" s="45" t="s">
        <v>80</v>
      </c>
      <c r="Q9" s="57">
        <f t="shared" si="0"/>
        <v>1</v>
      </c>
      <c r="R9" s="57">
        <f t="shared" si="1"/>
        <v>2</v>
      </c>
      <c r="S9" s="58">
        <f>S5*1.1</f>
        <v>660000</v>
      </c>
      <c r="T9" s="45" t="s">
        <v>82</v>
      </c>
      <c r="U9" s="57">
        <f t="shared" si="2"/>
        <v>2</v>
      </c>
      <c r="V9" s="57">
        <f t="shared" si="3"/>
        <v>1001</v>
      </c>
      <c r="W9" s="58">
        <v>2</v>
      </c>
      <c r="X9" s="45" t="s">
        <v>83</v>
      </c>
      <c r="Y9" s="57">
        <f t="shared" si="4"/>
        <v>2</v>
      </c>
      <c r="Z9" s="57">
        <f t="shared" si="5"/>
        <v>1002</v>
      </c>
      <c r="AA9" s="58">
        <v>2</v>
      </c>
      <c r="AB9" s="45" t="s">
        <v>88</v>
      </c>
      <c r="AC9" s="57">
        <f t="shared" si="6"/>
        <v>2</v>
      </c>
      <c r="AD9" s="57">
        <f t="shared" si="7"/>
        <v>1004</v>
      </c>
      <c r="AE9" s="58">
        <v>2</v>
      </c>
      <c r="AF9" s="45" t="s">
        <v>81</v>
      </c>
      <c r="AG9" s="57">
        <f t="shared" si="8"/>
        <v>1</v>
      </c>
      <c r="AH9" s="57">
        <f t="shared" si="9"/>
        <v>1</v>
      </c>
      <c r="AI9" s="58">
        <v>7</v>
      </c>
      <c r="AK9" s="64" t="str">
        <f>'充值活动|RMBActivities'!AU9</f>
        <v>冰冻</v>
      </c>
      <c r="AL9" s="64">
        <f>'充值活动|RMBActivities'!AV9</f>
        <v>0.5</v>
      </c>
      <c r="AM9" s="64">
        <f>'充值活动|RMBActivities'!AW9</f>
        <v>5</v>
      </c>
      <c r="AN9" s="64">
        <f>'充值活动|RMBActivities'!AX9</f>
        <v>2</v>
      </c>
      <c r="AO9" s="64">
        <f>'充值活动|RMBActivities'!AY9</f>
        <v>1002</v>
      </c>
    </row>
    <row r="10" spans="1:41" x14ac:dyDescent="0.35">
      <c r="N10" s="115"/>
      <c r="O10" s="46" t="s">
        <v>152</v>
      </c>
      <c r="P10" s="47" t="str">
        <f>P5</f>
        <v>金币</v>
      </c>
      <c r="Q10" s="59">
        <f t="shared" si="0"/>
        <v>1</v>
      </c>
      <c r="R10" s="59">
        <f t="shared" si="1"/>
        <v>2</v>
      </c>
      <c r="S10" s="60">
        <f>S5</f>
        <v>600000</v>
      </c>
      <c r="T10" s="47" t="str">
        <f>T5</f>
        <v>锁定</v>
      </c>
      <c r="U10" s="59">
        <f t="shared" si="2"/>
        <v>2</v>
      </c>
      <c r="V10" s="59">
        <f t="shared" si="3"/>
        <v>1001</v>
      </c>
      <c r="W10" s="60">
        <f>W5</f>
        <v>1</v>
      </c>
      <c r="X10" s="47" t="str">
        <f>X5</f>
        <v>冰冻</v>
      </c>
      <c r="Y10" s="59">
        <f t="shared" si="4"/>
        <v>2</v>
      </c>
      <c r="Z10" s="59">
        <f t="shared" si="5"/>
        <v>1002</v>
      </c>
      <c r="AA10" s="60">
        <f>AA5</f>
        <v>1</v>
      </c>
      <c r="AB10" s="47" t="str">
        <f>AB5</f>
        <v>召唤</v>
      </c>
      <c r="AC10" s="59">
        <f t="shared" si="6"/>
        <v>2</v>
      </c>
      <c r="AD10" s="59">
        <f t="shared" si="7"/>
        <v>1004</v>
      </c>
      <c r="AE10" s="60">
        <f>AE5</f>
        <v>1</v>
      </c>
      <c r="AF10" s="47" t="str">
        <f>AF5</f>
        <v>钻石</v>
      </c>
      <c r="AG10" s="59">
        <f t="shared" si="8"/>
        <v>1</v>
      </c>
      <c r="AH10" s="59">
        <f t="shared" si="9"/>
        <v>1</v>
      </c>
      <c r="AI10" s="60">
        <f>AI5</f>
        <v>5</v>
      </c>
      <c r="AK10" s="64" t="str">
        <f>'充值活动|RMBActivities'!AU10</f>
        <v>狂暴</v>
      </c>
      <c r="AL10" s="64">
        <f>'充值活动|RMBActivities'!AV10</f>
        <v>1</v>
      </c>
      <c r="AM10" s="64">
        <f>'充值活动|RMBActivities'!AW10</f>
        <v>10</v>
      </c>
      <c r="AN10" s="64">
        <f>'充值活动|RMBActivities'!AX10</f>
        <v>2</v>
      </c>
      <c r="AO10" s="64">
        <f>'充值活动|RMBActivities'!AY10</f>
        <v>1003</v>
      </c>
    </row>
    <row r="11" spans="1:41" x14ac:dyDescent="0.35">
      <c r="N11" s="116" t="str">
        <f>C6&amp;"元档"</f>
        <v>30元档</v>
      </c>
      <c r="O11" s="42" t="str">
        <f>O5</f>
        <v>第1次</v>
      </c>
      <c r="P11" s="43" t="s">
        <v>80</v>
      </c>
      <c r="Q11" s="55">
        <f t="shared" si="0"/>
        <v>1</v>
      </c>
      <c r="R11" s="55">
        <f t="shared" si="1"/>
        <v>2</v>
      </c>
      <c r="S11" s="56">
        <v>3500000</v>
      </c>
      <c r="T11" s="43" t="s">
        <v>82</v>
      </c>
      <c r="U11" s="55">
        <f t="shared" si="2"/>
        <v>2</v>
      </c>
      <c r="V11" s="55">
        <f t="shared" si="3"/>
        <v>1001</v>
      </c>
      <c r="W11" s="56">
        <v>2</v>
      </c>
      <c r="X11" s="43" t="s">
        <v>83</v>
      </c>
      <c r="Y11" s="55">
        <f t="shared" si="4"/>
        <v>2</v>
      </c>
      <c r="Z11" s="55">
        <f t="shared" si="5"/>
        <v>1002</v>
      </c>
      <c r="AA11" s="56">
        <v>2</v>
      </c>
      <c r="AB11" s="43" t="s">
        <v>88</v>
      </c>
      <c r="AC11" s="55">
        <f t="shared" si="6"/>
        <v>2</v>
      </c>
      <c r="AD11" s="55">
        <f t="shared" si="7"/>
        <v>1004</v>
      </c>
      <c r="AE11" s="56">
        <v>2</v>
      </c>
      <c r="AF11" s="43" t="s">
        <v>81</v>
      </c>
      <c r="AG11" s="55">
        <f t="shared" si="8"/>
        <v>1</v>
      </c>
      <c r="AH11" s="55">
        <f t="shared" si="9"/>
        <v>1</v>
      </c>
      <c r="AI11" s="56">
        <f>AI5*5</f>
        <v>25</v>
      </c>
      <c r="AJ11" s="6">
        <v>330000</v>
      </c>
      <c r="AK11" s="64" t="str">
        <f>'充值活动|RMBActivities'!AU11</f>
        <v>召唤</v>
      </c>
      <c r="AL11" s="64">
        <f>'充值活动|RMBActivities'!AV11</f>
        <v>0.2</v>
      </c>
      <c r="AM11" s="64">
        <f>'充值活动|RMBActivities'!AW11</f>
        <v>2</v>
      </c>
      <c r="AN11" s="64">
        <f>'充值活动|RMBActivities'!AX11</f>
        <v>2</v>
      </c>
      <c r="AO11" s="64">
        <f>'充值活动|RMBActivities'!AY11</f>
        <v>1004</v>
      </c>
    </row>
    <row r="12" spans="1:41" x14ac:dyDescent="0.35">
      <c r="N12" s="117"/>
      <c r="O12" s="44" t="str">
        <f t="shared" ref="O12:O28" si="10">O6</f>
        <v>第2次10%</v>
      </c>
      <c r="P12" s="45" t="s">
        <v>80</v>
      </c>
      <c r="Q12" s="57">
        <f t="shared" si="0"/>
        <v>1</v>
      </c>
      <c r="R12" s="57">
        <f t="shared" si="1"/>
        <v>2</v>
      </c>
      <c r="S12" s="58">
        <f>S11*1.1</f>
        <v>3850000.0000000005</v>
      </c>
      <c r="T12" s="45" t="s">
        <v>82</v>
      </c>
      <c r="U12" s="57">
        <f t="shared" si="2"/>
        <v>2</v>
      </c>
      <c r="V12" s="57">
        <f t="shared" si="3"/>
        <v>1001</v>
      </c>
      <c r="W12" s="58">
        <v>3</v>
      </c>
      <c r="X12" s="45" t="s">
        <v>83</v>
      </c>
      <c r="Y12" s="57">
        <f t="shared" si="4"/>
        <v>2</v>
      </c>
      <c r="Z12" s="57">
        <f t="shared" si="5"/>
        <v>1002</v>
      </c>
      <c r="AA12" s="58">
        <v>3</v>
      </c>
      <c r="AB12" s="45" t="s">
        <v>84</v>
      </c>
      <c r="AC12" s="57">
        <f t="shared" si="6"/>
        <v>2</v>
      </c>
      <c r="AD12" s="57">
        <f t="shared" si="7"/>
        <v>1003</v>
      </c>
      <c r="AE12" s="58">
        <v>2</v>
      </c>
      <c r="AF12" s="45" t="s">
        <v>81</v>
      </c>
      <c r="AG12" s="57">
        <f t="shared" si="8"/>
        <v>1</v>
      </c>
      <c r="AH12" s="57">
        <f t="shared" si="9"/>
        <v>1</v>
      </c>
      <c r="AI12" s="58">
        <f t="shared" ref="AI12:AI15" si="11">AI6*5</f>
        <v>35</v>
      </c>
      <c r="AK12" s="64" t="str">
        <f>'充值活动|RMBActivities'!AU12</f>
        <v>福卡</v>
      </c>
      <c r="AL12" s="64">
        <f>'充值活动|RMBActivities'!AV12</f>
        <v>2.5000000000000001E-3</v>
      </c>
      <c r="AM12" s="64">
        <f>'充值活动|RMBActivities'!AW12</f>
        <v>2.5000000000000001E-2</v>
      </c>
      <c r="AN12" s="64">
        <f>'充值活动|RMBActivities'!AX12</f>
        <v>2</v>
      </c>
      <c r="AO12" s="64">
        <f>'充值活动|RMBActivities'!AY12</f>
        <v>1204</v>
      </c>
    </row>
    <row r="13" spans="1:41" x14ac:dyDescent="0.35">
      <c r="N13" s="117"/>
      <c r="O13" s="44" t="str">
        <f t="shared" si="10"/>
        <v>第2次5%</v>
      </c>
      <c r="P13" s="45" t="s">
        <v>80</v>
      </c>
      <c r="Q13" s="57">
        <f t="shared" si="0"/>
        <v>1</v>
      </c>
      <c r="R13" s="57">
        <f t="shared" si="1"/>
        <v>2</v>
      </c>
      <c r="S13" s="58">
        <f>S11*1.05</f>
        <v>3675000</v>
      </c>
      <c r="T13" s="45" t="s">
        <v>82</v>
      </c>
      <c r="U13" s="57">
        <f t="shared" si="2"/>
        <v>2</v>
      </c>
      <c r="V13" s="57">
        <f t="shared" si="3"/>
        <v>1001</v>
      </c>
      <c r="W13" s="58">
        <v>2</v>
      </c>
      <c r="X13" s="45" t="s">
        <v>83</v>
      </c>
      <c r="Y13" s="57">
        <f t="shared" si="4"/>
        <v>2</v>
      </c>
      <c r="Z13" s="57">
        <f t="shared" si="5"/>
        <v>1002</v>
      </c>
      <c r="AA13" s="58">
        <v>2</v>
      </c>
      <c r="AB13" s="45" t="s">
        <v>88</v>
      </c>
      <c r="AC13" s="57">
        <f t="shared" si="6"/>
        <v>2</v>
      </c>
      <c r="AD13" s="57">
        <f t="shared" si="7"/>
        <v>1004</v>
      </c>
      <c r="AE13" s="58">
        <v>2</v>
      </c>
      <c r="AF13" s="45" t="s">
        <v>81</v>
      </c>
      <c r="AG13" s="57">
        <f t="shared" si="8"/>
        <v>1</v>
      </c>
      <c r="AH13" s="57">
        <f t="shared" si="9"/>
        <v>1</v>
      </c>
      <c r="AI13" s="58">
        <f t="shared" si="11"/>
        <v>30</v>
      </c>
      <c r="AK13" s="64" t="str">
        <f>'充值活动|RMBActivities'!AU13</f>
        <v>超级武器1</v>
      </c>
      <c r="AL13" s="64">
        <f>'充值活动|RMBActivities'!AV13</f>
        <v>5</v>
      </c>
      <c r="AM13" s="64">
        <f>'充值活动|RMBActivities'!AW13</f>
        <v>50</v>
      </c>
      <c r="AN13" s="64">
        <f>'充值活动|RMBActivities'!AX13</f>
        <v>2</v>
      </c>
      <c r="AO13" s="64">
        <f>'充值活动|RMBActivities'!AY13</f>
        <v>1005</v>
      </c>
    </row>
    <row r="14" spans="1:41" x14ac:dyDescent="0.35">
      <c r="N14" s="117"/>
      <c r="O14" s="44" t="str">
        <f t="shared" si="10"/>
        <v>第3次20%</v>
      </c>
      <c r="P14" s="45" t="s">
        <v>80</v>
      </c>
      <c r="Q14" s="57">
        <f t="shared" si="0"/>
        <v>1</v>
      </c>
      <c r="R14" s="57">
        <f t="shared" si="1"/>
        <v>2</v>
      </c>
      <c r="S14" s="58">
        <f>S11*1.2</f>
        <v>4200000</v>
      </c>
      <c r="T14" s="45" t="s">
        <v>82</v>
      </c>
      <c r="U14" s="57">
        <f t="shared" si="2"/>
        <v>2</v>
      </c>
      <c r="V14" s="57">
        <f t="shared" si="3"/>
        <v>1001</v>
      </c>
      <c r="W14" s="58">
        <v>4</v>
      </c>
      <c r="X14" s="45" t="s">
        <v>83</v>
      </c>
      <c r="Y14" s="57">
        <f t="shared" si="4"/>
        <v>2</v>
      </c>
      <c r="Z14" s="57">
        <f t="shared" si="5"/>
        <v>1002</v>
      </c>
      <c r="AA14" s="58">
        <v>4</v>
      </c>
      <c r="AB14" s="45" t="s">
        <v>84</v>
      </c>
      <c r="AC14" s="57">
        <f t="shared" si="6"/>
        <v>2</v>
      </c>
      <c r="AD14" s="57">
        <f t="shared" si="7"/>
        <v>1003</v>
      </c>
      <c r="AE14" s="58">
        <v>3</v>
      </c>
      <c r="AF14" s="45" t="s">
        <v>81</v>
      </c>
      <c r="AG14" s="57">
        <f t="shared" si="8"/>
        <v>1</v>
      </c>
      <c r="AH14" s="57">
        <f t="shared" si="9"/>
        <v>1</v>
      </c>
      <c r="AI14" s="58">
        <f t="shared" si="11"/>
        <v>40</v>
      </c>
      <c r="AK14" s="64" t="str">
        <f>'充值活动|RMBActivities'!AU14</f>
        <v>超级武器2</v>
      </c>
      <c r="AL14" s="64">
        <f>'充值活动|RMBActivities'!AV14</f>
        <v>10</v>
      </c>
      <c r="AM14" s="64">
        <f>'充值活动|RMBActivities'!AW14</f>
        <v>100</v>
      </c>
      <c r="AN14" s="64">
        <f>'充值活动|RMBActivities'!AX14</f>
        <v>2</v>
      </c>
      <c r="AO14" s="64">
        <f>'充值活动|RMBActivities'!AY14</f>
        <v>1006</v>
      </c>
    </row>
    <row r="15" spans="1:41" x14ac:dyDescent="0.35">
      <c r="N15" s="117"/>
      <c r="O15" s="44" t="str">
        <f t="shared" si="10"/>
        <v>第3次10%</v>
      </c>
      <c r="P15" s="45" t="s">
        <v>80</v>
      </c>
      <c r="Q15" s="57">
        <f t="shared" si="0"/>
        <v>1</v>
      </c>
      <c r="R15" s="57">
        <f t="shared" si="1"/>
        <v>2</v>
      </c>
      <c r="S15" s="58">
        <f>S11*1.1</f>
        <v>3850000.0000000005</v>
      </c>
      <c r="T15" s="45" t="s">
        <v>82</v>
      </c>
      <c r="U15" s="57">
        <f t="shared" si="2"/>
        <v>2</v>
      </c>
      <c r="V15" s="57">
        <f t="shared" si="3"/>
        <v>1001</v>
      </c>
      <c r="W15" s="58">
        <v>3</v>
      </c>
      <c r="X15" s="45" t="s">
        <v>83</v>
      </c>
      <c r="Y15" s="57">
        <f t="shared" si="4"/>
        <v>2</v>
      </c>
      <c r="Z15" s="57">
        <f t="shared" si="5"/>
        <v>1002</v>
      </c>
      <c r="AA15" s="58">
        <v>3</v>
      </c>
      <c r="AB15" s="45" t="s">
        <v>88</v>
      </c>
      <c r="AC15" s="57">
        <f t="shared" si="6"/>
        <v>2</v>
      </c>
      <c r="AD15" s="57">
        <f t="shared" si="7"/>
        <v>1004</v>
      </c>
      <c r="AE15" s="58">
        <v>3</v>
      </c>
      <c r="AF15" s="45" t="s">
        <v>81</v>
      </c>
      <c r="AG15" s="57">
        <f t="shared" si="8"/>
        <v>1</v>
      </c>
      <c r="AH15" s="57">
        <f t="shared" si="9"/>
        <v>1</v>
      </c>
      <c r="AI15" s="58">
        <f t="shared" si="11"/>
        <v>35</v>
      </c>
      <c r="AK15" s="64" t="str">
        <f>'充值活动|RMBActivities'!AU15</f>
        <v>超级武器3</v>
      </c>
      <c r="AL15" s="64">
        <f>'充值活动|RMBActivities'!AV15</f>
        <v>25</v>
      </c>
      <c r="AM15" s="64">
        <f>'充值活动|RMBActivities'!AW15</f>
        <v>250</v>
      </c>
      <c r="AN15" s="64">
        <f>'充值活动|RMBActivities'!AX15</f>
        <v>2</v>
      </c>
      <c r="AO15" s="64">
        <f>'充值活动|RMBActivities'!AY15</f>
        <v>1007</v>
      </c>
    </row>
    <row r="16" spans="1:41" x14ac:dyDescent="0.35">
      <c r="N16" s="118"/>
      <c r="O16" s="46" t="str">
        <f t="shared" si="10"/>
        <v>再得一份</v>
      </c>
      <c r="P16" s="47" t="str">
        <f>P11</f>
        <v>金币</v>
      </c>
      <c r="Q16" s="59">
        <f t="shared" si="0"/>
        <v>1</v>
      </c>
      <c r="R16" s="59">
        <f t="shared" si="1"/>
        <v>2</v>
      </c>
      <c r="S16" s="60">
        <f>S11</f>
        <v>3500000</v>
      </c>
      <c r="T16" s="47" t="str">
        <f>T11</f>
        <v>锁定</v>
      </c>
      <c r="U16" s="59">
        <f t="shared" si="2"/>
        <v>2</v>
      </c>
      <c r="V16" s="59">
        <f t="shared" si="3"/>
        <v>1001</v>
      </c>
      <c r="W16" s="60">
        <f>W11</f>
        <v>2</v>
      </c>
      <c r="X16" s="47" t="str">
        <f>X11</f>
        <v>冰冻</v>
      </c>
      <c r="Y16" s="59">
        <f t="shared" si="4"/>
        <v>2</v>
      </c>
      <c r="Z16" s="59">
        <f t="shared" si="5"/>
        <v>1002</v>
      </c>
      <c r="AA16" s="60">
        <f>AA11</f>
        <v>2</v>
      </c>
      <c r="AB16" s="47" t="str">
        <f>AB11</f>
        <v>召唤</v>
      </c>
      <c r="AC16" s="59">
        <f t="shared" si="6"/>
        <v>2</v>
      </c>
      <c r="AD16" s="59">
        <f t="shared" si="7"/>
        <v>1004</v>
      </c>
      <c r="AE16" s="60">
        <f>AE11</f>
        <v>2</v>
      </c>
      <c r="AF16" s="47" t="str">
        <f>AF11</f>
        <v>钻石</v>
      </c>
      <c r="AG16" s="59">
        <f t="shared" si="8"/>
        <v>1</v>
      </c>
      <c r="AH16" s="59">
        <f t="shared" si="9"/>
        <v>1</v>
      </c>
      <c r="AI16" s="60">
        <f>AI11</f>
        <v>25</v>
      </c>
      <c r="AK16" s="64" t="str">
        <f>'充值活动|RMBActivities'!AU16</f>
        <v>超级武器4</v>
      </c>
      <c r="AL16" s="64">
        <f>'充值活动|RMBActivities'!AV16</f>
        <v>50</v>
      </c>
      <c r="AM16" s="64">
        <f>'充值活动|RMBActivities'!AW16</f>
        <v>500</v>
      </c>
      <c r="AN16" s="64">
        <f>'充值活动|RMBActivities'!AX16</f>
        <v>2</v>
      </c>
      <c r="AO16" s="64">
        <f>'充值活动|RMBActivities'!AY16</f>
        <v>1008</v>
      </c>
    </row>
    <row r="17" spans="14:41" x14ac:dyDescent="0.35">
      <c r="N17" s="119" t="str">
        <f>C7&amp;"元档"</f>
        <v>98元档</v>
      </c>
      <c r="O17" s="42" t="str">
        <f t="shared" si="10"/>
        <v>第1次</v>
      </c>
      <c r="P17" s="43" t="s">
        <v>80</v>
      </c>
      <c r="Q17" s="55">
        <f t="shared" si="0"/>
        <v>1</v>
      </c>
      <c r="R17" s="55">
        <f>VLOOKUP(P17,$AK:$AO,5,0)</f>
        <v>2</v>
      </c>
      <c r="S17" s="56">
        <v>12000000</v>
      </c>
      <c r="T17" s="43" t="s">
        <v>82</v>
      </c>
      <c r="U17" s="55">
        <f t="shared" si="2"/>
        <v>2</v>
      </c>
      <c r="V17" s="55">
        <f>VLOOKUP(T17,$AK:$AO,5,0)</f>
        <v>1001</v>
      </c>
      <c r="W17" s="56">
        <v>4</v>
      </c>
      <c r="X17" s="43" t="s">
        <v>83</v>
      </c>
      <c r="Y17" s="55">
        <f t="shared" si="4"/>
        <v>2</v>
      </c>
      <c r="Z17" s="55">
        <f>VLOOKUP(X17,$AK:$AO,5,0)</f>
        <v>1002</v>
      </c>
      <c r="AA17" s="56">
        <v>4</v>
      </c>
      <c r="AB17" s="43" t="s">
        <v>88</v>
      </c>
      <c r="AC17" s="55">
        <f t="shared" si="6"/>
        <v>2</v>
      </c>
      <c r="AD17" s="55">
        <f>VLOOKUP(AB17,$AK:$AO,5,0)</f>
        <v>1004</v>
      </c>
      <c r="AE17" s="56">
        <v>3</v>
      </c>
      <c r="AF17" s="43" t="s">
        <v>81</v>
      </c>
      <c r="AG17" s="55">
        <f t="shared" si="8"/>
        <v>1</v>
      </c>
      <c r="AH17" s="55">
        <f>VLOOKUP(AF17,$AK:$AO,5,0)</f>
        <v>1</v>
      </c>
      <c r="AI17" s="56">
        <f>AI11*4</f>
        <v>100</v>
      </c>
      <c r="AJ17" s="6">
        <v>1100000</v>
      </c>
      <c r="AK17" s="64" t="str">
        <f>'充值活动|RMBActivities'!AU17</f>
        <v>5元话费卡</v>
      </c>
      <c r="AL17" s="64">
        <f>'充值活动|RMBActivities'!AV17</f>
        <v>5</v>
      </c>
      <c r="AM17" s="64">
        <f>'充值活动|RMBActivities'!AW17</f>
        <v>50</v>
      </c>
      <c r="AN17" s="64">
        <f>'充值活动|RMBActivities'!AX17</f>
        <v>2</v>
      </c>
      <c r="AO17" s="64">
        <f>'充值活动|RMBActivities'!AY17</f>
        <v>1206</v>
      </c>
    </row>
    <row r="18" spans="14:41" x14ac:dyDescent="0.35">
      <c r="N18" s="120"/>
      <c r="O18" s="44" t="str">
        <f t="shared" si="10"/>
        <v>第2次10%</v>
      </c>
      <c r="P18" s="45" t="s">
        <v>80</v>
      </c>
      <c r="Q18" s="57">
        <f t="shared" si="0"/>
        <v>1</v>
      </c>
      <c r="R18" s="57">
        <f>VLOOKUP(P18,$AK:$AO,5,0)</f>
        <v>2</v>
      </c>
      <c r="S18" s="58">
        <f>S17*1.1</f>
        <v>13200000.000000002</v>
      </c>
      <c r="T18" s="45" t="s">
        <v>82</v>
      </c>
      <c r="U18" s="57">
        <f t="shared" si="2"/>
        <v>2</v>
      </c>
      <c r="V18" s="57">
        <f>VLOOKUP(T18,$AK:$AO,5,0)</f>
        <v>1001</v>
      </c>
      <c r="W18" s="58">
        <v>6</v>
      </c>
      <c r="X18" s="45" t="s">
        <v>83</v>
      </c>
      <c r="Y18" s="57">
        <f t="shared" si="4"/>
        <v>2</v>
      </c>
      <c r="Z18" s="57">
        <f>VLOOKUP(X18,$AK:$AO,5,0)</f>
        <v>1002</v>
      </c>
      <c r="AA18" s="58">
        <v>6</v>
      </c>
      <c r="AB18" s="45" t="s">
        <v>84</v>
      </c>
      <c r="AC18" s="57">
        <f t="shared" si="6"/>
        <v>2</v>
      </c>
      <c r="AD18" s="57">
        <f>VLOOKUP(AB18,$AK:$AO,5,0)</f>
        <v>1003</v>
      </c>
      <c r="AE18" s="58">
        <v>3</v>
      </c>
      <c r="AF18" s="45" t="s">
        <v>81</v>
      </c>
      <c r="AG18" s="57">
        <f t="shared" si="8"/>
        <v>1</v>
      </c>
      <c r="AH18" s="57">
        <f>VLOOKUP(AF18,$AK:$AO,5,0)</f>
        <v>1</v>
      </c>
      <c r="AI18" s="58">
        <f t="shared" ref="AI18:AI21" si="12">AI12*4</f>
        <v>140</v>
      </c>
      <c r="AK18" s="64" t="str">
        <f>'充值活动|RMBActivities'!AU18</f>
        <v>2元话费卡</v>
      </c>
      <c r="AL18" s="64">
        <f>'充值活动|RMBActivities'!AV18</f>
        <v>2</v>
      </c>
      <c r="AM18" s="64">
        <f>'充值活动|RMBActivities'!AW18</f>
        <v>20</v>
      </c>
      <c r="AN18" s="64">
        <f>'充值活动|RMBActivities'!AX18</f>
        <v>2</v>
      </c>
      <c r="AO18" s="64">
        <f>'充值活动|RMBActivities'!AY18</f>
        <v>1205</v>
      </c>
    </row>
    <row r="19" spans="14:41" x14ac:dyDescent="0.35">
      <c r="N19" s="120"/>
      <c r="O19" s="44" t="str">
        <f t="shared" si="10"/>
        <v>第2次5%</v>
      </c>
      <c r="P19" s="45" t="s">
        <v>80</v>
      </c>
      <c r="Q19" s="57">
        <f t="shared" si="0"/>
        <v>1</v>
      </c>
      <c r="R19" s="57">
        <f>VLOOKUP(P19,$AK:$AO,5,0)</f>
        <v>2</v>
      </c>
      <c r="S19" s="58">
        <f>S17*1.05</f>
        <v>12600000</v>
      </c>
      <c r="T19" s="45" t="s">
        <v>82</v>
      </c>
      <c r="U19" s="57">
        <f t="shared" si="2"/>
        <v>2</v>
      </c>
      <c r="V19" s="57">
        <f>VLOOKUP(T19,$AK:$AO,5,0)</f>
        <v>1001</v>
      </c>
      <c r="W19" s="58">
        <v>4</v>
      </c>
      <c r="X19" s="45" t="s">
        <v>83</v>
      </c>
      <c r="Y19" s="57">
        <f t="shared" si="4"/>
        <v>2</v>
      </c>
      <c r="Z19" s="57">
        <f>VLOOKUP(X19,$AK:$AO,5,0)</f>
        <v>1002</v>
      </c>
      <c r="AA19" s="58">
        <v>4</v>
      </c>
      <c r="AB19" s="45" t="s">
        <v>88</v>
      </c>
      <c r="AC19" s="57">
        <f t="shared" si="6"/>
        <v>2</v>
      </c>
      <c r="AD19" s="57">
        <f>VLOOKUP(AB19,$AK:$AO,5,0)</f>
        <v>1004</v>
      </c>
      <c r="AE19" s="58">
        <v>3</v>
      </c>
      <c r="AF19" s="45" t="s">
        <v>81</v>
      </c>
      <c r="AG19" s="57">
        <f t="shared" si="8"/>
        <v>1</v>
      </c>
      <c r="AH19" s="57">
        <f>VLOOKUP(AF19,$AK:$AO,5,0)</f>
        <v>1</v>
      </c>
      <c r="AI19" s="58">
        <f t="shared" si="12"/>
        <v>120</v>
      </c>
      <c r="AK19" s="64" t="str">
        <f>'充值活动|RMBActivities'!AU19</f>
        <v>高压锅</v>
      </c>
      <c r="AL19" s="64">
        <f>'充值活动|RMBActivities'!AV19</f>
        <v>200</v>
      </c>
      <c r="AM19" s="64">
        <f>'充值活动|RMBActivities'!AW19</f>
        <v>2000</v>
      </c>
      <c r="AN19" s="64">
        <f>'充值活动|RMBActivities'!AX19</f>
        <v>2</v>
      </c>
      <c r="AO19" s="64">
        <f>'充值活动|RMBActivities'!AY19</f>
        <v>1208</v>
      </c>
    </row>
    <row r="20" spans="14:41" x14ac:dyDescent="0.35">
      <c r="N20" s="120"/>
      <c r="O20" s="44" t="str">
        <f t="shared" si="10"/>
        <v>第3次20%</v>
      </c>
      <c r="P20" s="45" t="s">
        <v>80</v>
      </c>
      <c r="Q20" s="57">
        <f t="shared" si="0"/>
        <v>1</v>
      </c>
      <c r="R20" s="57">
        <f>VLOOKUP(P20,$AK:$AO,5,0)</f>
        <v>2</v>
      </c>
      <c r="S20" s="58">
        <f>S17*1.2</f>
        <v>14400000</v>
      </c>
      <c r="T20" s="45" t="s">
        <v>82</v>
      </c>
      <c r="U20" s="57">
        <f t="shared" si="2"/>
        <v>2</v>
      </c>
      <c r="V20" s="57">
        <f>VLOOKUP(T20,$AK:$AO,5,0)</f>
        <v>1001</v>
      </c>
      <c r="W20" s="58">
        <v>8</v>
      </c>
      <c r="X20" s="45" t="s">
        <v>83</v>
      </c>
      <c r="Y20" s="57">
        <f t="shared" si="4"/>
        <v>2</v>
      </c>
      <c r="Z20" s="57">
        <f>VLOOKUP(X20,$AK:$AO,5,0)</f>
        <v>1002</v>
      </c>
      <c r="AA20" s="58">
        <v>8</v>
      </c>
      <c r="AB20" s="45" t="s">
        <v>84</v>
      </c>
      <c r="AC20" s="57">
        <f t="shared" si="6"/>
        <v>2</v>
      </c>
      <c r="AD20" s="57">
        <f>VLOOKUP(AB20,$AK:$AO,5,0)</f>
        <v>1003</v>
      </c>
      <c r="AE20" s="58">
        <v>4</v>
      </c>
      <c r="AF20" s="45" t="s">
        <v>81</v>
      </c>
      <c r="AG20" s="57">
        <f t="shared" si="8"/>
        <v>1</v>
      </c>
      <c r="AH20" s="57">
        <f>VLOOKUP(AF20,$AK:$AO,5,0)</f>
        <v>1</v>
      </c>
      <c r="AI20" s="58">
        <f t="shared" si="12"/>
        <v>160</v>
      </c>
      <c r="AK20" s="64" t="str">
        <f>'充值活动|RMBActivities'!AU20</f>
        <v>30元话费卡</v>
      </c>
      <c r="AL20" s="64">
        <f>'充值活动|RMBActivities'!AV20</f>
        <v>30</v>
      </c>
      <c r="AM20" s="64">
        <f>'充值活动|RMBActivities'!AW20</f>
        <v>300</v>
      </c>
      <c r="AN20" s="64">
        <f>'充值活动|RMBActivities'!AX20</f>
        <v>2</v>
      </c>
      <c r="AO20" s="64">
        <f>'充值活动|RMBActivities'!AY20</f>
        <v>1209</v>
      </c>
    </row>
    <row r="21" spans="14:41" x14ac:dyDescent="0.35">
      <c r="N21" s="120"/>
      <c r="O21" s="44" t="str">
        <f t="shared" si="10"/>
        <v>第3次10%</v>
      </c>
      <c r="P21" s="45" t="s">
        <v>80</v>
      </c>
      <c r="Q21" s="57">
        <f t="shared" si="0"/>
        <v>1</v>
      </c>
      <c r="R21" s="57">
        <f>VLOOKUP(P21,$AK:$AO,5,0)</f>
        <v>2</v>
      </c>
      <c r="S21" s="58">
        <f>S17*1.1</f>
        <v>13200000.000000002</v>
      </c>
      <c r="T21" s="45" t="s">
        <v>82</v>
      </c>
      <c r="U21" s="57">
        <f t="shared" si="2"/>
        <v>2</v>
      </c>
      <c r="V21" s="57">
        <f>VLOOKUP(T21,$AK:$AO,5,0)</f>
        <v>1001</v>
      </c>
      <c r="W21" s="58">
        <v>6</v>
      </c>
      <c r="X21" s="45" t="s">
        <v>83</v>
      </c>
      <c r="Y21" s="57">
        <f t="shared" si="4"/>
        <v>2</v>
      </c>
      <c r="Z21" s="57">
        <f>VLOOKUP(X21,$AK:$AO,5,0)</f>
        <v>1002</v>
      </c>
      <c r="AA21" s="58">
        <v>6</v>
      </c>
      <c r="AB21" s="45" t="s">
        <v>88</v>
      </c>
      <c r="AC21" s="57">
        <f t="shared" si="6"/>
        <v>2</v>
      </c>
      <c r="AD21" s="57">
        <f>VLOOKUP(AB21,$AK:$AO,5,0)</f>
        <v>1004</v>
      </c>
      <c r="AE21" s="58">
        <v>4</v>
      </c>
      <c r="AF21" s="45" t="s">
        <v>81</v>
      </c>
      <c r="AG21" s="57">
        <f t="shared" si="8"/>
        <v>1</v>
      </c>
      <c r="AH21" s="57">
        <f>VLOOKUP(AF21,$AK:$AO,5,0)</f>
        <v>1</v>
      </c>
      <c r="AI21" s="58">
        <f t="shared" si="12"/>
        <v>140</v>
      </c>
      <c r="AK21" s="64" t="str">
        <f>'充值活动|RMBActivities'!AU21</f>
        <v>50元话费卡</v>
      </c>
      <c r="AL21" s="64">
        <f>'充值活动|RMBActivities'!AV21</f>
        <v>50</v>
      </c>
      <c r="AM21" s="64">
        <f>'充值活动|RMBActivities'!AW21</f>
        <v>500</v>
      </c>
      <c r="AN21" s="64">
        <f>'充值活动|RMBActivities'!AX21</f>
        <v>2</v>
      </c>
      <c r="AO21" s="64">
        <f>'充值活动|RMBActivities'!AY21</f>
        <v>1210</v>
      </c>
    </row>
    <row r="22" spans="14:41" x14ac:dyDescent="0.35">
      <c r="N22" s="121"/>
      <c r="O22" s="46" t="str">
        <f t="shared" si="10"/>
        <v>再得一份</v>
      </c>
      <c r="P22" s="47" t="str">
        <f>P17</f>
        <v>金币</v>
      </c>
      <c r="Q22" s="59">
        <f t="shared" si="0"/>
        <v>1</v>
      </c>
      <c r="R22" s="59">
        <f t="shared" ref="R22" si="13">VLOOKUP(P22,$AK:$AO,5,0)</f>
        <v>2</v>
      </c>
      <c r="S22" s="60">
        <f>S17</f>
        <v>12000000</v>
      </c>
      <c r="T22" s="47" t="str">
        <f>T17</f>
        <v>锁定</v>
      </c>
      <c r="U22" s="59">
        <f t="shared" si="2"/>
        <v>2</v>
      </c>
      <c r="V22" s="59">
        <f t="shared" ref="V22" si="14">VLOOKUP(T22,$AK:$AO,5,0)</f>
        <v>1001</v>
      </c>
      <c r="W22" s="60">
        <f>W17</f>
        <v>4</v>
      </c>
      <c r="X22" s="47" t="str">
        <f>X17</f>
        <v>冰冻</v>
      </c>
      <c r="Y22" s="59">
        <f t="shared" si="4"/>
        <v>2</v>
      </c>
      <c r="Z22" s="59">
        <f t="shared" ref="Z22" si="15">VLOOKUP(X22,$AK:$AO,5,0)</f>
        <v>1002</v>
      </c>
      <c r="AA22" s="60">
        <f>AA17</f>
        <v>4</v>
      </c>
      <c r="AB22" s="47" t="str">
        <f>AB17</f>
        <v>召唤</v>
      </c>
      <c r="AC22" s="59">
        <f t="shared" si="6"/>
        <v>2</v>
      </c>
      <c r="AD22" s="59">
        <f t="shared" ref="AD22" si="16">VLOOKUP(AB22,$AK:$AO,5,0)</f>
        <v>1004</v>
      </c>
      <c r="AE22" s="60">
        <f>AE17</f>
        <v>3</v>
      </c>
      <c r="AF22" s="47" t="str">
        <f>AF17</f>
        <v>钻石</v>
      </c>
      <c r="AG22" s="59">
        <f t="shared" si="8"/>
        <v>1</v>
      </c>
      <c r="AH22" s="59">
        <f t="shared" ref="AH22" si="17">VLOOKUP(AF22,$AK:$AO,5,0)</f>
        <v>1</v>
      </c>
      <c r="AI22" s="60">
        <f>AI17</f>
        <v>100</v>
      </c>
      <c r="AK22" s="64" t="str">
        <f>'充值活动|RMBActivities'!AU22</f>
        <v>活跃度</v>
      </c>
      <c r="AL22" s="64">
        <f>'充值活动|RMBActivities'!AV22</f>
        <v>1</v>
      </c>
      <c r="AM22" s="64">
        <f>'充值活动|RMBActivities'!AW22</f>
        <v>10</v>
      </c>
      <c r="AN22" s="64">
        <f>'充值活动|RMBActivities'!AX22</f>
        <v>1</v>
      </c>
      <c r="AO22" s="64">
        <f>'充值活动|RMBActivities'!AY22</f>
        <v>6</v>
      </c>
    </row>
    <row r="23" spans="14:41" x14ac:dyDescent="0.35">
      <c r="N23" s="122" t="str">
        <f>C8&amp;"元档"</f>
        <v>328元档</v>
      </c>
      <c r="O23" s="42" t="str">
        <f t="shared" si="10"/>
        <v>第1次</v>
      </c>
      <c r="P23" s="43" t="s">
        <v>80</v>
      </c>
      <c r="Q23" s="55">
        <f t="shared" si="0"/>
        <v>1</v>
      </c>
      <c r="R23" s="55">
        <f>VLOOKUP(P23,$AK:$AO,5,0)</f>
        <v>2</v>
      </c>
      <c r="S23" s="56">
        <v>40000000</v>
      </c>
      <c r="T23" s="43" t="s">
        <v>82</v>
      </c>
      <c r="U23" s="55">
        <f t="shared" si="2"/>
        <v>2</v>
      </c>
      <c r="V23" s="55">
        <f>VLOOKUP(T23,$AK:$AO,5,0)</f>
        <v>1001</v>
      </c>
      <c r="W23" s="56">
        <v>6</v>
      </c>
      <c r="X23" s="43" t="s">
        <v>83</v>
      </c>
      <c r="Y23" s="55">
        <f t="shared" si="4"/>
        <v>2</v>
      </c>
      <c r="Z23" s="55">
        <f>VLOOKUP(X23,$AK:$AO,5,0)</f>
        <v>1002</v>
      </c>
      <c r="AA23" s="56">
        <v>6</v>
      </c>
      <c r="AB23" s="43" t="s">
        <v>88</v>
      </c>
      <c r="AC23" s="55">
        <f t="shared" si="6"/>
        <v>2</v>
      </c>
      <c r="AD23" s="55">
        <f>VLOOKUP(AB23,$AK:$AO,5,0)</f>
        <v>1004</v>
      </c>
      <c r="AE23" s="56">
        <v>4</v>
      </c>
      <c r="AF23" s="43" t="s">
        <v>81</v>
      </c>
      <c r="AG23" s="55">
        <f t="shared" si="8"/>
        <v>1</v>
      </c>
      <c r="AH23" s="55">
        <f>VLOOKUP(AF23,$AK:$AO,5,0)</f>
        <v>1</v>
      </c>
      <c r="AI23" s="56">
        <f>AI17*3</f>
        <v>300</v>
      </c>
      <c r="AJ23" s="6">
        <v>3780000</v>
      </c>
      <c r="AK23" s="64" t="str">
        <f>'充值活动|RMBActivities'!AU23</f>
        <v>红包【恭】</v>
      </c>
      <c r="AL23" s="64">
        <f>'充值活动|RMBActivities'!AV23</f>
        <v>1</v>
      </c>
      <c r="AM23" s="64">
        <f>'充值活动|RMBActivities'!AW23</f>
        <v>10</v>
      </c>
      <c r="AN23" s="64">
        <f>'充值活动|RMBActivities'!AX23</f>
        <v>2</v>
      </c>
      <c r="AO23" s="64">
        <f>'充值活动|RMBActivities'!AY23</f>
        <v>1301</v>
      </c>
    </row>
    <row r="24" spans="14:41" x14ac:dyDescent="0.35">
      <c r="N24" s="123"/>
      <c r="O24" s="44" t="str">
        <f t="shared" si="10"/>
        <v>第2次10%</v>
      </c>
      <c r="P24" s="45" t="s">
        <v>80</v>
      </c>
      <c r="Q24" s="57">
        <f t="shared" si="0"/>
        <v>1</v>
      </c>
      <c r="R24" s="57">
        <f>VLOOKUP(P24,$AK:$AO,5,0)</f>
        <v>2</v>
      </c>
      <c r="S24" s="58">
        <f>S23*1.1</f>
        <v>44000000</v>
      </c>
      <c r="T24" s="45" t="s">
        <v>82</v>
      </c>
      <c r="U24" s="57">
        <f t="shared" si="2"/>
        <v>2</v>
      </c>
      <c r="V24" s="57">
        <f>VLOOKUP(T24,$AK:$AO,5,0)</f>
        <v>1001</v>
      </c>
      <c r="W24" s="58">
        <v>8</v>
      </c>
      <c r="X24" s="45" t="s">
        <v>83</v>
      </c>
      <c r="Y24" s="57">
        <f t="shared" si="4"/>
        <v>2</v>
      </c>
      <c r="Z24" s="57">
        <f>VLOOKUP(X24,$AK:$AO,5,0)</f>
        <v>1002</v>
      </c>
      <c r="AA24" s="58">
        <v>8</v>
      </c>
      <c r="AB24" s="45" t="s">
        <v>84</v>
      </c>
      <c r="AC24" s="57">
        <f t="shared" si="6"/>
        <v>2</v>
      </c>
      <c r="AD24" s="57">
        <f>VLOOKUP(AB24,$AK:$AO,5,0)</f>
        <v>1003</v>
      </c>
      <c r="AE24" s="58">
        <v>4</v>
      </c>
      <c r="AF24" s="45" t="s">
        <v>81</v>
      </c>
      <c r="AG24" s="57">
        <f t="shared" si="8"/>
        <v>1</v>
      </c>
      <c r="AH24" s="57">
        <f>VLOOKUP(AF24,$AK:$AO,5,0)</f>
        <v>1</v>
      </c>
      <c r="AI24" s="58">
        <f t="shared" ref="AI24:AI27" si="18">AI18*3</f>
        <v>420</v>
      </c>
      <c r="AK24" s="64" t="str">
        <f>'充值活动|RMBActivities'!AU24</f>
        <v>红包【喜】</v>
      </c>
      <c r="AL24" s="64">
        <f>'充值活动|RMBActivities'!AV24</f>
        <v>1</v>
      </c>
      <c r="AM24" s="64">
        <f>'充值活动|RMBActivities'!AW24</f>
        <v>10</v>
      </c>
      <c r="AN24" s="64">
        <f>'充值活动|RMBActivities'!AX24</f>
        <v>2</v>
      </c>
      <c r="AO24" s="64">
        <f>'充值活动|RMBActivities'!AY24</f>
        <v>1302</v>
      </c>
    </row>
    <row r="25" spans="14:41" x14ac:dyDescent="0.35">
      <c r="N25" s="123"/>
      <c r="O25" s="44" t="str">
        <f t="shared" si="10"/>
        <v>第2次5%</v>
      </c>
      <c r="P25" s="45" t="s">
        <v>80</v>
      </c>
      <c r="Q25" s="57">
        <f t="shared" si="0"/>
        <v>1</v>
      </c>
      <c r="R25" s="57">
        <f>VLOOKUP(P25,$AK:$AO,5,0)</f>
        <v>2</v>
      </c>
      <c r="S25" s="58">
        <f>S23*1.05</f>
        <v>42000000</v>
      </c>
      <c r="T25" s="45" t="s">
        <v>82</v>
      </c>
      <c r="U25" s="57">
        <f t="shared" si="2"/>
        <v>2</v>
      </c>
      <c r="V25" s="57">
        <f>VLOOKUP(T25,$AK:$AO,5,0)</f>
        <v>1001</v>
      </c>
      <c r="W25" s="58">
        <v>6</v>
      </c>
      <c r="X25" s="45" t="s">
        <v>83</v>
      </c>
      <c r="Y25" s="57">
        <f t="shared" si="4"/>
        <v>2</v>
      </c>
      <c r="Z25" s="57">
        <f>VLOOKUP(X25,$AK:$AO,5,0)</f>
        <v>1002</v>
      </c>
      <c r="AA25" s="58">
        <v>6</v>
      </c>
      <c r="AB25" s="45" t="s">
        <v>88</v>
      </c>
      <c r="AC25" s="57">
        <f t="shared" si="6"/>
        <v>2</v>
      </c>
      <c r="AD25" s="57">
        <f>VLOOKUP(AB25,$AK:$AO,5,0)</f>
        <v>1004</v>
      </c>
      <c r="AE25" s="58">
        <v>4</v>
      </c>
      <c r="AF25" s="45" t="s">
        <v>81</v>
      </c>
      <c r="AG25" s="57">
        <f t="shared" si="8"/>
        <v>1</v>
      </c>
      <c r="AH25" s="57">
        <f>VLOOKUP(AF25,$AK:$AO,5,0)</f>
        <v>1</v>
      </c>
      <c r="AI25" s="58">
        <f t="shared" si="18"/>
        <v>360</v>
      </c>
      <c r="AK25" s="64" t="str">
        <f>'充值活动|RMBActivities'!AU25</f>
        <v>红包【发】</v>
      </c>
      <c r="AL25" s="64">
        <f>'充值活动|RMBActivities'!AV25</f>
        <v>1</v>
      </c>
      <c r="AM25" s="64">
        <f>'充值活动|RMBActivities'!AW25</f>
        <v>10</v>
      </c>
      <c r="AN25" s="64">
        <f>'充值活动|RMBActivities'!AX25</f>
        <v>2</v>
      </c>
      <c r="AO25" s="64">
        <f>'充值活动|RMBActivities'!AY25</f>
        <v>1303</v>
      </c>
    </row>
    <row r="26" spans="14:41" x14ac:dyDescent="0.35">
      <c r="N26" s="123"/>
      <c r="O26" s="44" t="str">
        <f t="shared" si="10"/>
        <v>第3次20%</v>
      </c>
      <c r="P26" s="45" t="s">
        <v>80</v>
      </c>
      <c r="Q26" s="57">
        <f t="shared" si="0"/>
        <v>1</v>
      </c>
      <c r="R26" s="57">
        <f>VLOOKUP(P26,$AK:$AO,5,0)</f>
        <v>2</v>
      </c>
      <c r="S26" s="58">
        <f>S23*1.2</f>
        <v>48000000</v>
      </c>
      <c r="T26" s="45" t="s">
        <v>82</v>
      </c>
      <c r="U26" s="57">
        <f t="shared" si="2"/>
        <v>2</v>
      </c>
      <c r="V26" s="57">
        <f>VLOOKUP(T26,$AK:$AO,5,0)</f>
        <v>1001</v>
      </c>
      <c r="W26" s="58">
        <v>10</v>
      </c>
      <c r="X26" s="45" t="s">
        <v>83</v>
      </c>
      <c r="Y26" s="57">
        <f t="shared" si="4"/>
        <v>2</v>
      </c>
      <c r="Z26" s="57">
        <f>VLOOKUP(X26,$AK:$AO,5,0)</f>
        <v>1002</v>
      </c>
      <c r="AA26" s="58">
        <v>10</v>
      </c>
      <c r="AB26" s="45" t="s">
        <v>84</v>
      </c>
      <c r="AC26" s="57">
        <f t="shared" si="6"/>
        <v>2</v>
      </c>
      <c r="AD26" s="57">
        <f>VLOOKUP(AB26,$AK:$AO,5,0)</f>
        <v>1003</v>
      </c>
      <c r="AE26" s="58">
        <v>5</v>
      </c>
      <c r="AF26" s="45" t="s">
        <v>81</v>
      </c>
      <c r="AG26" s="57">
        <f t="shared" si="8"/>
        <v>1</v>
      </c>
      <c r="AH26" s="57">
        <f>VLOOKUP(AF26,$AK:$AO,5,0)</f>
        <v>1</v>
      </c>
      <c r="AI26" s="58">
        <f t="shared" si="18"/>
        <v>480</v>
      </c>
      <c r="AK26" s="64" t="str">
        <f>'充值活动|RMBActivities'!AU26</f>
        <v>红包【财】</v>
      </c>
      <c r="AL26" s="64">
        <f>'充值活动|RMBActivities'!AV26</f>
        <v>1</v>
      </c>
      <c r="AM26" s="64">
        <f>'充值活动|RMBActivities'!AW26</f>
        <v>10</v>
      </c>
      <c r="AN26" s="64">
        <f>'充值活动|RMBActivities'!AX26</f>
        <v>2</v>
      </c>
      <c r="AO26" s="64">
        <f>'充值活动|RMBActivities'!AY26</f>
        <v>1304</v>
      </c>
    </row>
    <row r="27" spans="14:41" x14ac:dyDescent="0.35">
      <c r="N27" s="123"/>
      <c r="O27" s="44" t="str">
        <f t="shared" si="10"/>
        <v>第3次10%</v>
      </c>
      <c r="P27" s="45" t="s">
        <v>80</v>
      </c>
      <c r="Q27" s="57">
        <f t="shared" si="0"/>
        <v>1</v>
      </c>
      <c r="R27" s="57">
        <f>VLOOKUP(P27,$AK:$AO,5,0)</f>
        <v>2</v>
      </c>
      <c r="S27" s="58">
        <f>S23*1.1</f>
        <v>44000000</v>
      </c>
      <c r="T27" s="45" t="s">
        <v>82</v>
      </c>
      <c r="U27" s="57">
        <f t="shared" si="2"/>
        <v>2</v>
      </c>
      <c r="V27" s="57">
        <f>VLOOKUP(T27,$AK:$AO,5,0)</f>
        <v>1001</v>
      </c>
      <c r="W27" s="58">
        <v>8</v>
      </c>
      <c r="X27" s="45" t="s">
        <v>83</v>
      </c>
      <c r="Y27" s="57">
        <f t="shared" si="4"/>
        <v>2</v>
      </c>
      <c r="Z27" s="57">
        <f>VLOOKUP(X27,$AK:$AO,5,0)</f>
        <v>1002</v>
      </c>
      <c r="AA27" s="58">
        <v>8</v>
      </c>
      <c r="AB27" s="45" t="s">
        <v>88</v>
      </c>
      <c r="AC27" s="57">
        <f t="shared" si="6"/>
        <v>2</v>
      </c>
      <c r="AD27" s="57">
        <f>VLOOKUP(AB27,$AK:$AO,5,0)</f>
        <v>1004</v>
      </c>
      <c r="AE27" s="58">
        <v>5</v>
      </c>
      <c r="AF27" s="45" t="s">
        <v>81</v>
      </c>
      <c r="AG27" s="57">
        <f t="shared" si="8"/>
        <v>1</v>
      </c>
      <c r="AH27" s="57">
        <f>VLOOKUP(AF27,$AK:$AO,5,0)</f>
        <v>1</v>
      </c>
      <c r="AI27" s="58">
        <f t="shared" si="18"/>
        <v>420</v>
      </c>
      <c r="AK27" s="64" t="str">
        <f>'充值活动|RMBActivities'!AU27</f>
        <v>双轮</v>
      </c>
      <c r="AL27" s="64">
        <f>'充值活动|RMBActivities'!AV27</f>
        <v>100</v>
      </c>
      <c r="AM27" s="64">
        <f>'充值活动|RMBActivities'!AW27</f>
        <v>1000</v>
      </c>
      <c r="AN27" s="64">
        <f>'充值活动|RMBActivities'!AX27</f>
        <v>2</v>
      </c>
      <c r="AO27" s="64">
        <f>'充值活动|RMBActivities'!AY27</f>
        <v>1500</v>
      </c>
    </row>
    <row r="28" spans="14:41" x14ac:dyDescent="0.35">
      <c r="N28" s="124"/>
      <c r="O28" s="46" t="str">
        <f t="shared" si="10"/>
        <v>再得一份</v>
      </c>
      <c r="P28" s="47" t="str">
        <f>P23</f>
        <v>金币</v>
      </c>
      <c r="Q28" s="59">
        <f t="shared" si="0"/>
        <v>1</v>
      </c>
      <c r="R28" s="59">
        <f t="shared" ref="R28" si="19">VLOOKUP(P28,$AK:$AO,5,0)</f>
        <v>2</v>
      </c>
      <c r="S28" s="60">
        <f>S23</f>
        <v>40000000</v>
      </c>
      <c r="T28" s="47" t="str">
        <f>T23</f>
        <v>锁定</v>
      </c>
      <c r="U28" s="59">
        <f t="shared" si="2"/>
        <v>2</v>
      </c>
      <c r="V28" s="59">
        <f t="shared" ref="V28" si="20">VLOOKUP(T28,$AK:$AO,5,0)</f>
        <v>1001</v>
      </c>
      <c r="W28" s="60">
        <f>W23</f>
        <v>6</v>
      </c>
      <c r="X28" s="47" t="str">
        <f>X23</f>
        <v>冰冻</v>
      </c>
      <c r="Y28" s="59">
        <f t="shared" si="4"/>
        <v>2</v>
      </c>
      <c r="Z28" s="59">
        <f t="shared" ref="Z28" si="21">VLOOKUP(X28,$AK:$AO,5,0)</f>
        <v>1002</v>
      </c>
      <c r="AA28" s="60">
        <f>AA23</f>
        <v>6</v>
      </c>
      <c r="AB28" s="47" t="str">
        <f>AB23</f>
        <v>召唤</v>
      </c>
      <c r="AC28" s="59">
        <f t="shared" si="6"/>
        <v>2</v>
      </c>
      <c r="AD28" s="59">
        <f t="shared" ref="AD28" si="22">VLOOKUP(AB28,$AK:$AO,5,0)</f>
        <v>1004</v>
      </c>
      <c r="AE28" s="60">
        <f>AE23</f>
        <v>4</v>
      </c>
      <c r="AF28" s="47" t="str">
        <f>AF23</f>
        <v>钻石</v>
      </c>
      <c r="AG28" s="59">
        <f t="shared" si="8"/>
        <v>1</v>
      </c>
      <c r="AH28" s="59">
        <f t="shared" ref="AH28" si="23">VLOOKUP(AF28,$AK:$AO,5,0)</f>
        <v>1</v>
      </c>
      <c r="AI28" s="60">
        <f>AI23</f>
        <v>300</v>
      </c>
      <c r="AK28" s="64"/>
      <c r="AL28" s="64"/>
      <c r="AM28" s="64"/>
      <c r="AN28" s="64"/>
      <c r="AO28" s="64"/>
    </row>
    <row r="29" spans="14:41" x14ac:dyDescent="0.35">
      <c r="AK29" s="64"/>
      <c r="AL29" s="64"/>
      <c r="AM29" s="64"/>
      <c r="AN29" s="64"/>
      <c r="AO29" s="64"/>
    </row>
    <row r="30" spans="14:41" x14ac:dyDescent="0.35">
      <c r="AK30" s="64"/>
      <c r="AL30" s="64"/>
      <c r="AM30" s="64"/>
      <c r="AN30" s="64"/>
      <c r="AO30" s="64"/>
    </row>
    <row r="31" spans="14:41" x14ac:dyDescent="0.35">
      <c r="AK31" s="64"/>
      <c r="AL31" s="64"/>
      <c r="AM31" s="64"/>
      <c r="AN31" s="64"/>
      <c r="AO31" s="64"/>
    </row>
    <row r="32" spans="14:41" x14ac:dyDescent="0.35">
      <c r="AK32" s="64"/>
      <c r="AL32" s="64"/>
      <c r="AM32" s="64"/>
      <c r="AN32" s="64"/>
      <c r="AO32" s="64"/>
    </row>
    <row r="33" spans="37:41" x14ac:dyDescent="0.35">
      <c r="AK33" s="64"/>
      <c r="AL33" s="64"/>
      <c r="AM33" s="64"/>
      <c r="AN33" s="64"/>
      <c r="AO33" s="64"/>
    </row>
    <row r="34" spans="37:41" x14ac:dyDescent="0.35">
      <c r="AK34" s="64"/>
      <c r="AL34" s="64"/>
      <c r="AM34" s="64"/>
      <c r="AN34" s="64"/>
      <c r="AO34" s="64"/>
    </row>
    <row r="35" spans="37:41" x14ac:dyDescent="0.35">
      <c r="AK35" s="64"/>
      <c r="AL35" s="64"/>
      <c r="AM35" s="64"/>
      <c r="AN35" s="64"/>
      <c r="AO35" s="64"/>
    </row>
    <row r="36" spans="37:41" x14ac:dyDescent="0.35">
      <c r="AK36" s="64"/>
      <c r="AL36" s="64"/>
      <c r="AM36" s="64"/>
      <c r="AN36" s="64"/>
      <c r="AO36" s="64"/>
    </row>
    <row r="37" spans="37:41" x14ac:dyDescent="0.35">
      <c r="AK37" s="64"/>
      <c r="AL37" s="64"/>
      <c r="AM37" s="64"/>
      <c r="AN37" s="64"/>
      <c r="AO37" s="64"/>
    </row>
    <row r="38" spans="37:41" x14ac:dyDescent="0.35">
      <c r="AK38" s="64"/>
      <c r="AL38" s="64"/>
      <c r="AM38" s="64"/>
      <c r="AN38" s="64"/>
      <c r="AO38" s="64"/>
    </row>
    <row r="39" spans="37:41" x14ac:dyDescent="0.35">
      <c r="AK39" s="64"/>
      <c r="AL39" s="64"/>
      <c r="AM39" s="64"/>
      <c r="AN39" s="64"/>
      <c r="AO39" s="64"/>
    </row>
    <row r="40" spans="37:41" x14ac:dyDescent="0.35">
      <c r="AK40" s="64"/>
      <c r="AL40" s="64"/>
      <c r="AM40" s="64"/>
      <c r="AN40" s="64"/>
      <c r="AO40" s="64"/>
    </row>
    <row r="41" spans="37:41" x14ac:dyDescent="0.35">
      <c r="AK41" s="64"/>
      <c r="AL41" s="64"/>
      <c r="AM41" s="64"/>
      <c r="AN41" s="64"/>
      <c r="AO41" s="64"/>
    </row>
  </sheetData>
  <mergeCells count="5">
    <mergeCell ref="P3:AI3"/>
    <mergeCell ref="N5:N10"/>
    <mergeCell ref="N11:N16"/>
    <mergeCell ref="N17:N22"/>
    <mergeCell ref="N23:N28"/>
  </mergeCells>
  <phoneticPr fontId="21" type="noConversion"/>
  <conditionalFormatting sqref="Q4">
    <cfRule type="containsText" dxfId="139" priority="52" operator="containsText" text=" ">
      <formula>NOT(ISERROR(SEARCH(" ",Q4)))</formula>
    </cfRule>
  </conditionalFormatting>
  <conditionalFormatting sqref="U4">
    <cfRule type="containsText" dxfId="138" priority="53" operator="containsText" text=" ">
      <formula>NOT(ISERROR(SEARCH(" ",U4)))</formula>
    </cfRule>
  </conditionalFormatting>
  <conditionalFormatting sqref="Y4">
    <cfRule type="containsText" dxfId="137" priority="24" operator="containsText" text=" ">
      <formula>NOT(ISERROR(SEARCH(" ",Y4)))</formula>
    </cfRule>
  </conditionalFormatting>
  <conditionalFormatting sqref="AC4">
    <cfRule type="containsText" dxfId="136" priority="23" operator="containsText" text=" ">
      <formula>NOT(ISERROR(SEARCH(" ",AC4)))</formula>
    </cfRule>
  </conditionalFormatting>
  <conditionalFormatting sqref="AG4">
    <cfRule type="containsText" dxfId="135" priority="22" operator="containsText" text=" ">
      <formula>NOT(ISERROR(SEARCH(" ",AG4)))</formula>
    </cfRule>
  </conditionalFormatting>
  <conditionalFormatting sqref="AJ5">
    <cfRule type="containsText" dxfId="134" priority="34" operator="containsText" text=" ">
      <formula>NOT(ISERROR(SEARCH(" ",AJ5)))</formula>
    </cfRule>
  </conditionalFormatting>
  <conditionalFormatting sqref="AO12">
    <cfRule type="containsText" dxfId="133" priority="46" operator="containsText" text=" ">
      <formula>NOT(ISERROR(SEARCH(" ",AO12)))</formula>
    </cfRule>
  </conditionalFormatting>
  <conditionalFormatting sqref="P16">
    <cfRule type="containsText" dxfId="132" priority="40" operator="containsText" text=" ">
      <formula>NOT(ISERROR(SEARCH(" ",P16)))</formula>
    </cfRule>
  </conditionalFormatting>
  <conditionalFormatting sqref="Q16:S16">
    <cfRule type="containsText" dxfId="131" priority="41" operator="containsText" text=" ">
      <formula>NOT(ISERROR(SEARCH(" ",Q16)))</formula>
    </cfRule>
  </conditionalFormatting>
  <conditionalFormatting sqref="AE16">
    <cfRule type="containsText" dxfId="130" priority="12" operator="containsText" text=" ">
      <formula>NOT(ISERROR(SEARCH(" ",AE16)))</formula>
    </cfRule>
  </conditionalFormatting>
  <conditionalFormatting sqref="AF16">
    <cfRule type="containsText" dxfId="129" priority="18" operator="containsText" text=" ">
      <formula>NOT(ISERROR(SEARCH(" ",AF16)))</formula>
    </cfRule>
  </conditionalFormatting>
  <conditionalFormatting sqref="AG16:AI16">
    <cfRule type="containsText" dxfId="128" priority="19" operator="containsText" text=" ">
      <formula>NOT(ISERROR(SEARCH(" ",AG16)))</formula>
    </cfRule>
  </conditionalFormatting>
  <conditionalFormatting sqref="AK17:AL17">
    <cfRule type="containsText" dxfId="127" priority="45" operator="containsText" text=" ">
      <formula>NOT(ISERROR(SEARCH(" ",AK17)))</formula>
    </cfRule>
  </conditionalFormatting>
  <conditionalFormatting sqref="AK18:AL18">
    <cfRule type="containsText" dxfId="126" priority="44" operator="containsText" text=" ">
      <formula>NOT(ISERROR(SEARCH(" ",AK18)))</formula>
    </cfRule>
  </conditionalFormatting>
  <conditionalFormatting sqref="P22">
    <cfRule type="containsText" dxfId="125" priority="37" operator="containsText" text=" ">
      <formula>NOT(ISERROR(SEARCH(" ",P22)))</formula>
    </cfRule>
  </conditionalFormatting>
  <conditionalFormatting sqref="Q22:S22">
    <cfRule type="containsText" dxfId="124" priority="38" operator="containsText" text=" ">
      <formula>NOT(ISERROR(SEARCH(" ",Q22)))</formula>
    </cfRule>
  </conditionalFormatting>
  <conditionalFormatting sqref="AE22">
    <cfRule type="containsText" dxfId="123" priority="11" operator="containsText" text=" ">
      <formula>NOT(ISERROR(SEARCH(" ",AE22)))</formula>
    </cfRule>
  </conditionalFormatting>
  <conditionalFormatting sqref="AF22">
    <cfRule type="containsText" dxfId="122" priority="16" operator="containsText" text=" ">
      <formula>NOT(ISERROR(SEARCH(" ",AF22)))</formula>
    </cfRule>
  </conditionalFormatting>
  <conditionalFormatting sqref="AG22:AI22">
    <cfRule type="containsText" dxfId="121" priority="17" operator="containsText" text=" ">
      <formula>NOT(ISERROR(SEARCH(" ",AG22)))</formula>
    </cfRule>
  </conditionalFormatting>
  <conditionalFormatting sqref="P28">
    <cfRule type="containsText" dxfId="120" priority="35" operator="containsText" text=" ">
      <formula>NOT(ISERROR(SEARCH(" ",P28)))</formula>
    </cfRule>
  </conditionalFormatting>
  <conditionalFormatting sqref="Q28:S28">
    <cfRule type="containsText" dxfId="119" priority="36" operator="containsText" text=" ">
      <formula>NOT(ISERROR(SEARCH(" ",Q28)))</formula>
    </cfRule>
  </conditionalFormatting>
  <conditionalFormatting sqref="AE28">
    <cfRule type="containsText" dxfId="118" priority="10" operator="containsText" text=" ">
      <formula>NOT(ISERROR(SEARCH(" ",AE28)))</formula>
    </cfRule>
  </conditionalFormatting>
  <conditionalFormatting sqref="AF28">
    <cfRule type="containsText" dxfId="117" priority="14" operator="containsText" text=" ">
      <formula>NOT(ISERROR(SEARCH(" ",AF28)))</formula>
    </cfRule>
  </conditionalFormatting>
  <conditionalFormatting sqref="AG28:AI28">
    <cfRule type="containsText" dxfId="116" priority="15" operator="containsText" text=" ">
      <formula>NOT(ISERROR(SEARCH(" ",AG28)))</formula>
    </cfRule>
  </conditionalFormatting>
  <conditionalFormatting sqref="AK48:AO48">
    <cfRule type="containsText" dxfId="115" priority="42" operator="containsText" text=" ">
      <formula>NOT(ISERROR(SEARCH(" ",AK48)))</formula>
    </cfRule>
  </conditionalFormatting>
  <conditionalFormatting sqref="AE5:AE10">
    <cfRule type="containsText" dxfId="114" priority="13" operator="containsText" text=" ">
      <formula>NOT(ISERROR(SEARCH(" ",AE5)))</formula>
    </cfRule>
  </conditionalFormatting>
  <conditionalFormatting sqref="AE11:AE15">
    <cfRule type="containsText" dxfId="113" priority="7" operator="containsText" text=" ">
      <formula>NOT(ISERROR(SEARCH(" ",AE11)))</formula>
    </cfRule>
  </conditionalFormatting>
  <conditionalFormatting sqref="AE17:AE21">
    <cfRule type="containsText" dxfId="112" priority="4" operator="containsText" text=" ">
      <formula>NOT(ISERROR(SEARCH(" ",AE17)))</formula>
    </cfRule>
  </conditionalFormatting>
  <conditionalFormatting sqref="AE23:AE27">
    <cfRule type="containsText" dxfId="111" priority="1" operator="containsText" text=" ">
      <formula>NOT(ISERROR(SEARCH(" ",AE23)))</formula>
    </cfRule>
  </conditionalFormatting>
  <conditionalFormatting sqref="AM8:AM11">
    <cfRule type="containsText" dxfId="110" priority="47" operator="containsText" text=" ">
      <formula>NOT(ISERROR(SEARCH(" ",AM8)))</formula>
    </cfRule>
  </conditionalFormatting>
  <conditionalFormatting sqref="AO8:AO11">
    <cfRule type="containsText" dxfId="109" priority="48" operator="containsText" text=" ">
      <formula>NOT(ISERROR(SEARCH(" ",AO8)))</formula>
    </cfRule>
  </conditionalFormatting>
  <conditionalFormatting sqref="AK12:AN12 AM17:AO18 AN8:AN11 AK8:AL11 AK4:AO7">
    <cfRule type="containsText" dxfId="108" priority="49" operator="containsText" text=" ">
      <formula>NOT(ISERROR(SEARCH(" ",AK4)))</formula>
    </cfRule>
  </conditionalFormatting>
  <conditionalFormatting sqref="P5:P15 P17:P21 P23:P27">
    <cfRule type="containsText" dxfId="107" priority="50" operator="containsText" text=" ">
      <formula>NOT(ISERROR(SEARCH(" ",P5)))</formula>
    </cfRule>
  </conditionalFormatting>
  <conditionalFormatting sqref="Q5:S15 Q17:S21 Q23:S27">
    <cfRule type="containsText" dxfId="106" priority="51" operator="containsText" text=" ">
      <formula>NOT(ISERROR(SEARCH(" ",Q5)))</formula>
    </cfRule>
  </conditionalFormatting>
  <conditionalFormatting sqref="T5:T10 X5:X10 AB5:AB10">
    <cfRule type="containsText" dxfId="105" priority="32" operator="containsText" text=" ">
      <formula>NOT(ISERROR(SEARCH(" ",T5)))</formula>
    </cfRule>
  </conditionalFormatting>
  <conditionalFormatting sqref="AC5:AD10 U5:W10 Y5:AA10">
    <cfRule type="containsText" dxfId="104" priority="33" operator="containsText" text=" ">
      <formula>NOT(ISERROR(SEARCH(" ",U5)))</formula>
    </cfRule>
  </conditionalFormatting>
  <conditionalFormatting sqref="AF5:AF15 AF17:AF21 AF23:AF27">
    <cfRule type="containsText" dxfId="103" priority="20" operator="containsText" text=" ">
      <formula>NOT(ISERROR(SEARCH(" ",AF5)))</formula>
    </cfRule>
  </conditionalFormatting>
  <conditionalFormatting sqref="AG5:AI15 AG17:AI21 AG23:AI27">
    <cfRule type="containsText" dxfId="102" priority="21" operator="containsText" text=" ">
      <formula>NOT(ISERROR(SEARCH(" ",AG5)))</formula>
    </cfRule>
  </conditionalFormatting>
  <conditionalFormatting sqref="T11:T15 X11:X15 AB11:AB15">
    <cfRule type="containsText" dxfId="101" priority="8" operator="containsText" text=" ">
      <formula>NOT(ISERROR(SEARCH(" ",T11)))</formula>
    </cfRule>
  </conditionalFormatting>
  <conditionalFormatting sqref="AC11:AD15 U11:W15 Y11:AA15">
    <cfRule type="containsText" dxfId="100" priority="9" operator="containsText" text=" ">
      <formula>NOT(ISERROR(SEARCH(" ",U11)))</formula>
    </cfRule>
  </conditionalFormatting>
  <conditionalFormatting sqref="AK13:AO16 AK28:AO31 AK19:AO24">
    <cfRule type="containsText" dxfId="99" priority="39" operator="containsText" text=" ">
      <formula>NOT(ISERROR(SEARCH(" ",AK13)))</formula>
    </cfRule>
  </conditionalFormatting>
  <conditionalFormatting sqref="T16 X16 AB16">
    <cfRule type="containsText" dxfId="98" priority="30" operator="containsText" text=" ">
      <formula>NOT(ISERROR(SEARCH(" ",T16)))</formula>
    </cfRule>
  </conditionalFormatting>
  <conditionalFormatting sqref="U16:W16 Y16:AA16 AC16:AD16">
    <cfRule type="containsText" dxfId="97" priority="31" operator="containsText" text=" ">
      <formula>NOT(ISERROR(SEARCH(" ",U16)))</formula>
    </cfRule>
  </conditionalFormatting>
  <conditionalFormatting sqref="T17:T21 X17:X21 AB17:AB21">
    <cfRule type="containsText" dxfId="96" priority="5" operator="containsText" text=" ">
      <formula>NOT(ISERROR(SEARCH(" ",T17)))</formula>
    </cfRule>
  </conditionalFormatting>
  <conditionalFormatting sqref="AC17:AD21 U17:W21 Y17:AA21">
    <cfRule type="containsText" dxfId="95" priority="6" operator="containsText" text=" ">
      <formula>NOT(ISERROR(SEARCH(" ",U17)))</formula>
    </cfRule>
  </conditionalFormatting>
  <conditionalFormatting sqref="T22 X22 AB22">
    <cfRule type="containsText" dxfId="94" priority="28" operator="containsText" text=" ">
      <formula>NOT(ISERROR(SEARCH(" ",T22)))</formula>
    </cfRule>
  </conditionalFormatting>
  <conditionalFormatting sqref="U22:W22 Y22:AA22 AC22:AD22">
    <cfRule type="containsText" dxfId="93" priority="29" operator="containsText" text=" ">
      <formula>NOT(ISERROR(SEARCH(" ",U22)))</formula>
    </cfRule>
  </conditionalFormatting>
  <conditionalFormatting sqref="T23:T27 X23:X27 AB23:AB27">
    <cfRule type="containsText" dxfId="92" priority="2" operator="containsText" text=" ">
      <formula>NOT(ISERROR(SEARCH(" ",T23)))</formula>
    </cfRule>
  </conditionalFormatting>
  <conditionalFormatting sqref="AC23:AD27 U23:W27 Y23:AA27">
    <cfRule type="containsText" dxfId="91" priority="3" operator="containsText" text=" ">
      <formula>NOT(ISERROR(SEARCH(" ",U23)))</formula>
    </cfRule>
  </conditionalFormatting>
  <conditionalFormatting sqref="AK25:AO27">
    <cfRule type="containsText" dxfId="90" priority="25" operator="containsText" text=" ">
      <formula>NOT(ISERROR(SEARCH(" ",AK25)))</formula>
    </cfRule>
  </conditionalFormatting>
  <conditionalFormatting sqref="T28 X28 AB28">
    <cfRule type="containsText" dxfId="89" priority="26" operator="containsText" text=" ">
      <formula>NOT(ISERROR(SEARCH(" ",T28)))</formula>
    </cfRule>
  </conditionalFormatting>
  <conditionalFormatting sqref="U28:W28 Y28:AA28 AC28:AD28">
    <cfRule type="containsText" dxfId="88" priority="27" operator="containsText" text=" ">
      <formula>NOT(ISERROR(SEARCH(" ",U28)))</formula>
    </cfRule>
  </conditionalFormatting>
  <conditionalFormatting sqref="AK38:AO47 AK49:AO1048576">
    <cfRule type="containsText" dxfId="87" priority="43" operator="containsText" text=" ">
      <formula>NOT(ISERROR(SEARCH(" ",AK38)))</formula>
    </cfRule>
  </conditionalFormatting>
  <pageMargins left="0.7" right="0.7" top="0.75" bottom="0.75" header="0.3" footer="0.3"/>
  <pageSetup paperSize="9" orientation="portrait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52"/>
  <sheetViews>
    <sheetView workbookViewId="0">
      <selection activeCell="AG4" sqref="AG4:AK27"/>
    </sheetView>
  </sheetViews>
  <sheetFormatPr defaultColWidth="9" defaultRowHeight="15.6" x14ac:dyDescent="0.25"/>
  <cols>
    <col min="1" max="1" width="9.88671875" style="1" customWidth="1"/>
    <col min="2" max="2" width="15.88671875" style="1" customWidth="1"/>
    <col min="3" max="3" width="14.109375" style="1" customWidth="1"/>
    <col min="4" max="4" width="11.21875" style="1" customWidth="1"/>
    <col min="5" max="5" width="30.77734375" style="1" customWidth="1"/>
    <col min="6" max="6" width="36.88671875" style="1" customWidth="1"/>
    <col min="7" max="7" width="12.33203125" style="1" customWidth="1"/>
    <col min="8" max="8" width="7.88671875" style="1" customWidth="1"/>
    <col min="9" max="9" width="9.21875" style="1" customWidth="1"/>
    <col min="10" max="10" width="5.44140625" style="1" customWidth="1"/>
    <col min="11" max="11" width="7.21875" style="1" customWidth="1"/>
    <col min="12" max="12" width="9.6640625" style="1" customWidth="1"/>
    <col min="13" max="13" width="7.88671875" style="1" customWidth="1"/>
    <col min="14" max="14" width="9.21875" style="1" customWidth="1"/>
    <col min="15" max="15" width="5.44140625" style="1" customWidth="1"/>
    <col min="16" max="16" width="7.21875" style="1" customWidth="1"/>
    <col min="17" max="18" width="9.21875" style="1" customWidth="1"/>
    <col min="19" max="19" width="5.44140625" style="1" customWidth="1"/>
    <col min="20" max="20" width="7.21875" style="1" customWidth="1"/>
    <col min="21" max="22" width="9.21875" style="1" customWidth="1"/>
    <col min="23" max="23" width="5.44140625" style="1" customWidth="1"/>
    <col min="24" max="24" width="7.21875" style="1" customWidth="1"/>
    <col min="25" max="26" width="9.21875" style="1" customWidth="1"/>
    <col min="27" max="27" width="5.44140625" style="1" customWidth="1"/>
    <col min="28" max="28" width="7.21875" style="1" customWidth="1"/>
    <col min="29" max="30" width="9.21875" style="1" customWidth="1"/>
    <col min="31" max="32" width="9" style="1"/>
    <col min="33" max="33" width="11.6640625" style="1" customWidth="1"/>
    <col min="34" max="34" width="12.21875" style="1" customWidth="1"/>
    <col min="35" max="35" width="9.21875" style="1" customWidth="1"/>
    <col min="36" max="16384" width="9" style="1"/>
  </cols>
  <sheetData>
    <row r="1" spans="1:37" x14ac:dyDescent="0.35">
      <c r="A1" s="14" t="s">
        <v>0</v>
      </c>
      <c r="B1" s="14" t="s">
        <v>0</v>
      </c>
      <c r="C1" s="14" t="s">
        <v>0</v>
      </c>
      <c r="D1" s="14" t="s">
        <v>0</v>
      </c>
      <c r="E1" s="14" t="s">
        <v>0</v>
      </c>
      <c r="F1" s="14" t="s">
        <v>0</v>
      </c>
      <c r="G1" s="15" t="s">
        <v>0</v>
      </c>
    </row>
    <row r="2" spans="1:37" x14ac:dyDescent="0.35">
      <c r="A2" s="14" t="s">
        <v>3</v>
      </c>
      <c r="B2" s="14" t="s">
        <v>3</v>
      </c>
      <c r="C2" s="14" t="s">
        <v>3</v>
      </c>
      <c r="D2" s="14" t="s">
        <v>3</v>
      </c>
      <c r="E2" s="14" t="s">
        <v>4</v>
      </c>
      <c r="F2" s="14" t="s">
        <v>4</v>
      </c>
      <c r="G2" s="15" t="s">
        <v>3</v>
      </c>
    </row>
    <row r="3" spans="1:37" ht="16.2" x14ac:dyDescent="0.4">
      <c r="A3" s="14" t="s">
        <v>153</v>
      </c>
      <c r="B3" s="14" t="s">
        <v>38</v>
      </c>
      <c r="C3" s="14" t="s">
        <v>154</v>
      </c>
      <c r="D3" s="14" t="s">
        <v>155</v>
      </c>
      <c r="E3" s="14" t="s">
        <v>156</v>
      </c>
      <c r="F3" s="14" t="s">
        <v>157</v>
      </c>
      <c r="G3" s="15" t="s">
        <v>158</v>
      </c>
      <c r="I3" s="18" t="s">
        <v>159</v>
      </c>
      <c r="J3" s="19"/>
      <c r="K3" s="19"/>
      <c r="L3" s="19"/>
      <c r="N3" s="111" t="s">
        <v>160</v>
      </c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</row>
    <row r="4" spans="1:37" ht="92.4" x14ac:dyDescent="0.25">
      <c r="A4" s="4" t="s">
        <v>161</v>
      </c>
      <c r="B4" s="4" t="s">
        <v>53</v>
      </c>
      <c r="C4" s="4" t="s">
        <v>162</v>
      </c>
      <c r="D4" s="4" t="s">
        <v>163</v>
      </c>
      <c r="E4" s="4" t="s">
        <v>164</v>
      </c>
      <c r="F4" s="4" t="s">
        <v>165</v>
      </c>
      <c r="G4" s="16" t="s">
        <v>166</v>
      </c>
      <c r="I4" s="20" t="s">
        <v>167</v>
      </c>
      <c r="J4" s="21" t="s">
        <v>65</v>
      </c>
      <c r="K4" s="22" t="s">
        <v>66</v>
      </c>
      <c r="L4" s="23" t="s">
        <v>67</v>
      </c>
      <c r="M4" s="10" t="s">
        <v>168</v>
      </c>
      <c r="N4" s="20" t="s">
        <v>169</v>
      </c>
      <c r="O4" s="21" t="s">
        <v>65</v>
      </c>
      <c r="P4" s="22" t="s">
        <v>66</v>
      </c>
      <c r="Q4" s="23" t="s">
        <v>67</v>
      </c>
      <c r="R4" s="24" t="s">
        <v>68</v>
      </c>
      <c r="S4" s="25" t="s">
        <v>65</v>
      </c>
      <c r="T4" s="26" t="s">
        <v>66</v>
      </c>
      <c r="U4" s="26" t="s">
        <v>67</v>
      </c>
      <c r="V4" s="20" t="s">
        <v>69</v>
      </c>
      <c r="W4" s="21" t="s">
        <v>65</v>
      </c>
      <c r="X4" s="22" t="s">
        <v>66</v>
      </c>
      <c r="Y4" s="23" t="s">
        <v>67</v>
      </c>
      <c r="Z4" s="28" t="s">
        <v>70</v>
      </c>
      <c r="AA4" s="25" t="s">
        <v>65</v>
      </c>
      <c r="AB4" s="26" t="s">
        <v>66</v>
      </c>
      <c r="AC4" s="29" t="s">
        <v>67</v>
      </c>
      <c r="AD4" s="10" t="s">
        <v>170</v>
      </c>
      <c r="AE4" s="1" t="s">
        <v>75</v>
      </c>
      <c r="AG4" s="30">
        <f>'充值活动|RMBActivities'!AU4</f>
        <v>0</v>
      </c>
      <c r="AH4" s="30" t="str">
        <f>'充值活动|RMBActivities'!AV4</f>
        <v>人民币价值</v>
      </c>
      <c r="AI4" s="30" t="str">
        <f>'充值活动|RMBActivities'!AW4</f>
        <v>价值
钻石价值</v>
      </c>
      <c r="AJ4" s="30" t="str">
        <f>'充值活动|RMBActivities'!AX4</f>
        <v>物品类型</v>
      </c>
      <c r="AK4" s="30" t="str">
        <f>'充值活动|RMBActivities'!AY4</f>
        <v>id</v>
      </c>
    </row>
    <row r="5" spans="1:37" ht="16.2" x14ac:dyDescent="0.4">
      <c r="A5" s="1">
        <v>2</v>
      </c>
      <c r="B5" s="1">
        <v>30</v>
      </c>
      <c r="C5" s="1">
        <v>1202</v>
      </c>
      <c r="D5" s="1">
        <v>30</v>
      </c>
      <c r="E5" s="17" t="str">
        <f t="shared" ref="E5" si="0">J5&amp;"|"&amp;K5&amp;"|"&amp;L5</f>
        <v>1|2|500000</v>
      </c>
      <c r="F5" s="17" t="str">
        <f>O5&amp;"|"&amp;P5&amp;"|"&amp;Q5&amp;","&amp;S5&amp;"|"&amp;T5&amp;"|"&amp;U5&amp;","&amp;W5&amp;"|"&amp;X5&amp;"|"&amp;Y5&amp;","&amp;AA5&amp;"|"&amp;AB5&amp;"|"&amp;AC5</f>
        <v>1|1|10,1|2|200000,2|1001|5,2|1002|5</v>
      </c>
      <c r="G5" s="1">
        <v>1</v>
      </c>
      <c r="I5" s="7" t="s">
        <v>80</v>
      </c>
      <c r="J5" s="1">
        <f>VLOOKUP(I5,$AG:$AK,4,0)</f>
        <v>1</v>
      </c>
      <c r="K5" s="1">
        <f>VLOOKUP(I5,$AG:$AK,5,0)</f>
        <v>2</v>
      </c>
      <c r="L5" s="7">
        <v>500000</v>
      </c>
      <c r="M5" s="1">
        <f>VLOOKUP(I5,$AG:$AK,2,0)*L5</f>
        <v>2.5</v>
      </c>
      <c r="N5" s="7" t="s">
        <v>81</v>
      </c>
      <c r="O5" s="1">
        <f>VLOOKUP(N5,$AG:$AK,4,0)</f>
        <v>1</v>
      </c>
      <c r="P5" s="1">
        <f>VLOOKUP(N5,$AG:$AK,5,0)</f>
        <v>1</v>
      </c>
      <c r="Q5" s="27">
        <v>10</v>
      </c>
      <c r="R5" s="7" t="s">
        <v>80</v>
      </c>
      <c r="S5" s="1">
        <f>VLOOKUP(R5,$AG:$AK,4,0)</f>
        <v>1</v>
      </c>
      <c r="T5" s="1">
        <f>VLOOKUP(R5,$AG:$AK,5,0)</f>
        <v>2</v>
      </c>
      <c r="U5" s="7">
        <v>200000</v>
      </c>
      <c r="V5" s="7" t="s">
        <v>82</v>
      </c>
      <c r="W5" s="1">
        <f>VLOOKUP(V5,$AG:$AK,4,0)</f>
        <v>2</v>
      </c>
      <c r="X5" s="1">
        <f>VLOOKUP(V5,$AG:$AK,5,0)</f>
        <v>1001</v>
      </c>
      <c r="Y5" s="7">
        <v>5</v>
      </c>
      <c r="Z5" s="7" t="s">
        <v>83</v>
      </c>
      <c r="AA5" s="1">
        <f>VLOOKUP(Z5,$AG:$AK,4,0)</f>
        <v>2</v>
      </c>
      <c r="AB5" s="1">
        <f>VLOOKUP(Z5,$AG:$AK,5,0)</f>
        <v>1002</v>
      </c>
      <c r="AC5" s="7">
        <v>5</v>
      </c>
      <c r="AD5" s="1">
        <f>(VLOOKUP(N5,$AG:$AK,2,0)*Q5+VLOOKUP(R5,$AG:$AK,2,0)*U5+VLOOKUP(V5,$AG:$AK,2,0)*Y5+VLOOKUP(Z5,$AG:$AK,2,0)*AC5)*D5</f>
        <v>165</v>
      </c>
      <c r="AE5" s="1">
        <f t="shared" ref="AE5" si="1">(AD5+M5)/B5</f>
        <v>5.583333333333333</v>
      </c>
      <c r="AG5" s="31" t="str">
        <f>'充值活动|RMBActivities'!AU5</f>
        <v>人民币</v>
      </c>
      <c r="AH5" s="32">
        <f>'充值活动|RMBActivities'!AV5</f>
        <v>1</v>
      </c>
      <c r="AI5" s="32">
        <f>'充值活动|RMBActivities'!AW5</f>
        <v>10</v>
      </c>
      <c r="AJ5" s="32">
        <f>'充值活动|RMBActivities'!AX5</f>
        <v>1</v>
      </c>
      <c r="AK5" s="33">
        <f>'充值活动|RMBActivities'!AY5</f>
        <v>0</v>
      </c>
    </row>
    <row r="6" spans="1:37" x14ac:dyDescent="0.35">
      <c r="E6" s="6"/>
      <c r="F6" s="6"/>
      <c r="AG6" s="31" t="str">
        <f>'充值活动|RMBActivities'!AU6</f>
        <v>钻石</v>
      </c>
      <c r="AH6" s="32">
        <f>'充值活动|RMBActivities'!AV6</f>
        <v>0.1</v>
      </c>
      <c r="AI6" s="32">
        <f>'充值活动|RMBActivities'!AW6</f>
        <v>1</v>
      </c>
      <c r="AJ6" s="32">
        <f>'充值活动|RMBActivities'!AX6</f>
        <v>1</v>
      </c>
      <c r="AK6" s="33">
        <f>'充值活动|RMBActivities'!AY6</f>
        <v>1</v>
      </c>
    </row>
    <row r="7" spans="1:37" x14ac:dyDescent="0.35">
      <c r="E7" s="6"/>
      <c r="F7" s="6"/>
      <c r="AG7" s="31" t="str">
        <f>'充值活动|RMBActivities'!AU7</f>
        <v>金币</v>
      </c>
      <c r="AH7" s="32">
        <f>'充值活动|RMBActivities'!AV7</f>
        <v>5.0000000000000004E-6</v>
      </c>
      <c r="AI7" s="32">
        <f>'充值活动|RMBActivities'!AW7</f>
        <v>5.0000000000000002E-5</v>
      </c>
      <c r="AJ7" s="32">
        <f>'充值活动|RMBActivities'!AX7</f>
        <v>1</v>
      </c>
      <c r="AK7" s="33">
        <f>'充值活动|RMBActivities'!AY7</f>
        <v>2</v>
      </c>
    </row>
    <row r="8" spans="1:37" x14ac:dyDescent="0.35">
      <c r="E8" s="6"/>
      <c r="F8" s="6"/>
      <c r="AG8" s="31" t="str">
        <f>'充值活动|RMBActivities'!AU8</f>
        <v>锁定</v>
      </c>
      <c r="AH8" s="32">
        <f>'充值活动|RMBActivities'!AV8</f>
        <v>0.2</v>
      </c>
      <c r="AI8" s="32">
        <f>'充值活动|RMBActivities'!AW8</f>
        <v>2</v>
      </c>
      <c r="AJ8" s="32">
        <f>'充值活动|RMBActivities'!AX8</f>
        <v>2</v>
      </c>
      <c r="AK8" s="33">
        <f>'充值活动|RMBActivities'!AY8</f>
        <v>1001</v>
      </c>
    </row>
    <row r="9" spans="1:37" x14ac:dyDescent="0.35">
      <c r="D9" s="6"/>
      <c r="F9" s="6"/>
      <c r="AG9" s="31" t="str">
        <f>'充值活动|RMBActivities'!AU9</f>
        <v>冰冻</v>
      </c>
      <c r="AH9" s="32">
        <f>'充值活动|RMBActivities'!AV9</f>
        <v>0.5</v>
      </c>
      <c r="AI9" s="32">
        <f>'充值活动|RMBActivities'!AW9</f>
        <v>5</v>
      </c>
      <c r="AJ9" s="32">
        <f>'充值活动|RMBActivities'!AX9</f>
        <v>2</v>
      </c>
      <c r="AK9" s="33">
        <f>'充值活动|RMBActivities'!AY9</f>
        <v>1002</v>
      </c>
    </row>
    <row r="10" spans="1:37" x14ac:dyDescent="0.35">
      <c r="E10" s="6"/>
      <c r="F10" s="6"/>
      <c r="AG10" s="31" t="str">
        <f>'充值活动|RMBActivities'!AU10</f>
        <v>狂暴</v>
      </c>
      <c r="AH10" s="32">
        <f>'充值活动|RMBActivities'!AV10</f>
        <v>1</v>
      </c>
      <c r="AI10" s="32">
        <f>'充值活动|RMBActivities'!AW10</f>
        <v>10</v>
      </c>
      <c r="AJ10" s="32">
        <f>'充值活动|RMBActivities'!AX10</f>
        <v>2</v>
      </c>
      <c r="AK10" s="33">
        <f>'充值活动|RMBActivities'!AY10</f>
        <v>1003</v>
      </c>
    </row>
    <row r="11" spans="1:37" x14ac:dyDescent="0.35">
      <c r="E11" s="6"/>
      <c r="F11" s="6"/>
      <c r="AG11" s="31" t="str">
        <f>'充值活动|RMBActivities'!AU11</f>
        <v>召唤</v>
      </c>
      <c r="AH11" s="32">
        <f>'充值活动|RMBActivities'!AV11</f>
        <v>0.2</v>
      </c>
      <c r="AI11" s="32">
        <f>'充值活动|RMBActivities'!AW11</f>
        <v>2</v>
      </c>
      <c r="AJ11" s="32">
        <f>'充值活动|RMBActivities'!AX11</f>
        <v>2</v>
      </c>
      <c r="AK11" s="33">
        <f>'充值活动|RMBActivities'!AY11</f>
        <v>1004</v>
      </c>
    </row>
    <row r="12" spans="1:37" x14ac:dyDescent="0.35">
      <c r="E12" s="6"/>
      <c r="F12" s="6"/>
      <c r="AG12" s="31" t="str">
        <f>'充值活动|RMBActivities'!AU12</f>
        <v>福卡</v>
      </c>
      <c r="AH12" s="32">
        <f>'充值活动|RMBActivities'!AV12</f>
        <v>2.5000000000000001E-3</v>
      </c>
      <c r="AI12" s="32">
        <f>'充值活动|RMBActivities'!AW12</f>
        <v>2.5000000000000001E-2</v>
      </c>
      <c r="AJ12" s="32">
        <f>'充值活动|RMBActivities'!AX12</f>
        <v>2</v>
      </c>
      <c r="AK12" s="33">
        <f>'充值活动|RMBActivities'!AY12</f>
        <v>1204</v>
      </c>
    </row>
    <row r="13" spans="1:37" x14ac:dyDescent="0.35">
      <c r="E13" s="6"/>
      <c r="F13" s="6"/>
      <c r="AG13" s="31" t="str">
        <f>'充值活动|RMBActivities'!AU13</f>
        <v>超级武器1</v>
      </c>
      <c r="AH13" s="32">
        <f>'充值活动|RMBActivities'!AV13</f>
        <v>5</v>
      </c>
      <c r="AI13" s="32">
        <f>'充值活动|RMBActivities'!AW13</f>
        <v>50</v>
      </c>
      <c r="AJ13" s="32">
        <f>'充值活动|RMBActivities'!AX13</f>
        <v>2</v>
      </c>
      <c r="AK13" s="33">
        <f>'充值活动|RMBActivities'!AY13</f>
        <v>1005</v>
      </c>
    </row>
    <row r="14" spans="1:37" x14ac:dyDescent="0.35">
      <c r="E14" s="6"/>
      <c r="F14" s="6"/>
      <c r="G14" s="6"/>
      <c r="H14" s="6"/>
      <c r="M14" s="6"/>
      <c r="AG14" s="31" t="str">
        <f>'充值活动|RMBActivities'!AU14</f>
        <v>超级武器2</v>
      </c>
      <c r="AH14" s="32">
        <f>'充值活动|RMBActivities'!AV14</f>
        <v>10</v>
      </c>
      <c r="AI14" s="32">
        <f>'充值活动|RMBActivities'!AW14</f>
        <v>100</v>
      </c>
      <c r="AJ14" s="32">
        <f>'充值活动|RMBActivities'!AX14</f>
        <v>2</v>
      </c>
      <c r="AK14" s="33">
        <f>'充值活动|RMBActivities'!AY14</f>
        <v>1006</v>
      </c>
    </row>
    <row r="15" spans="1:37" x14ac:dyDescent="0.35">
      <c r="E15" s="6"/>
      <c r="F15" s="6"/>
      <c r="G15" s="6"/>
      <c r="H15" s="6"/>
      <c r="M15" s="6"/>
      <c r="AG15" s="31" t="str">
        <f>'充值活动|RMBActivities'!AU15</f>
        <v>超级武器3</v>
      </c>
      <c r="AH15" s="32">
        <f>'充值活动|RMBActivities'!AV15</f>
        <v>25</v>
      </c>
      <c r="AI15" s="32">
        <f>'充值活动|RMBActivities'!AW15</f>
        <v>250</v>
      </c>
      <c r="AJ15" s="32">
        <f>'充值活动|RMBActivities'!AX15</f>
        <v>2</v>
      </c>
      <c r="AK15" s="33">
        <f>'充值活动|RMBActivities'!AY15</f>
        <v>1007</v>
      </c>
    </row>
    <row r="16" spans="1:37" x14ac:dyDescent="0.35">
      <c r="E16" s="6"/>
      <c r="F16" s="6"/>
      <c r="G16" s="6"/>
      <c r="H16" s="6"/>
      <c r="M16" s="6"/>
      <c r="AG16" s="31" t="str">
        <f>'充值活动|RMBActivities'!AU16</f>
        <v>超级武器4</v>
      </c>
      <c r="AH16" s="32">
        <f>'充值活动|RMBActivities'!AV16</f>
        <v>50</v>
      </c>
      <c r="AI16" s="32">
        <f>'充值活动|RMBActivities'!AW16</f>
        <v>500</v>
      </c>
      <c r="AJ16" s="32">
        <f>'充值活动|RMBActivities'!AX16</f>
        <v>2</v>
      </c>
      <c r="AK16" s="33">
        <f>'充值活动|RMBActivities'!AY16</f>
        <v>1008</v>
      </c>
    </row>
    <row r="17" spans="5:37" x14ac:dyDescent="0.35">
      <c r="E17" s="6"/>
      <c r="F17" s="6"/>
      <c r="G17" s="6"/>
      <c r="H17" s="6"/>
      <c r="M17" s="6"/>
      <c r="AG17" s="31" t="str">
        <f>'充值活动|RMBActivities'!AU17</f>
        <v>5元话费卡</v>
      </c>
      <c r="AH17" s="32">
        <f>'充值活动|RMBActivities'!AV17</f>
        <v>5</v>
      </c>
      <c r="AI17" s="32">
        <f>'充值活动|RMBActivities'!AW17</f>
        <v>50</v>
      </c>
      <c r="AJ17" s="32">
        <f>'充值活动|RMBActivities'!AX17</f>
        <v>2</v>
      </c>
      <c r="AK17" s="33">
        <f>'充值活动|RMBActivities'!AY17</f>
        <v>1206</v>
      </c>
    </row>
    <row r="18" spans="5:37" x14ac:dyDescent="0.35">
      <c r="E18" s="6"/>
      <c r="F18" s="6"/>
      <c r="G18" s="6"/>
      <c r="H18" s="6"/>
      <c r="M18" s="6"/>
      <c r="AG18" s="31" t="str">
        <f>'充值活动|RMBActivities'!AU18</f>
        <v>2元话费卡</v>
      </c>
      <c r="AH18" s="32">
        <f>'充值活动|RMBActivities'!AV18</f>
        <v>2</v>
      </c>
      <c r="AI18" s="32">
        <f>'充值活动|RMBActivities'!AW18</f>
        <v>20</v>
      </c>
      <c r="AJ18" s="32">
        <f>'充值活动|RMBActivities'!AX18</f>
        <v>2</v>
      </c>
      <c r="AK18" s="33">
        <f>'充值活动|RMBActivities'!AY18</f>
        <v>1205</v>
      </c>
    </row>
    <row r="19" spans="5:37" x14ac:dyDescent="0.35">
      <c r="E19" s="6"/>
      <c r="F19" s="6"/>
      <c r="G19" s="6"/>
      <c r="H19" s="6"/>
      <c r="M19" s="6"/>
      <c r="AG19" s="34" t="str">
        <f>'充值活动|RMBActivities'!AU19</f>
        <v>高压锅</v>
      </c>
      <c r="AH19" s="35">
        <f>'充值活动|RMBActivities'!AV19</f>
        <v>200</v>
      </c>
      <c r="AI19" s="35">
        <f>'充值活动|RMBActivities'!AW19</f>
        <v>2000</v>
      </c>
      <c r="AJ19" s="35">
        <f>'充值活动|RMBActivities'!AX19</f>
        <v>2</v>
      </c>
      <c r="AK19" s="36">
        <f>'充值活动|RMBActivities'!AY19</f>
        <v>1208</v>
      </c>
    </row>
    <row r="20" spans="5:37" x14ac:dyDescent="0.35">
      <c r="E20" s="6"/>
      <c r="F20" s="6"/>
      <c r="G20" s="6"/>
      <c r="H20" s="6"/>
      <c r="M20" s="6"/>
      <c r="AG20" s="1" t="str">
        <f>'充值活动|RMBActivities'!AU20</f>
        <v>30元话费卡</v>
      </c>
      <c r="AH20" s="1">
        <f>'充值活动|RMBActivities'!AV20</f>
        <v>30</v>
      </c>
      <c r="AI20" s="1">
        <f>'充值活动|RMBActivities'!AW20</f>
        <v>300</v>
      </c>
      <c r="AJ20" s="1">
        <f>'充值活动|RMBActivities'!AX20</f>
        <v>2</v>
      </c>
      <c r="AK20" s="1">
        <f>'充值活动|RMBActivities'!AY20</f>
        <v>1209</v>
      </c>
    </row>
    <row r="21" spans="5:37" x14ac:dyDescent="0.35">
      <c r="E21" s="6"/>
      <c r="F21" s="6"/>
      <c r="G21" s="6"/>
      <c r="H21" s="6"/>
      <c r="M21" s="6"/>
      <c r="AG21" s="1" t="str">
        <f>'充值活动|RMBActivities'!AU21</f>
        <v>50元话费卡</v>
      </c>
      <c r="AH21" s="1">
        <f>'充值活动|RMBActivities'!AV21</f>
        <v>50</v>
      </c>
      <c r="AI21" s="1">
        <f>'充值活动|RMBActivities'!AW21</f>
        <v>500</v>
      </c>
      <c r="AJ21" s="1">
        <f>'充值活动|RMBActivities'!AX21</f>
        <v>2</v>
      </c>
      <c r="AK21" s="1">
        <f>'充值活动|RMBActivities'!AY21</f>
        <v>1210</v>
      </c>
    </row>
    <row r="22" spans="5:37" x14ac:dyDescent="0.35">
      <c r="E22" s="6"/>
      <c r="F22" s="6"/>
      <c r="G22" s="6"/>
      <c r="H22" s="6"/>
      <c r="M22" s="6"/>
      <c r="AG22" s="1" t="str">
        <f>'充值活动|RMBActivities'!AU22</f>
        <v>活跃度</v>
      </c>
      <c r="AH22" s="1">
        <f>'充值活动|RMBActivities'!AV22</f>
        <v>1</v>
      </c>
      <c r="AI22" s="1">
        <f>'充值活动|RMBActivities'!AW22</f>
        <v>10</v>
      </c>
      <c r="AJ22" s="1">
        <f>'充值活动|RMBActivities'!AX22</f>
        <v>1</v>
      </c>
      <c r="AK22" s="1">
        <f>'充值活动|RMBActivities'!AY22</f>
        <v>6</v>
      </c>
    </row>
    <row r="23" spans="5:37" x14ac:dyDescent="0.35">
      <c r="E23" s="6"/>
      <c r="F23" s="6"/>
      <c r="G23" s="6"/>
      <c r="H23" s="6"/>
      <c r="M23" s="6"/>
      <c r="AG23" s="1" t="str">
        <f>'充值活动|RMBActivities'!AU23</f>
        <v>红包【恭】</v>
      </c>
      <c r="AH23" s="1">
        <f>'充值活动|RMBActivities'!AV23</f>
        <v>1</v>
      </c>
      <c r="AI23" s="1">
        <f>'充值活动|RMBActivities'!AW23</f>
        <v>10</v>
      </c>
      <c r="AJ23" s="1">
        <f>'充值活动|RMBActivities'!AX23</f>
        <v>2</v>
      </c>
      <c r="AK23" s="1">
        <f>'充值活动|RMBActivities'!AY23</f>
        <v>1301</v>
      </c>
    </row>
    <row r="24" spans="5:37" x14ac:dyDescent="0.35">
      <c r="E24" s="6"/>
      <c r="F24" s="6"/>
      <c r="G24" s="6"/>
      <c r="H24" s="6"/>
      <c r="M24" s="6"/>
      <c r="AG24" s="1" t="str">
        <f>'充值活动|RMBActivities'!AU24</f>
        <v>红包【喜】</v>
      </c>
      <c r="AH24" s="1">
        <f>'充值活动|RMBActivities'!AV24</f>
        <v>1</v>
      </c>
      <c r="AI24" s="1">
        <f>'充值活动|RMBActivities'!AW24</f>
        <v>10</v>
      </c>
      <c r="AJ24" s="1">
        <f>'充值活动|RMBActivities'!AX24</f>
        <v>2</v>
      </c>
      <c r="AK24" s="1">
        <f>'充值活动|RMBActivities'!AY24</f>
        <v>1302</v>
      </c>
    </row>
    <row r="25" spans="5:37" x14ac:dyDescent="0.35">
      <c r="E25" s="6"/>
      <c r="F25" s="6"/>
      <c r="G25" s="6"/>
      <c r="H25" s="6"/>
      <c r="M25" s="6"/>
      <c r="AG25" s="1" t="str">
        <f>'充值活动|RMBActivities'!AU25</f>
        <v>红包【发】</v>
      </c>
      <c r="AH25" s="1">
        <f>'充值活动|RMBActivities'!AV25</f>
        <v>1</v>
      </c>
      <c r="AI25" s="1">
        <f>'充值活动|RMBActivities'!AW25</f>
        <v>10</v>
      </c>
      <c r="AJ25" s="1">
        <f>'充值活动|RMBActivities'!AX25</f>
        <v>2</v>
      </c>
      <c r="AK25" s="1">
        <f>'充值活动|RMBActivities'!AY25</f>
        <v>1303</v>
      </c>
    </row>
    <row r="26" spans="5:37" x14ac:dyDescent="0.35">
      <c r="E26" s="6"/>
      <c r="F26" s="6"/>
      <c r="G26" s="6"/>
      <c r="H26" s="6"/>
      <c r="M26" s="6"/>
      <c r="AG26" s="1" t="str">
        <f>'充值活动|RMBActivities'!AU26</f>
        <v>红包【财】</v>
      </c>
      <c r="AH26" s="1">
        <f>'充值活动|RMBActivities'!AV26</f>
        <v>1</v>
      </c>
      <c r="AI26" s="1">
        <f>'充值活动|RMBActivities'!AW26</f>
        <v>10</v>
      </c>
      <c r="AJ26" s="1">
        <f>'充值活动|RMBActivities'!AX26</f>
        <v>2</v>
      </c>
      <c r="AK26" s="1">
        <f>'充值活动|RMBActivities'!AY26</f>
        <v>1304</v>
      </c>
    </row>
    <row r="27" spans="5:37" x14ac:dyDescent="0.35">
      <c r="E27" s="6"/>
      <c r="F27" s="6"/>
      <c r="G27" s="6"/>
      <c r="H27" s="6"/>
      <c r="M27" s="6"/>
      <c r="AG27" s="1" t="str">
        <f>'充值活动|RMBActivities'!AU27</f>
        <v>双轮</v>
      </c>
      <c r="AH27" s="1">
        <f>'充值活动|RMBActivities'!AV27</f>
        <v>100</v>
      </c>
      <c r="AI27" s="1">
        <f>'充值活动|RMBActivities'!AW27</f>
        <v>1000</v>
      </c>
      <c r="AJ27" s="1">
        <f>'充值活动|RMBActivities'!AX27</f>
        <v>2</v>
      </c>
      <c r="AK27" s="1">
        <f>'充值活动|RMBActivities'!AY27</f>
        <v>1500</v>
      </c>
    </row>
    <row r="28" spans="5:37" x14ac:dyDescent="0.35">
      <c r="E28" s="6"/>
      <c r="F28" s="6"/>
      <c r="G28" s="6"/>
      <c r="H28" s="6"/>
      <c r="M28" s="6"/>
    </row>
    <row r="29" spans="5:37" x14ac:dyDescent="0.35">
      <c r="E29" s="6"/>
      <c r="F29" s="6"/>
      <c r="G29" s="6"/>
      <c r="H29" s="6"/>
      <c r="M29" s="6"/>
    </row>
    <row r="30" spans="5:37" x14ac:dyDescent="0.35">
      <c r="E30" s="6"/>
      <c r="F30" s="6"/>
      <c r="G30" s="6"/>
      <c r="H30" s="6"/>
      <c r="M30" s="6"/>
    </row>
    <row r="31" spans="5:37" x14ac:dyDescent="0.35">
      <c r="E31" s="6"/>
      <c r="F31" s="6"/>
      <c r="G31" s="6"/>
      <c r="H31" s="6"/>
      <c r="M31" s="6"/>
    </row>
    <row r="32" spans="5:37" x14ac:dyDescent="0.35">
      <c r="E32" s="6"/>
      <c r="F32" s="6"/>
      <c r="G32" s="6"/>
      <c r="H32" s="6"/>
      <c r="M32" s="6"/>
    </row>
    <row r="33" spans="5:13" x14ac:dyDescent="0.35">
      <c r="E33" s="6"/>
      <c r="F33" s="6"/>
      <c r="G33" s="6"/>
      <c r="H33" s="6"/>
      <c r="M33" s="6"/>
    </row>
    <row r="34" spans="5:13" x14ac:dyDescent="0.35">
      <c r="E34" s="6"/>
      <c r="F34" s="6"/>
      <c r="G34" s="6"/>
      <c r="H34" s="6"/>
      <c r="M34" s="6"/>
    </row>
    <row r="35" spans="5:13" x14ac:dyDescent="0.35">
      <c r="E35" s="6"/>
      <c r="F35" s="6"/>
      <c r="G35" s="6"/>
      <c r="H35" s="6"/>
      <c r="M35" s="6"/>
    </row>
    <row r="36" spans="5:13" x14ac:dyDescent="0.35">
      <c r="E36" s="6"/>
      <c r="F36" s="6"/>
      <c r="G36" s="6"/>
      <c r="H36" s="6"/>
      <c r="M36" s="6"/>
    </row>
    <row r="37" spans="5:13" x14ac:dyDescent="0.35">
      <c r="E37" s="6"/>
      <c r="F37" s="6"/>
      <c r="G37" s="6"/>
      <c r="H37" s="6"/>
      <c r="M37" s="6"/>
    </row>
    <row r="38" spans="5:13" x14ac:dyDescent="0.35">
      <c r="E38" s="6"/>
      <c r="F38" s="6"/>
      <c r="G38" s="6"/>
      <c r="H38" s="6"/>
      <c r="M38" s="6"/>
    </row>
    <row r="39" spans="5:13" x14ac:dyDescent="0.35">
      <c r="E39" s="6"/>
      <c r="F39" s="6"/>
      <c r="G39" s="6"/>
      <c r="H39" s="6"/>
      <c r="M39" s="6"/>
    </row>
    <row r="40" spans="5:13" x14ac:dyDescent="0.35">
      <c r="E40" s="6"/>
      <c r="F40" s="6"/>
      <c r="G40" s="6"/>
      <c r="H40" s="6"/>
      <c r="M40" s="6"/>
    </row>
    <row r="41" spans="5:13" x14ac:dyDescent="0.35">
      <c r="E41" s="6"/>
      <c r="F41" s="6"/>
      <c r="G41" s="6"/>
      <c r="H41" s="6"/>
      <c r="M41" s="6"/>
    </row>
    <row r="42" spans="5:13" x14ac:dyDescent="0.35">
      <c r="E42" s="6"/>
      <c r="F42" s="6"/>
      <c r="G42" s="6"/>
      <c r="H42" s="6"/>
      <c r="M42" s="6"/>
    </row>
    <row r="43" spans="5:13" x14ac:dyDescent="0.35">
      <c r="E43" s="6"/>
      <c r="F43" s="6"/>
      <c r="G43" s="6"/>
      <c r="H43" s="6"/>
      <c r="M43" s="6"/>
    </row>
    <row r="44" spans="5:13" x14ac:dyDescent="0.35">
      <c r="E44" s="6"/>
      <c r="F44" s="6"/>
      <c r="G44" s="6"/>
      <c r="H44" s="6"/>
      <c r="M44" s="6"/>
    </row>
    <row r="45" spans="5:13" x14ac:dyDescent="0.35">
      <c r="E45" s="6"/>
      <c r="F45" s="6"/>
      <c r="G45" s="6"/>
      <c r="H45" s="6"/>
      <c r="M45" s="6"/>
    </row>
    <row r="46" spans="5:13" x14ac:dyDescent="0.35">
      <c r="E46" s="6"/>
      <c r="F46" s="6"/>
      <c r="G46" s="6"/>
      <c r="H46" s="6"/>
      <c r="M46" s="6"/>
    </row>
    <row r="47" spans="5:13" x14ac:dyDescent="0.35">
      <c r="E47" s="6"/>
      <c r="F47" s="6"/>
      <c r="G47" s="6"/>
      <c r="H47" s="6"/>
      <c r="M47" s="6"/>
    </row>
    <row r="48" spans="5:13" x14ac:dyDescent="0.35">
      <c r="E48" s="6"/>
      <c r="F48" s="6"/>
      <c r="G48" s="6"/>
      <c r="H48" s="6"/>
      <c r="M48" s="6"/>
    </row>
    <row r="49" spans="5:13" x14ac:dyDescent="0.35">
      <c r="E49" s="6"/>
      <c r="F49" s="6"/>
      <c r="G49" s="6"/>
      <c r="H49" s="6"/>
      <c r="M49" s="6"/>
    </row>
    <row r="50" spans="5:13" x14ac:dyDescent="0.35">
      <c r="E50" s="6"/>
      <c r="F50" s="6"/>
      <c r="G50" s="6"/>
      <c r="H50" s="6"/>
      <c r="M50" s="6"/>
    </row>
    <row r="51" spans="5:13" x14ac:dyDescent="0.35">
      <c r="E51" s="6"/>
      <c r="F51" s="6"/>
      <c r="G51" s="6"/>
      <c r="H51" s="6"/>
      <c r="M51" s="6"/>
    </row>
    <row r="52" spans="5:13" x14ac:dyDescent="0.35">
      <c r="E52" s="6"/>
      <c r="F52" s="6"/>
      <c r="G52" s="6"/>
      <c r="H52" s="6"/>
      <c r="M52" s="6"/>
    </row>
  </sheetData>
  <mergeCells count="1">
    <mergeCell ref="N3:AC3"/>
  </mergeCells>
  <phoneticPr fontId="21" type="noConversion"/>
  <conditionalFormatting sqref="W4">
    <cfRule type="containsText" dxfId="86" priority="7" operator="containsText" text=" ">
      <formula>NOT(ISERROR(SEARCH(" ",W4)))</formula>
    </cfRule>
  </conditionalFormatting>
  <conditionalFormatting sqref="AA4">
    <cfRule type="containsText" dxfId="85" priority="8" operator="containsText" text=" ">
      <formula>NOT(ISERROR(SEARCH(" ",AA4)))</formula>
    </cfRule>
  </conditionalFormatting>
  <conditionalFormatting sqref="AD4">
    <cfRule type="containsText" dxfId="84" priority="6" operator="containsText" text=" ">
      <formula>NOT(ISERROR(SEARCH(" ",AD4)))</formula>
    </cfRule>
  </conditionalFormatting>
  <conditionalFormatting sqref="Z5">
    <cfRule type="containsText" dxfId="83" priority="1" operator="containsText" text=" ">
      <formula>NOT(ISERROR(SEARCH(" ",Z5)))</formula>
    </cfRule>
  </conditionalFormatting>
  <conditionalFormatting sqref="AK12">
    <cfRule type="containsText" dxfId="82" priority="17" operator="containsText" text=" ">
      <formula>NOT(ISERROR(SEARCH(" ",AK12)))</formula>
    </cfRule>
  </conditionalFormatting>
  <conditionalFormatting sqref="AG17:AH17">
    <cfRule type="containsText" dxfId="81" priority="14" operator="containsText" text=" ">
      <formula>NOT(ISERROR(SEARCH(" ",AG17)))</formula>
    </cfRule>
  </conditionalFormatting>
  <conditionalFormatting sqref="AG18:AH18">
    <cfRule type="containsText" dxfId="80" priority="13" operator="containsText" text=" ">
      <formula>NOT(ISERROR(SEARCH(" ",AG18)))</formula>
    </cfRule>
  </conditionalFormatting>
  <conditionalFormatting sqref="AK19">
    <cfRule type="containsText" dxfId="79" priority="12" operator="containsText" text=" ">
      <formula>NOT(ISERROR(SEARCH(" ",AK19)))</formula>
    </cfRule>
  </conditionalFormatting>
  <conditionalFormatting sqref="H1:H4">
    <cfRule type="containsText" dxfId="78" priority="2" operator="containsText" text=" ">
      <formula>NOT(ISERROR(SEARCH(" ",H1)))</formula>
    </cfRule>
  </conditionalFormatting>
  <conditionalFormatting sqref="H14:H1048576">
    <cfRule type="containsText" dxfId="77" priority="3" operator="containsText" text=" ">
      <formula>NOT(ISERROR(SEARCH(" ",H14)))</formula>
    </cfRule>
  </conditionalFormatting>
  <conditionalFormatting sqref="M6:M13">
    <cfRule type="containsText" dxfId="76" priority="22" operator="containsText" text=" ">
      <formula>NOT(ISERROR(SEARCH(" ",M6)))</formula>
    </cfRule>
  </conditionalFormatting>
  <conditionalFormatting sqref="AI8:AI11">
    <cfRule type="containsText" dxfId="75" priority="18" operator="containsText" text=" ">
      <formula>NOT(ISERROR(SEARCH(" ",AI8)))</formula>
    </cfRule>
  </conditionalFormatting>
  <conditionalFormatting sqref="AI13:AI16">
    <cfRule type="containsText" dxfId="74" priority="15" operator="containsText" text=" ">
      <formula>NOT(ISERROR(SEARCH(" ",AI13)))</formula>
    </cfRule>
  </conditionalFormatting>
  <conditionalFormatting sqref="AK8:AK11">
    <cfRule type="containsText" dxfId="73" priority="19" operator="containsText" text=" ">
      <formula>NOT(ISERROR(SEARCH(" ",AK8)))</formula>
    </cfRule>
  </conditionalFormatting>
  <conditionalFormatting sqref="AK13:AK16">
    <cfRule type="containsText" dxfId="72" priority="16" operator="containsText" text=" ">
      <formula>NOT(ISERROR(SEARCH(" ",AK13)))</formula>
    </cfRule>
  </conditionalFormatting>
  <conditionalFormatting sqref="J4 H5:H13 AE5:AF1048576 G1:G13 A5:D1048576 AN5:XFD7 AG5:AL7 E5:F8 M1:M4 I5:Y5 AA5:AD5 AG4:AK4">
    <cfRule type="containsText" dxfId="71" priority="4" operator="containsText" text=" ">
      <formula>NOT(ISERROR(SEARCH(" ",A1)))</formula>
    </cfRule>
  </conditionalFormatting>
  <conditionalFormatting sqref="O4 S4">
    <cfRule type="containsText" dxfId="70" priority="21" operator="containsText" text=" ">
      <formula>NOT(ISERROR(SEARCH(" ",O4)))</formula>
    </cfRule>
  </conditionalFormatting>
  <conditionalFormatting sqref="E10:F1048576 F9 N6:Q1048576 AG34:XFD1048576 AL8:XFD33">
    <cfRule type="containsText" dxfId="69" priority="24" operator="containsText" text=" ">
      <formula>NOT(ISERROR(SEARCH(" ",E6)))</formula>
    </cfRule>
  </conditionalFormatting>
  <conditionalFormatting sqref="I6:L1048576">
    <cfRule type="containsText" dxfId="68" priority="5" operator="containsText" text=" ">
      <formula>NOT(ISERROR(SEARCH(" ",I6)))</formula>
    </cfRule>
  </conditionalFormatting>
  <conditionalFormatting sqref="R6:U1048576">
    <cfRule type="containsText" dxfId="67" priority="11" operator="containsText" text=" ">
      <formula>NOT(ISERROR(SEARCH(" ",R6)))</formula>
    </cfRule>
  </conditionalFormatting>
  <conditionalFormatting sqref="V6:Y1048576">
    <cfRule type="containsText" dxfId="66" priority="10" operator="containsText" text=" ">
      <formula>NOT(ISERROR(SEARCH(" ",V6)))</formula>
    </cfRule>
  </conditionalFormatting>
  <conditionalFormatting sqref="Z6:AD1048576">
    <cfRule type="containsText" dxfId="65" priority="9" operator="containsText" text=" ">
      <formula>NOT(ISERROR(SEARCH(" ",Z6)))</formula>
    </cfRule>
  </conditionalFormatting>
  <conditionalFormatting sqref="AJ8:AJ11 AG8:AH11 AG20:AK27 AG12:AJ12 AG13:AH16 AJ13:AJ16 AI17:AK18 AG19:AJ19">
    <cfRule type="containsText" dxfId="64" priority="20" operator="containsText" text=" ">
      <formula>NOT(ISERROR(SEARCH(" ",AG8)))</formula>
    </cfRule>
  </conditionalFormatting>
  <conditionalFormatting sqref="G14:G1048576 M14:M1048576">
    <cfRule type="containsText" dxfId="63" priority="23" operator="containsText" text=" ">
      <formula>NOT(ISERROR(SEARCH(" ",G14)))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activeCell="H27" sqref="H27"/>
    </sheetView>
  </sheetViews>
  <sheetFormatPr defaultColWidth="9" defaultRowHeight="15.6" x14ac:dyDescent="0.25"/>
  <cols>
    <col min="1" max="2" width="9.88671875" style="1" customWidth="1"/>
    <col min="3" max="3" width="10.77734375" style="1" customWidth="1"/>
    <col min="4" max="4" width="14.33203125" style="1" customWidth="1"/>
    <col min="5" max="5" width="21.77734375" style="1" customWidth="1"/>
    <col min="6" max="6" width="14.21875" style="1" customWidth="1"/>
    <col min="7" max="7" width="38.88671875" style="1" customWidth="1"/>
    <col min="8" max="9" width="10.44140625" style="1" customWidth="1"/>
    <col min="10" max="10" width="15.5546875" style="1" customWidth="1"/>
    <col min="11" max="11" width="9.6640625" style="1" customWidth="1"/>
    <col min="12" max="12" width="12" style="1" customWidth="1"/>
    <col min="13" max="14" width="9" style="1"/>
    <col min="15" max="15" width="9.21875" style="1" customWidth="1"/>
    <col min="16" max="16384" width="9" style="1"/>
  </cols>
  <sheetData>
    <row r="1" spans="1:15" x14ac:dyDescent="0.35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3" t="s">
        <v>33</v>
      </c>
      <c r="H1" s="3" t="s">
        <v>33</v>
      </c>
      <c r="I1" s="2" t="s">
        <v>0</v>
      </c>
      <c r="J1" s="2" t="s">
        <v>0</v>
      </c>
    </row>
    <row r="2" spans="1:15" x14ac:dyDescent="0.35">
      <c r="A2" s="2" t="s">
        <v>3</v>
      </c>
      <c r="B2" s="2" t="s">
        <v>3</v>
      </c>
      <c r="C2" s="2" t="s">
        <v>3</v>
      </c>
      <c r="D2" s="2" t="s">
        <v>3</v>
      </c>
      <c r="E2" s="2" t="s">
        <v>3</v>
      </c>
      <c r="F2" s="2" t="s">
        <v>3</v>
      </c>
      <c r="G2" s="3" t="s">
        <v>3</v>
      </c>
      <c r="H2" s="3" t="s">
        <v>3</v>
      </c>
      <c r="I2" s="2" t="s">
        <v>3</v>
      </c>
      <c r="J2" s="2" t="s">
        <v>3</v>
      </c>
    </row>
    <row r="3" spans="1:15" x14ac:dyDescent="0.35">
      <c r="A3" s="2" t="s">
        <v>171</v>
      </c>
      <c r="B3" s="2" t="s">
        <v>172</v>
      </c>
      <c r="C3" s="2" t="s">
        <v>108</v>
      </c>
      <c r="D3" s="2" t="s">
        <v>156</v>
      </c>
      <c r="E3" s="2" t="s">
        <v>173</v>
      </c>
      <c r="F3" s="2" t="s">
        <v>174</v>
      </c>
      <c r="G3" s="3" t="s">
        <v>175</v>
      </c>
      <c r="H3" s="3" t="s">
        <v>176</v>
      </c>
      <c r="I3" s="2" t="s">
        <v>177</v>
      </c>
      <c r="J3" s="8" t="s">
        <v>178</v>
      </c>
      <c r="M3" s="1" t="s">
        <v>179</v>
      </c>
    </row>
    <row r="4" spans="1:15" ht="66" x14ac:dyDescent="0.25">
      <c r="A4" s="4" t="s">
        <v>180</v>
      </c>
      <c r="B4" s="4" t="s">
        <v>181</v>
      </c>
      <c r="C4" s="4" t="s">
        <v>182</v>
      </c>
      <c r="D4" s="4" t="s">
        <v>183</v>
      </c>
      <c r="E4" s="4" t="s">
        <v>184</v>
      </c>
      <c r="F4" s="4" t="s">
        <v>185</v>
      </c>
      <c r="G4" s="5" t="s">
        <v>186</v>
      </c>
      <c r="H4" s="5" t="s">
        <v>187</v>
      </c>
      <c r="I4" s="4" t="s">
        <v>188</v>
      </c>
      <c r="J4" s="9" t="s">
        <v>189</v>
      </c>
      <c r="M4" s="10" t="s">
        <v>190</v>
      </c>
      <c r="N4" s="1" t="s">
        <v>191</v>
      </c>
      <c r="O4" s="11" t="s">
        <v>192</v>
      </c>
    </row>
    <row r="5" spans="1:15" x14ac:dyDescent="0.35">
      <c r="A5" s="1">
        <v>101</v>
      </c>
      <c r="B5" s="1">
        <v>1</v>
      </c>
      <c r="C5" s="1">
        <v>6</v>
      </c>
      <c r="D5" s="6">
        <f>C5*10</f>
        <v>60</v>
      </c>
      <c r="E5" s="6">
        <v>2</v>
      </c>
      <c r="F5" s="6"/>
      <c r="G5" s="1">
        <v>-1</v>
      </c>
      <c r="H5" s="1">
        <v>0</v>
      </c>
      <c r="J5" s="1">
        <f>D5*0.05</f>
        <v>3</v>
      </c>
      <c r="K5" s="1">
        <f t="shared" ref="K5:K11" si="0">F5/D5</f>
        <v>0</v>
      </c>
    </row>
    <row r="6" spans="1:15" x14ac:dyDescent="0.35">
      <c r="A6" s="1">
        <v>102</v>
      </c>
      <c r="B6" s="1">
        <v>1</v>
      </c>
      <c r="C6" s="1">
        <v>12</v>
      </c>
      <c r="D6" s="6">
        <f t="shared" ref="D6:D11" si="1">C6*10</f>
        <v>120</v>
      </c>
      <c r="E6" s="6">
        <v>2</v>
      </c>
      <c r="F6" s="1">
        <v>10</v>
      </c>
      <c r="G6" s="1">
        <v>-1</v>
      </c>
      <c r="H6" s="1">
        <v>0</v>
      </c>
      <c r="J6" s="1">
        <f t="shared" ref="J6:J18" si="2">D6*0.05</f>
        <v>6</v>
      </c>
      <c r="K6" s="1">
        <f t="shared" si="0"/>
        <v>8.3333333333333329E-2</v>
      </c>
    </row>
    <row r="7" spans="1:15" x14ac:dyDescent="0.35">
      <c r="A7" s="1">
        <v>103</v>
      </c>
      <c r="B7" s="1">
        <v>1</v>
      </c>
      <c r="C7" s="1">
        <v>30</v>
      </c>
      <c r="D7" s="6">
        <f t="shared" si="1"/>
        <v>300</v>
      </c>
      <c r="E7" s="6">
        <v>2</v>
      </c>
      <c r="F7" s="1">
        <v>30</v>
      </c>
      <c r="G7" s="1">
        <v>-1</v>
      </c>
      <c r="H7" s="1">
        <v>0</v>
      </c>
      <c r="J7" s="1">
        <f t="shared" si="2"/>
        <v>15</v>
      </c>
      <c r="K7" s="1">
        <f t="shared" si="0"/>
        <v>0.1</v>
      </c>
    </row>
    <row r="8" spans="1:15" x14ac:dyDescent="0.35">
      <c r="A8" s="1">
        <v>104</v>
      </c>
      <c r="B8" s="1">
        <v>1</v>
      </c>
      <c r="C8" s="1">
        <v>98</v>
      </c>
      <c r="D8" s="6">
        <f t="shared" si="1"/>
        <v>980</v>
      </c>
      <c r="E8" s="6">
        <v>2</v>
      </c>
      <c r="F8" s="7">
        <v>100</v>
      </c>
      <c r="G8" s="1">
        <v>-1</v>
      </c>
      <c r="H8" s="1">
        <v>0</v>
      </c>
      <c r="J8" s="1">
        <f t="shared" si="2"/>
        <v>49</v>
      </c>
      <c r="K8" s="1">
        <f t="shared" si="0"/>
        <v>0.10204081632653061</v>
      </c>
    </row>
    <row r="9" spans="1:15" x14ac:dyDescent="0.35">
      <c r="A9" s="1">
        <v>105</v>
      </c>
      <c r="B9" s="1">
        <v>1</v>
      </c>
      <c r="C9" s="1">
        <v>198</v>
      </c>
      <c r="D9" s="6">
        <f t="shared" si="1"/>
        <v>1980</v>
      </c>
      <c r="E9" s="6">
        <v>2</v>
      </c>
      <c r="F9" s="7">
        <v>300</v>
      </c>
      <c r="G9" s="1">
        <v>-1</v>
      </c>
      <c r="H9" s="1">
        <v>0</v>
      </c>
      <c r="J9" s="1">
        <f t="shared" si="2"/>
        <v>99</v>
      </c>
      <c r="K9" s="12">
        <f t="shared" si="0"/>
        <v>0.15151515151515152</v>
      </c>
      <c r="M9" s="1">
        <v>2</v>
      </c>
      <c r="N9" s="1">
        <v>2</v>
      </c>
      <c r="O9" s="13">
        <f>((D9+F9)*M9+D9*N9)/(M9+1)/D9</f>
        <v>1.4343434343434343</v>
      </c>
    </row>
    <row r="10" spans="1:15" x14ac:dyDescent="0.35">
      <c r="A10" s="1">
        <v>106</v>
      </c>
      <c r="B10" s="1">
        <v>1</v>
      </c>
      <c r="C10" s="1">
        <v>328</v>
      </c>
      <c r="D10" s="6">
        <f t="shared" si="1"/>
        <v>3280</v>
      </c>
      <c r="E10" s="6">
        <v>2</v>
      </c>
      <c r="F10" s="7">
        <v>500</v>
      </c>
      <c r="G10" s="1">
        <v>-1</v>
      </c>
      <c r="H10" s="1">
        <v>0</v>
      </c>
      <c r="J10" s="1">
        <f t="shared" si="2"/>
        <v>164</v>
      </c>
      <c r="K10" s="12">
        <f t="shared" si="0"/>
        <v>0.1524390243902439</v>
      </c>
      <c r="M10" s="1">
        <v>2</v>
      </c>
      <c r="N10" s="1">
        <v>2</v>
      </c>
      <c r="O10" s="13">
        <f t="shared" ref="O10:O11" si="3">((D10+F10)*M10+D10*N10)/(M10+1)/D10</f>
        <v>1.434959349593496</v>
      </c>
    </row>
    <row r="11" spans="1:15" x14ac:dyDescent="0.35">
      <c r="A11" s="1">
        <v>107</v>
      </c>
      <c r="B11" s="1">
        <v>1</v>
      </c>
      <c r="C11" s="1">
        <v>648</v>
      </c>
      <c r="D11" s="6">
        <f t="shared" si="1"/>
        <v>6480</v>
      </c>
      <c r="E11" s="6">
        <v>2</v>
      </c>
      <c r="F11" s="7">
        <v>1000</v>
      </c>
      <c r="G11" s="1">
        <v>-1</v>
      </c>
      <c r="H11" s="1">
        <v>0</v>
      </c>
      <c r="J11" s="1">
        <f t="shared" si="2"/>
        <v>324</v>
      </c>
      <c r="K11" s="12">
        <f t="shared" si="0"/>
        <v>0.15432098765432098</v>
      </c>
      <c r="M11" s="1">
        <v>2</v>
      </c>
      <c r="N11" s="1">
        <v>2</v>
      </c>
      <c r="O11" s="13">
        <f t="shared" si="3"/>
        <v>1.4362139917695473</v>
      </c>
    </row>
    <row r="12" spans="1:15" x14ac:dyDescent="0.35">
      <c r="A12" s="1">
        <v>201</v>
      </c>
      <c r="B12" s="1">
        <v>2</v>
      </c>
      <c r="C12" s="1">
        <v>6</v>
      </c>
      <c r="D12" s="6">
        <f>C12*100000</f>
        <v>600000</v>
      </c>
      <c r="E12" s="6">
        <v>2</v>
      </c>
      <c r="F12" s="6"/>
      <c r="G12" s="1">
        <v>2000</v>
      </c>
      <c r="H12" s="1">
        <v>0</v>
      </c>
      <c r="J12" s="1">
        <f t="shared" si="2"/>
        <v>30000</v>
      </c>
    </row>
    <row r="13" spans="1:15" x14ac:dyDescent="0.35">
      <c r="A13" s="1">
        <v>202</v>
      </c>
      <c r="B13" s="1">
        <v>2</v>
      </c>
      <c r="C13" s="1">
        <v>12</v>
      </c>
      <c r="D13" s="6">
        <f t="shared" ref="D13:D18" si="4">C13*100000</f>
        <v>1200000</v>
      </c>
      <c r="E13" s="6">
        <v>2</v>
      </c>
      <c r="F13" s="1">
        <v>100000</v>
      </c>
      <c r="G13" s="1">
        <v>4000</v>
      </c>
      <c r="H13" s="1">
        <v>0</v>
      </c>
      <c r="J13" s="1">
        <f t="shared" si="2"/>
        <v>60000</v>
      </c>
      <c r="K13" s="1">
        <f t="shared" ref="K13:K18" si="5">F13/D13</f>
        <v>8.3333333333333329E-2</v>
      </c>
    </row>
    <row r="14" spans="1:15" x14ac:dyDescent="0.35">
      <c r="A14" s="1">
        <v>203</v>
      </c>
      <c r="B14" s="1">
        <v>2</v>
      </c>
      <c r="C14" s="1">
        <v>30</v>
      </c>
      <c r="D14" s="6">
        <f t="shared" si="4"/>
        <v>3000000</v>
      </c>
      <c r="E14" s="6">
        <v>2</v>
      </c>
      <c r="F14" s="1">
        <v>300000</v>
      </c>
      <c r="G14" s="1">
        <v>10000</v>
      </c>
      <c r="H14" s="1">
        <v>0</v>
      </c>
      <c r="J14" s="1">
        <f t="shared" si="2"/>
        <v>150000</v>
      </c>
      <c r="K14" s="1">
        <f t="shared" si="5"/>
        <v>0.1</v>
      </c>
    </row>
    <row r="15" spans="1:15" x14ac:dyDescent="0.35">
      <c r="A15" s="1">
        <v>204</v>
      </c>
      <c r="B15" s="1">
        <v>2</v>
      </c>
      <c r="C15" s="1">
        <v>98</v>
      </c>
      <c r="D15" s="6">
        <f t="shared" si="4"/>
        <v>9800000</v>
      </c>
      <c r="E15" s="6">
        <v>2</v>
      </c>
      <c r="F15" s="7">
        <v>1200000</v>
      </c>
      <c r="G15" s="1">
        <v>30000</v>
      </c>
      <c r="H15" s="1">
        <v>0</v>
      </c>
      <c r="J15" s="1">
        <f t="shared" si="2"/>
        <v>490000</v>
      </c>
      <c r="K15" s="1">
        <f t="shared" si="5"/>
        <v>0.12244897959183673</v>
      </c>
    </row>
    <row r="16" spans="1:15" x14ac:dyDescent="0.35">
      <c r="A16" s="1">
        <v>205</v>
      </c>
      <c r="B16" s="1">
        <v>2</v>
      </c>
      <c r="C16" s="1">
        <v>198</v>
      </c>
      <c r="D16" s="6">
        <f t="shared" si="4"/>
        <v>19800000</v>
      </c>
      <c r="E16" s="6">
        <v>2</v>
      </c>
      <c r="F16" s="7">
        <v>3000000</v>
      </c>
      <c r="G16" s="1">
        <v>60000</v>
      </c>
      <c r="H16" s="1">
        <v>0</v>
      </c>
      <c r="I16" s="1">
        <v>2</v>
      </c>
      <c r="J16" s="1">
        <f t="shared" si="2"/>
        <v>990000</v>
      </c>
      <c r="K16" s="12">
        <f t="shared" si="5"/>
        <v>0.15151515151515152</v>
      </c>
      <c r="M16" s="1">
        <v>2</v>
      </c>
      <c r="N16" s="1">
        <v>2</v>
      </c>
      <c r="O16" s="13">
        <f>((D16+F16)*M16+D16*N16)/(M16+1)/D16</f>
        <v>1.4343434343434343</v>
      </c>
    </row>
    <row r="17" spans="1:15" x14ac:dyDescent="0.35">
      <c r="A17" s="1">
        <v>206</v>
      </c>
      <c r="B17" s="1">
        <v>2</v>
      </c>
      <c r="C17" s="1">
        <v>328</v>
      </c>
      <c r="D17" s="6">
        <f t="shared" si="4"/>
        <v>32800000</v>
      </c>
      <c r="E17" s="6">
        <v>2</v>
      </c>
      <c r="F17" s="7">
        <v>5000000</v>
      </c>
      <c r="G17" s="1">
        <v>100000</v>
      </c>
      <c r="H17" s="1">
        <v>0</v>
      </c>
      <c r="I17" s="1">
        <v>2</v>
      </c>
      <c r="J17" s="1">
        <f t="shared" si="2"/>
        <v>1640000</v>
      </c>
      <c r="K17" s="12">
        <f t="shared" si="5"/>
        <v>0.1524390243902439</v>
      </c>
      <c r="M17" s="1">
        <v>2</v>
      </c>
      <c r="N17" s="1">
        <v>2</v>
      </c>
      <c r="O17" s="13">
        <f t="shared" ref="O17:O18" si="6">((D17+F17)*M17+D17*N17)/(M17+1)/D17</f>
        <v>1.4349593495934958</v>
      </c>
    </row>
    <row r="18" spans="1:15" x14ac:dyDescent="0.35">
      <c r="A18" s="1">
        <v>207</v>
      </c>
      <c r="B18" s="1">
        <v>2</v>
      </c>
      <c r="C18" s="1">
        <v>648</v>
      </c>
      <c r="D18" s="6">
        <f t="shared" si="4"/>
        <v>64800000</v>
      </c>
      <c r="E18" s="6">
        <v>2</v>
      </c>
      <c r="F18" s="7">
        <v>10000000</v>
      </c>
      <c r="G18" s="1">
        <v>200000</v>
      </c>
      <c r="H18" s="1">
        <v>0</v>
      </c>
      <c r="I18" s="1">
        <v>2</v>
      </c>
      <c r="J18" s="1">
        <f t="shared" si="2"/>
        <v>3240000</v>
      </c>
      <c r="K18" s="12">
        <f t="shared" si="5"/>
        <v>0.15432098765432098</v>
      </c>
      <c r="M18" s="1">
        <v>2</v>
      </c>
      <c r="N18" s="1">
        <v>2</v>
      </c>
      <c r="O18" s="13">
        <f t="shared" si="6"/>
        <v>1.4362139917695473</v>
      </c>
    </row>
  </sheetData>
  <phoneticPr fontId="21" type="noConversion"/>
  <conditionalFormatting sqref="F5">
    <cfRule type="containsText" dxfId="62" priority="30" operator="containsText" text=" ">
      <formula>NOT(ISERROR(SEARCH(" ",F5)))</formula>
    </cfRule>
    <cfRule type="containsText" dxfId="61" priority="43" operator="containsText" text=" ">
      <formula>NOT(ISERROR(SEARCH(" ",F5)))</formula>
    </cfRule>
  </conditionalFormatting>
  <conditionalFormatting sqref="F6">
    <cfRule type="containsText" dxfId="60" priority="13" operator="containsText" text=" ">
      <formula>NOT(ISERROR(SEARCH(" ",F6)))</formula>
    </cfRule>
  </conditionalFormatting>
  <conditionalFormatting sqref="C7">
    <cfRule type="containsText" dxfId="59" priority="28" operator="containsText" text=" ">
      <formula>NOT(ISERROR(SEARCH(" ",C7)))</formula>
    </cfRule>
  </conditionalFormatting>
  <conditionalFormatting sqref="F7">
    <cfRule type="containsText" dxfId="58" priority="12" operator="containsText" text=" ">
      <formula>NOT(ISERROR(SEARCH(" ",F7)))</formula>
    </cfRule>
  </conditionalFormatting>
  <conditionalFormatting sqref="C8">
    <cfRule type="containsText" dxfId="57" priority="27" operator="containsText" text=" ">
      <formula>NOT(ISERROR(SEARCH(" ",C8)))</formula>
    </cfRule>
  </conditionalFormatting>
  <conditionalFormatting sqref="F8">
    <cfRule type="containsText" dxfId="56" priority="11" operator="containsText" text=" ">
      <formula>NOT(ISERROR(SEARCH(" ",F8)))</formula>
    </cfRule>
  </conditionalFormatting>
  <conditionalFormatting sqref="C9">
    <cfRule type="containsText" dxfId="55" priority="26" operator="containsText" text=" ">
      <formula>NOT(ISERROR(SEARCH(" ",C9)))</formula>
    </cfRule>
  </conditionalFormatting>
  <conditionalFormatting sqref="F9">
    <cfRule type="containsText" dxfId="54" priority="10" operator="containsText" text=" ">
      <formula>NOT(ISERROR(SEARCH(" ",F9)))</formula>
    </cfRule>
  </conditionalFormatting>
  <conditionalFormatting sqref="C10">
    <cfRule type="containsText" dxfId="53" priority="25" operator="containsText" text=" ">
      <formula>NOT(ISERROR(SEARCH(" ",C10)))</formula>
    </cfRule>
  </conditionalFormatting>
  <conditionalFormatting sqref="F10">
    <cfRule type="containsText" dxfId="52" priority="7" operator="containsText" text=" ">
      <formula>NOT(ISERROR(SEARCH(" ",F10)))</formula>
    </cfRule>
    <cfRule type="containsText" dxfId="51" priority="9" operator="containsText" text=" ">
      <formula>NOT(ISERROR(SEARCH(" ",F10)))</formula>
    </cfRule>
  </conditionalFormatting>
  <conditionalFormatting sqref="L10">
    <cfRule type="containsText" dxfId="50" priority="33" operator="containsText" text=" ">
      <formula>NOT(ISERROR(SEARCH(" ",L10)))</formula>
    </cfRule>
  </conditionalFormatting>
  <conditionalFormatting sqref="C11">
    <cfRule type="containsText" dxfId="49" priority="24" operator="containsText" text=" ">
      <formula>NOT(ISERROR(SEARCH(" ",C11)))</formula>
    </cfRule>
  </conditionalFormatting>
  <conditionalFormatting sqref="F11">
    <cfRule type="containsText" dxfId="48" priority="6" operator="containsText" text=" ">
      <formula>NOT(ISERROR(SEARCH(" ",F11)))</formula>
    </cfRule>
    <cfRule type="containsText" dxfId="47" priority="8" operator="containsText" text=" ">
      <formula>NOT(ISERROR(SEARCH(" ",F11)))</formula>
    </cfRule>
  </conditionalFormatting>
  <conditionalFormatting sqref="L11">
    <cfRule type="containsText" dxfId="46" priority="32" operator="containsText" text=" ">
      <formula>NOT(ISERROR(SEARCH(" ",L11)))</formula>
    </cfRule>
  </conditionalFormatting>
  <conditionalFormatting sqref="F12">
    <cfRule type="containsText" dxfId="45" priority="22" operator="containsText" text=" ">
      <formula>NOT(ISERROR(SEARCH(" ",F12)))</formula>
    </cfRule>
  </conditionalFormatting>
  <conditionalFormatting sqref="C13">
    <cfRule type="containsText" dxfId="44" priority="21" operator="containsText" text=" ">
      <formula>NOT(ISERROR(SEARCH(" ",C13)))</formula>
    </cfRule>
  </conditionalFormatting>
  <conditionalFormatting sqref="C14">
    <cfRule type="containsText" dxfId="43" priority="20" operator="containsText" text=" ">
      <formula>NOT(ISERROR(SEARCH(" ",C14)))</formula>
    </cfRule>
  </conditionalFormatting>
  <conditionalFormatting sqref="C15">
    <cfRule type="containsText" dxfId="42" priority="19" operator="containsText" text=" ">
      <formula>NOT(ISERROR(SEARCH(" ",C15)))</formula>
    </cfRule>
  </conditionalFormatting>
  <conditionalFormatting sqref="C16">
    <cfRule type="containsText" dxfId="41" priority="18" operator="containsText" text=" ">
      <formula>NOT(ISERROR(SEARCH(" ",C16)))</formula>
    </cfRule>
  </conditionalFormatting>
  <conditionalFormatting sqref="N16">
    <cfRule type="containsText" dxfId="40" priority="4" operator="containsText" text=" ">
      <formula>NOT(ISERROR(SEARCH(" ",N16)))</formula>
    </cfRule>
  </conditionalFormatting>
  <conditionalFormatting sqref="C17">
    <cfRule type="containsText" dxfId="39" priority="17" operator="containsText" text=" ">
      <formula>NOT(ISERROR(SEARCH(" ",C17)))</formula>
    </cfRule>
  </conditionalFormatting>
  <conditionalFormatting sqref="N17">
    <cfRule type="containsText" dxfId="38" priority="3" operator="containsText" text=" ">
      <formula>NOT(ISERROR(SEARCH(" ",N17)))</formula>
    </cfRule>
  </conditionalFormatting>
  <conditionalFormatting sqref="C18">
    <cfRule type="containsText" dxfId="37" priority="16" operator="containsText" text=" ">
      <formula>NOT(ISERROR(SEARCH(" ",C18)))</formula>
    </cfRule>
  </conditionalFormatting>
  <conditionalFormatting sqref="N18">
    <cfRule type="containsText" dxfId="36" priority="2" operator="containsText" text=" ">
      <formula>NOT(ISERROR(SEARCH(" ",N18)))</formula>
    </cfRule>
  </conditionalFormatting>
  <conditionalFormatting sqref="A5:A11">
    <cfRule type="containsText" dxfId="35" priority="44" operator="containsText" text=" ">
      <formula>NOT(ISERROR(SEARCH(" ",A5)))</formula>
    </cfRule>
  </conditionalFormatting>
  <conditionalFormatting sqref="A12:A18">
    <cfRule type="containsText" dxfId="34" priority="34" operator="containsText" text=" ">
      <formula>NOT(ISERROR(SEARCH(" ",A12)))</formula>
    </cfRule>
  </conditionalFormatting>
  <conditionalFormatting sqref="B12:B18">
    <cfRule type="containsText" dxfId="33" priority="35" operator="containsText" text=" ">
      <formula>NOT(ISERROR(SEARCH(" ",B12)))</formula>
    </cfRule>
  </conditionalFormatting>
  <conditionalFormatting sqref="E5:E11">
    <cfRule type="containsText" dxfId="32" priority="36" operator="containsText" text=" ">
      <formula>NOT(ISERROR(SEARCH(" ",E5)))</formula>
    </cfRule>
  </conditionalFormatting>
  <conditionalFormatting sqref="E12:E18">
    <cfRule type="containsText" dxfId="31" priority="15" operator="containsText" text=" ">
      <formula>NOT(ISERROR(SEARCH(" ",E12)))</formula>
    </cfRule>
  </conditionalFormatting>
  <conditionalFormatting sqref="F13:F18">
    <cfRule type="containsText" dxfId="30" priority="5" operator="containsText" text=" ">
      <formula>NOT(ISERROR(SEARCH(" ",F13)))</formula>
    </cfRule>
  </conditionalFormatting>
  <conditionalFormatting sqref="L13:L18">
    <cfRule type="containsText" dxfId="29" priority="14" operator="containsText" text=" ">
      <formula>NOT(ISERROR(SEARCH(" ",L13)))</formula>
    </cfRule>
  </conditionalFormatting>
  <conditionalFormatting sqref="O9:O11">
    <cfRule type="containsText" dxfId="28" priority="1" operator="containsText" text=" ">
      <formula>NOT(ISERROR(SEARCH(" ",O9)))</formula>
    </cfRule>
  </conditionalFormatting>
  <conditionalFormatting sqref="C6 A19:XFD1048576 M8:M18 G5:K18">
    <cfRule type="containsText" dxfId="27" priority="29" operator="containsText" text=" ">
      <formula>NOT(ISERROR(SEARCH(" ",A5)))</formula>
    </cfRule>
  </conditionalFormatting>
  <conditionalFormatting sqref="B5:D5 D6:D11 L12 O16:XFD18 L5:XFD5 N12:XFD15">
    <cfRule type="containsText" dxfId="26" priority="45" operator="containsText" text=" ">
      <formula>NOT(ISERROR(SEARCH(" ",B5)))</formula>
    </cfRule>
  </conditionalFormatting>
  <conditionalFormatting sqref="C5:D5 D6:D11">
    <cfRule type="containsText" dxfId="25" priority="31" operator="containsText" text=" ">
      <formula>NOT(ISERROR(SEARCH(" ",C5)))</formula>
    </cfRule>
  </conditionalFormatting>
  <conditionalFormatting sqref="B6:D6 L6 O7:O8 N6:XFD6">
    <cfRule type="containsText" dxfId="24" priority="42" operator="containsText" text=" ">
      <formula>NOT(ISERROR(SEARCH(" ",B6)))</formula>
    </cfRule>
  </conditionalFormatting>
  <conditionalFormatting sqref="B7:D7 L7:N7 P7:XFD7 M6">
    <cfRule type="containsText" dxfId="23" priority="41" operator="containsText" text=" ">
      <formula>NOT(ISERROR(SEARCH(" ",B6)))</formula>
    </cfRule>
  </conditionalFormatting>
  <conditionalFormatting sqref="B8:D8 N8 P8:XFD8 L8">
    <cfRule type="containsText" dxfId="22" priority="40" operator="containsText" text=" ">
      <formula>NOT(ISERROR(SEARCH(" ",B8)))</formula>
    </cfRule>
  </conditionalFormatting>
  <conditionalFormatting sqref="B9:D9 N9 P9:XFD9 L9">
    <cfRule type="containsText" dxfId="21" priority="39" operator="containsText" text=" ">
      <formula>NOT(ISERROR(SEARCH(" ",B9)))</formula>
    </cfRule>
  </conditionalFormatting>
  <conditionalFormatting sqref="B10:D10 N10 P10:XFD10 L10">
    <cfRule type="containsText" dxfId="20" priority="38" operator="containsText" text=" ">
      <formula>NOT(ISERROR(SEARCH(" ",B10)))</formula>
    </cfRule>
  </conditionalFormatting>
  <conditionalFormatting sqref="B11:D11 N11 P11:XFD11 L11">
    <cfRule type="containsText" dxfId="19" priority="37" operator="containsText" text=" ">
      <formula>NOT(ISERROR(SEARCH(" ",B11)))</formula>
    </cfRule>
  </conditionalFormatting>
  <conditionalFormatting sqref="C12:D12 D13:D18">
    <cfRule type="containsText" dxfId="18" priority="23" operator="containsText" text=" ">
      <formula>NOT(ISERROR(SEARCH(" ",C12)))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30"/>
  <sheetViews>
    <sheetView workbookViewId="0">
      <selection activeCell="F10" sqref="F10"/>
    </sheetView>
  </sheetViews>
  <sheetFormatPr defaultColWidth="8.88671875" defaultRowHeight="15.6" x14ac:dyDescent="0.35"/>
  <cols>
    <col min="1" max="2" width="8.88671875" style="97"/>
    <col min="3" max="3" width="25.109375" style="97" bestFit="1" customWidth="1"/>
    <col min="4" max="4" width="25.109375" style="97" customWidth="1"/>
    <col min="5" max="6" width="20.77734375" style="97" customWidth="1"/>
    <col min="7" max="7" width="8.88671875" style="97"/>
    <col min="8" max="8" width="9.88671875" style="97" bestFit="1" customWidth="1"/>
    <col min="9" max="9" width="10.109375" style="97" bestFit="1" customWidth="1"/>
    <col min="10" max="12" width="8.88671875" style="97"/>
    <col min="13" max="13" width="10.109375" style="97" bestFit="1" customWidth="1"/>
    <col min="14" max="14" width="8.88671875" style="97"/>
    <col min="15" max="15" width="9.21875" style="97" bestFit="1" customWidth="1"/>
    <col min="16" max="16" width="8.88671875" style="97"/>
    <col min="17" max="17" width="9.21875" style="97" bestFit="1" customWidth="1"/>
    <col min="18" max="18" width="8.88671875" style="97"/>
    <col min="19" max="19" width="11.5546875" style="97" bestFit="1" customWidth="1"/>
    <col min="20" max="21" width="8.88671875" style="97"/>
    <col min="22" max="22" width="9.33203125" style="97" bestFit="1" customWidth="1"/>
    <col min="23" max="23" width="8.88671875" style="97"/>
    <col min="24" max="24" width="9.33203125" style="97" bestFit="1" customWidth="1"/>
    <col min="25" max="25" width="8.88671875" style="97"/>
    <col min="26" max="26" width="9.33203125" style="97" bestFit="1" customWidth="1"/>
    <col min="27" max="28" width="8.88671875" style="97"/>
    <col min="29" max="29" width="9.33203125" style="97" bestFit="1" customWidth="1"/>
    <col min="30" max="30" width="8.88671875" style="97"/>
    <col min="31" max="31" width="10.44140625" style="97" bestFit="1" customWidth="1"/>
    <col min="32" max="32" width="8.88671875" style="97"/>
    <col min="33" max="33" width="9.33203125" style="97" bestFit="1" customWidth="1"/>
    <col min="34" max="16384" width="8.88671875" style="97"/>
  </cols>
  <sheetData>
    <row r="1" spans="1:33" ht="15.6" customHeight="1" x14ac:dyDescent="0.35">
      <c r="A1" s="94" t="s">
        <v>0</v>
      </c>
      <c r="B1" s="94" t="s">
        <v>196</v>
      </c>
      <c r="C1" s="100" t="s">
        <v>1</v>
      </c>
      <c r="D1" s="100" t="s">
        <v>1</v>
      </c>
      <c r="E1" s="100" t="s">
        <v>1</v>
      </c>
      <c r="F1" s="98"/>
      <c r="H1" s="68"/>
      <c r="K1" s="99"/>
      <c r="M1" s="105"/>
      <c r="N1" s="125" t="s">
        <v>213</v>
      </c>
      <c r="O1" s="102" t="s">
        <v>203</v>
      </c>
      <c r="P1" s="103" t="str">
        <f>"第"&amp;P2&amp;"次"</f>
        <v>第1次</v>
      </c>
      <c r="Q1" s="109" t="s">
        <v>200</v>
      </c>
      <c r="R1" s="103" t="str">
        <f>"第"&amp;R2&amp;"次"</f>
        <v>第2次</v>
      </c>
      <c r="S1" s="109" t="s">
        <v>200</v>
      </c>
      <c r="U1" s="126" t="s">
        <v>215</v>
      </c>
      <c r="V1" s="102" t="s">
        <v>203</v>
      </c>
      <c r="W1" s="103" t="str">
        <f>"第"&amp;W2&amp;"次"</f>
        <v>第1次</v>
      </c>
      <c r="X1" s="109" t="s">
        <v>200</v>
      </c>
      <c r="Y1" s="103" t="str">
        <f>"第"&amp;Y2&amp;"次"</f>
        <v>第2次</v>
      </c>
      <c r="Z1" s="109" t="s">
        <v>200</v>
      </c>
      <c r="AB1" s="127" t="s">
        <v>218</v>
      </c>
      <c r="AC1" s="102" t="s">
        <v>203</v>
      </c>
      <c r="AD1" s="103" t="str">
        <f>"第"&amp;AD2&amp;"次"</f>
        <v>第1次</v>
      </c>
      <c r="AE1" s="109" t="s">
        <v>200</v>
      </c>
      <c r="AF1" s="103" t="str">
        <f>"第"&amp;AF2&amp;"次"</f>
        <v>第2次</v>
      </c>
      <c r="AG1" s="109" t="s">
        <v>200</v>
      </c>
    </row>
    <row r="2" spans="1:33" x14ac:dyDescent="0.35">
      <c r="A2" s="95" t="s">
        <v>3</v>
      </c>
      <c r="B2" s="95" t="s">
        <v>3</v>
      </c>
      <c r="C2" s="101" t="s">
        <v>4</v>
      </c>
      <c r="D2" s="101" t="s">
        <v>4</v>
      </c>
      <c r="E2" s="101" t="s">
        <v>4</v>
      </c>
      <c r="F2" s="98"/>
      <c r="M2" s="105"/>
      <c r="N2" s="125"/>
      <c r="O2" s="104">
        <f>O3*$I$3*$H$5</f>
        <v>1500000</v>
      </c>
      <c r="P2" s="102">
        <v>1</v>
      </c>
      <c r="Q2" s="104">
        <f>Q3*$I$3*$H$5</f>
        <v>1500000</v>
      </c>
      <c r="R2" s="102">
        <v>2</v>
      </c>
      <c r="S2" s="104">
        <f>S3*$I$3*$H$5</f>
        <v>1500000</v>
      </c>
      <c r="U2" s="126"/>
      <c r="V2" s="104">
        <f>V3*$I$3*$H$6</f>
        <v>3000000</v>
      </c>
      <c r="W2" s="102">
        <v>1</v>
      </c>
      <c r="X2" s="104">
        <f>X3*$I$3*$H$6</f>
        <v>3000000</v>
      </c>
      <c r="Y2" s="102">
        <v>2</v>
      </c>
      <c r="Z2" s="104">
        <f>Z3*$I$3*$H$6</f>
        <v>3000000</v>
      </c>
      <c r="AB2" s="127"/>
      <c r="AC2" s="104">
        <f>AC3*$I$3*$H$7</f>
        <v>7000000</v>
      </c>
      <c r="AD2" s="102">
        <v>1</v>
      </c>
      <c r="AE2" s="104">
        <f>AE3*$I$3*$H$7</f>
        <v>7000000</v>
      </c>
      <c r="AF2" s="102">
        <v>2</v>
      </c>
      <c r="AG2" s="104">
        <f>AG3*$I$3*$H$7</f>
        <v>7000000</v>
      </c>
    </row>
    <row r="3" spans="1:33" x14ac:dyDescent="0.35">
      <c r="A3" s="101" t="s">
        <v>206</v>
      </c>
      <c r="B3" s="101" t="s">
        <v>205</v>
      </c>
      <c r="C3" s="101" t="s">
        <v>207</v>
      </c>
      <c r="D3" s="101" t="s">
        <v>216</v>
      </c>
      <c r="E3" s="101" t="s">
        <v>217</v>
      </c>
      <c r="F3" s="98"/>
      <c r="H3" s="110" t="s">
        <v>211</v>
      </c>
      <c r="I3" s="97">
        <v>100000</v>
      </c>
      <c r="M3" s="105"/>
      <c r="N3" s="102" t="s">
        <v>204</v>
      </c>
      <c r="O3" s="102">
        <f>SUMPRODUCT(O$5:O$22,$M$5:$M$22)</f>
        <v>2.5</v>
      </c>
      <c r="P3" s="102" t="s">
        <v>201</v>
      </c>
      <c r="Q3" s="102">
        <f>SUMPRODUCT(Q$5:Q$22,$M$5:$M$22)</f>
        <v>2.5</v>
      </c>
      <c r="R3" s="102" t="s">
        <v>201</v>
      </c>
      <c r="S3" s="102">
        <f>SUMPRODUCT(S$5:S$22,$M$5:$M$22)</f>
        <v>2.5</v>
      </c>
      <c r="U3" s="102" t="s">
        <v>204</v>
      </c>
      <c r="V3" s="102">
        <f>SUMPRODUCT(V$5:V$22,$M$5:$M$22)</f>
        <v>2.5</v>
      </c>
      <c r="W3" s="102" t="s">
        <v>201</v>
      </c>
      <c r="X3" s="102">
        <f>SUMPRODUCT(X$5:X$22,$M$5:$M$22)</f>
        <v>2.5</v>
      </c>
      <c r="Y3" s="102" t="s">
        <v>201</v>
      </c>
      <c r="Z3" s="102">
        <f>SUMPRODUCT(Z$5:Z$22,$M$5:$M$22)</f>
        <v>2.5</v>
      </c>
      <c r="AB3" s="102" t="s">
        <v>204</v>
      </c>
      <c r="AC3" s="102">
        <f>SUMPRODUCT(AC$5:AC$22,$M$5:$M$22)</f>
        <v>2.5</v>
      </c>
      <c r="AD3" s="102" t="s">
        <v>201</v>
      </c>
      <c r="AE3" s="102">
        <f>SUMPRODUCT(AE$5:AE$22,$M$5:$M$22)</f>
        <v>2.5</v>
      </c>
      <c r="AF3" s="102" t="s">
        <v>201</v>
      </c>
      <c r="AG3" s="102">
        <f>SUMPRODUCT(AG$5:AG$22,$M$5:$M$22)</f>
        <v>2.5</v>
      </c>
    </row>
    <row r="4" spans="1:33" ht="40.200000000000003" x14ac:dyDescent="0.35">
      <c r="A4" s="96" t="s">
        <v>193</v>
      </c>
      <c r="B4" s="96" t="s">
        <v>194</v>
      </c>
      <c r="C4" s="107" t="s">
        <v>208</v>
      </c>
      <c r="D4" s="107" t="s">
        <v>209</v>
      </c>
      <c r="E4" s="107" t="s">
        <v>210</v>
      </c>
      <c r="F4" s="98"/>
      <c r="H4" s="99" t="s">
        <v>197</v>
      </c>
      <c r="I4" s="99" t="s">
        <v>199</v>
      </c>
      <c r="J4" s="99" t="s">
        <v>198</v>
      </c>
      <c r="K4" s="99" t="s">
        <v>212</v>
      </c>
      <c r="M4" s="68" t="s">
        <v>214</v>
      </c>
      <c r="N4" s="102" t="s">
        <v>195</v>
      </c>
      <c r="O4" s="102" t="s">
        <v>202</v>
      </c>
      <c r="P4" s="102" t="s">
        <v>195</v>
      </c>
      <c r="Q4" s="102" t="s">
        <v>202</v>
      </c>
      <c r="R4" s="102" t="s">
        <v>195</v>
      </c>
      <c r="S4" s="102" t="s">
        <v>202</v>
      </c>
      <c r="U4" s="102" t="s">
        <v>195</v>
      </c>
      <c r="V4" s="102" t="s">
        <v>202</v>
      </c>
      <c r="W4" s="102" t="s">
        <v>195</v>
      </c>
      <c r="X4" s="102" t="s">
        <v>202</v>
      </c>
      <c r="Y4" s="102" t="s">
        <v>195</v>
      </c>
      <c r="Z4" s="102" t="s">
        <v>202</v>
      </c>
      <c r="AB4" s="102" t="s">
        <v>195</v>
      </c>
      <c r="AC4" s="102" t="s">
        <v>202</v>
      </c>
      <c r="AD4" s="102" t="s">
        <v>195</v>
      </c>
      <c r="AE4" s="102" t="s">
        <v>202</v>
      </c>
      <c r="AF4" s="102" t="s">
        <v>195</v>
      </c>
      <c r="AG4" s="102" t="s">
        <v>202</v>
      </c>
    </row>
    <row r="5" spans="1:33" x14ac:dyDescent="0.35">
      <c r="A5" s="97">
        <v>1</v>
      </c>
      <c r="B5" s="97">
        <v>30</v>
      </c>
      <c r="C5" s="68" t="str">
        <f t="shared" ref="C5:C22" si="0">"[["&amp;0&amp;","&amp;N5&amp;"],["&amp;P$2&amp;","&amp;P5&amp;"],["&amp;R$2&amp;","&amp;R5&amp;"]]"</f>
        <v>[[0,2],[1,2],[2,2]]</v>
      </c>
      <c r="D5" s="68" t="str">
        <f>"[["&amp;0&amp;","&amp;U5&amp;"],["&amp;W$2&amp;","&amp;W5&amp;"],["&amp;Y$2&amp;","&amp;Y5&amp;"]]"</f>
        <v>[[0,2],[1,2],[2,2]]</v>
      </c>
      <c r="E5" s="68" t="str">
        <f>"[["&amp;0&amp;","&amp;AB5&amp;"],["&amp;AD$2&amp;","&amp;AD5&amp;"],["&amp;AF$2&amp;","&amp;AF5&amp;"]]"</f>
        <v>[[0,2],[1,2],[2,2]]</v>
      </c>
      <c r="F5" s="102"/>
      <c r="H5" s="1">
        <v>6</v>
      </c>
      <c r="I5" s="1">
        <f>H5*100000</f>
        <v>600000</v>
      </c>
      <c r="J5" s="1">
        <v>150000</v>
      </c>
      <c r="K5" s="97">
        <f>I5/J5</f>
        <v>4</v>
      </c>
      <c r="M5" s="97">
        <f t="shared" ref="M5:M22" si="1">B5/$K$5</f>
        <v>7.5</v>
      </c>
      <c r="N5" s="106">
        <v>2</v>
      </c>
      <c r="O5" s="108">
        <f>N5/SUM(N$5:N$22)</f>
        <v>3.8095238095238095E-3</v>
      </c>
      <c r="P5" s="106">
        <f>N5</f>
        <v>2</v>
      </c>
      <c r="Q5" s="108">
        <f>P5/SUM(P$5:P$22)</f>
        <v>3.8095238095238095E-3</v>
      </c>
      <c r="R5" s="106">
        <f>N5</f>
        <v>2</v>
      </c>
      <c r="S5" s="108">
        <f>R5/SUM(R$5:R$22)</f>
        <v>3.8095238095238095E-3</v>
      </c>
      <c r="U5" s="106">
        <f>N5</f>
        <v>2</v>
      </c>
      <c r="V5" s="108">
        <f>U5/SUM(U$5:U$22)</f>
        <v>3.8095238095238095E-3</v>
      </c>
      <c r="W5" s="106">
        <f>U5</f>
        <v>2</v>
      </c>
      <c r="X5" s="108">
        <f>W5/SUM(W$5:W$22)</f>
        <v>3.8095238095238095E-3</v>
      </c>
      <c r="Y5" s="106">
        <f>U5</f>
        <v>2</v>
      </c>
      <c r="Z5" s="108">
        <f>Y5/SUM(Y$5:Y$22)</f>
        <v>3.8095238095238095E-3</v>
      </c>
      <c r="AB5" s="106">
        <f>N5</f>
        <v>2</v>
      </c>
      <c r="AC5" s="108">
        <f>AB5/SUM(AB$5:AB$22)</f>
        <v>3.8095238095238095E-3</v>
      </c>
      <c r="AD5" s="106">
        <f>AB5</f>
        <v>2</v>
      </c>
      <c r="AE5" s="108">
        <f>AD5/SUM(AD$5:AD$22)</f>
        <v>3.8095238095238095E-3</v>
      </c>
      <c r="AF5" s="106">
        <f>AB5</f>
        <v>2</v>
      </c>
      <c r="AG5" s="108">
        <f>AF5/SUM(AF$5:AF$22)</f>
        <v>3.8095238095238095E-3</v>
      </c>
    </row>
    <row r="6" spans="1:33" x14ac:dyDescent="0.35">
      <c r="A6" s="97">
        <v>2</v>
      </c>
      <c r="B6" s="97">
        <v>20</v>
      </c>
      <c r="C6" s="68" t="str">
        <f t="shared" si="0"/>
        <v>[[0,3],[1,3],[2,3]]</v>
      </c>
      <c r="D6" s="68" t="str">
        <f t="shared" ref="D6:D22" si="2">"[["&amp;0&amp;","&amp;U6&amp;"],["&amp;W$2&amp;","&amp;W6&amp;"],["&amp;Y$2&amp;","&amp;Y6&amp;"]]"</f>
        <v>[[0,3],[1,3],[2,3]]</v>
      </c>
      <c r="E6" s="68" t="str">
        <f t="shared" ref="E6:E22" si="3">"[["&amp;0&amp;","&amp;AB6&amp;"],["&amp;AD$2&amp;","&amp;AD6&amp;"],["&amp;AF$2&amp;","&amp;AF6&amp;"]]"</f>
        <v>[[0,3],[1,3],[2,3]]</v>
      </c>
      <c r="F6" s="102"/>
      <c r="H6" s="1">
        <v>12</v>
      </c>
      <c r="I6" s="1">
        <f t="shared" ref="I6:I7" si="4">H6*100000</f>
        <v>1200000</v>
      </c>
      <c r="J6" s="1">
        <v>300000</v>
      </c>
      <c r="K6" s="97">
        <f t="shared" ref="K6:K7" si="5">I6/J6</f>
        <v>4</v>
      </c>
      <c r="M6" s="97">
        <f t="shared" si="1"/>
        <v>5</v>
      </c>
      <c r="N6" s="106">
        <v>3</v>
      </c>
      <c r="O6" s="108">
        <f t="shared" ref="O6:O22" si="6">N6/SUM(N$5:N$22)</f>
        <v>5.7142857142857143E-3</v>
      </c>
      <c r="P6" s="106">
        <f t="shared" ref="P6:P22" si="7">N6</f>
        <v>3</v>
      </c>
      <c r="Q6" s="108">
        <f t="shared" ref="Q6:Q22" si="8">P6/SUM(P$5:P$22)</f>
        <v>5.7142857142857143E-3</v>
      </c>
      <c r="R6" s="106">
        <f t="shared" ref="R6:R22" si="9">N6</f>
        <v>3</v>
      </c>
      <c r="S6" s="108">
        <f t="shared" ref="S6:S22" si="10">R6/SUM(R$5:R$22)</f>
        <v>5.7142857142857143E-3</v>
      </c>
      <c r="U6" s="106">
        <f t="shared" ref="U6:U22" si="11">N6</f>
        <v>3</v>
      </c>
      <c r="V6" s="108">
        <f t="shared" ref="V6:V22" si="12">U6/SUM(U$5:U$22)</f>
        <v>5.7142857142857143E-3</v>
      </c>
      <c r="W6" s="106">
        <f t="shared" ref="W6:W22" si="13">U6</f>
        <v>3</v>
      </c>
      <c r="X6" s="108">
        <f t="shared" ref="X6:X22" si="14">W6/SUM(W$5:W$22)</f>
        <v>5.7142857142857143E-3</v>
      </c>
      <c r="Y6" s="106">
        <f t="shared" ref="Y6:Y22" si="15">U6</f>
        <v>3</v>
      </c>
      <c r="Z6" s="108">
        <f t="shared" ref="Z6:Z22" si="16">Y6/SUM(Y$5:Y$22)</f>
        <v>5.7142857142857143E-3</v>
      </c>
      <c r="AB6" s="106">
        <f t="shared" ref="AB6:AB22" si="17">N6</f>
        <v>3</v>
      </c>
      <c r="AC6" s="108">
        <f t="shared" ref="AC6:AC22" si="18">AB6/SUM(AB$5:AB$22)</f>
        <v>5.7142857142857143E-3</v>
      </c>
      <c r="AD6" s="106">
        <f t="shared" ref="AD6:AD22" si="19">AB6</f>
        <v>3</v>
      </c>
      <c r="AE6" s="108">
        <f t="shared" ref="AE6:AE22" si="20">AD6/SUM(AD$5:AD$22)</f>
        <v>5.7142857142857143E-3</v>
      </c>
      <c r="AF6" s="106">
        <f t="shared" ref="AF6:AF22" si="21">AB6</f>
        <v>3</v>
      </c>
      <c r="AG6" s="108">
        <f t="shared" ref="AG6:AG22" si="22">AF6/SUM(AF$5:AF$22)</f>
        <v>5.7142857142857143E-3</v>
      </c>
    </row>
    <row r="7" spans="1:33" x14ac:dyDescent="0.35">
      <c r="A7" s="97">
        <v>3</v>
      </c>
      <c r="B7" s="97">
        <v>18</v>
      </c>
      <c r="C7" s="68" t="str">
        <f t="shared" si="0"/>
        <v>[[0,5],[1,5],[2,5]]</v>
      </c>
      <c r="D7" s="68" t="str">
        <f t="shared" si="2"/>
        <v>[[0,5],[1,5],[2,5]]</v>
      </c>
      <c r="E7" s="68" t="str">
        <f t="shared" si="3"/>
        <v>[[0,5],[1,5],[2,5]]</v>
      </c>
      <c r="F7" s="102"/>
      <c r="H7" s="1">
        <v>28</v>
      </c>
      <c r="I7" s="1">
        <f t="shared" si="4"/>
        <v>2800000</v>
      </c>
      <c r="J7" s="1">
        <v>700000</v>
      </c>
      <c r="K7" s="97">
        <f t="shared" si="5"/>
        <v>4</v>
      </c>
      <c r="M7" s="97">
        <f t="shared" si="1"/>
        <v>4.5</v>
      </c>
      <c r="N7" s="106">
        <v>5</v>
      </c>
      <c r="O7" s="108">
        <f t="shared" si="6"/>
        <v>9.5238095238095247E-3</v>
      </c>
      <c r="P7" s="106">
        <f t="shared" si="7"/>
        <v>5</v>
      </c>
      <c r="Q7" s="108">
        <f t="shared" si="8"/>
        <v>9.5238095238095247E-3</v>
      </c>
      <c r="R7" s="106">
        <f t="shared" si="9"/>
        <v>5</v>
      </c>
      <c r="S7" s="108">
        <f t="shared" si="10"/>
        <v>9.5238095238095247E-3</v>
      </c>
      <c r="U7" s="106">
        <f t="shared" si="11"/>
        <v>5</v>
      </c>
      <c r="V7" s="108">
        <f t="shared" si="12"/>
        <v>9.5238095238095247E-3</v>
      </c>
      <c r="W7" s="106">
        <f t="shared" si="13"/>
        <v>5</v>
      </c>
      <c r="X7" s="108">
        <f t="shared" si="14"/>
        <v>9.5238095238095247E-3</v>
      </c>
      <c r="Y7" s="106">
        <f t="shared" si="15"/>
        <v>5</v>
      </c>
      <c r="Z7" s="108">
        <f t="shared" si="16"/>
        <v>9.5238095238095247E-3</v>
      </c>
      <c r="AB7" s="106">
        <f t="shared" si="17"/>
        <v>5</v>
      </c>
      <c r="AC7" s="108">
        <f t="shared" si="18"/>
        <v>9.5238095238095247E-3</v>
      </c>
      <c r="AD7" s="106">
        <f t="shared" si="19"/>
        <v>5</v>
      </c>
      <c r="AE7" s="108">
        <f t="shared" si="20"/>
        <v>9.5238095238095247E-3</v>
      </c>
      <c r="AF7" s="106">
        <f t="shared" si="21"/>
        <v>5</v>
      </c>
      <c r="AG7" s="108">
        <f t="shared" si="22"/>
        <v>9.5238095238095247E-3</v>
      </c>
    </row>
    <row r="8" spans="1:33" x14ac:dyDescent="0.35">
      <c r="A8" s="97">
        <v>4</v>
      </c>
      <c r="B8" s="97">
        <v>16</v>
      </c>
      <c r="C8" s="68" t="str">
        <f t="shared" si="0"/>
        <v>[[0,10],[1,10],[2,10]]</v>
      </c>
      <c r="D8" s="68" t="str">
        <f t="shared" si="2"/>
        <v>[[0,10],[1,10],[2,10]]</v>
      </c>
      <c r="E8" s="68" t="str">
        <f t="shared" si="3"/>
        <v>[[0,10],[1,10],[2,10]]</v>
      </c>
      <c r="F8" s="102"/>
      <c r="H8" s="98"/>
      <c r="M8" s="97">
        <f t="shared" si="1"/>
        <v>4</v>
      </c>
      <c r="N8" s="106">
        <v>10</v>
      </c>
      <c r="O8" s="108">
        <f t="shared" si="6"/>
        <v>1.9047619047619049E-2</v>
      </c>
      <c r="P8" s="106">
        <f t="shared" si="7"/>
        <v>10</v>
      </c>
      <c r="Q8" s="108">
        <f t="shared" si="8"/>
        <v>1.9047619047619049E-2</v>
      </c>
      <c r="R8" s="106">
        <f t="shared" si="9"/>
        <v>10</v>
      </c>
      <c r="S8" s="108">
        <f t="shared" si="10"/>
        <v>1.9047619047619049E-2</v>
      </c>
      <c r="U8" s="106">
        <f t="shared" si="11"/>
        <v>10</v>
      </c>
      <c r="V8" s="108">
        <f t="shared" si="12"/>
        <v>1.9047619047619049E-2</v>
      </c>
      <c r="W8" s="106">
        <f t="shared" si="13"/>
        <v>10</v>
      </c>
      <c r="X8" s="108">
        <f t="shared" si="14"/>
        <v>1.9047619047619049E-2</v>
      </c>
      <c r="Y8" s="106">
        <f t="shared" si="15"/>
        <v>10</v>
      </c>
      <c r="Z8" s="108">
        <f t="shared" si="16"/>
        <v>1.9047619047619049E-2</v>
      </c>
      <c r="AB8" s="106">
        <f t="shared" si="17"/>
        <v>10</v>
      </c>
      <c r="AC8" s="108">
        <f t="shared" si="18"/>
        <v>1.9047619047619049E-2</v>
      </c>
      <c r="AD8" s="106">
        <f t="shared" si="19"/>
        <v>10</v>
      </c>
      <c r="AE8" s="108">
        <f t="shared" si="20"/>
        <v>1.9047619047619049E-2</v>
      </c>
      <c r="AF8" s="106">
        <f t="shared" si="21"/>
        <v>10</v>
      </c>
      <c r="AG8" s="108">
        <f t="shared" si="22"/>
        <v>1.9047619047619049E-2</v>
      </c>
    </row>
    <row r="9" spans="1:33" x14ac:dyDescent="0.35">
      <c r="A9" s="97">
        <v>5</v>
      </c>
      <c r="B9" s="97">
        <v>15</v>
      </c>
      <c r="C9" s="68" t="str">
        <f t="shared" si="0"/>
        <v>[[0,15],[1,15],[2,15]]</v>
      </c>
      <c r="D9" s="68" t="str">
        <f t="shared" si="2"/>
        <v>[[0,15],[1,15],[2,15]]</v>
      </c>
      <c r="E9" s="68" t="str">
        <f t="shared" si="3"/>
        <v>[[0,15],[1,15],[2,15]]</v>
      </c>
      <c r="F9" s="102"/>
      <c r="H9" s="98"/>
      <c r="M9" s="97">
        <f t="shared" si="1"/>
        <v>3.75</v>
      </c>
      <c r="N9" s="106">
        <v>15</v>
      </c>
      <c r="O9" s="108">
        <f t="shared" si="6"/>
        <v>2.8571428571428571E-2</v>
      </c>
      <c r="P9" s="106">
        <f t="shared" si="7"/>
        <v>15</v>
      </c>
      <c r="Q9" s="108">
        <f t="shared" si="8"/>
        <v>2.8571428571428571E-2</v>
      </c>
      <c r="R9" s="106">
        <f t="shared" si="9"/>
        <v>15</v>
      </c>
      <c r="S9" s="108">
        <f t="shared" si="10"/>
        <v>2.8571428571428571E-2</v>
      </c>
      <c r="U9" s="106">
        <f t="shared" si="11"/>
        <v>15</v>
      </c>
      <c r="V9" s="108">
        <f t="shared" si="12"/>
        <v>2.8571428571428571E-2</v>
      </c>
      <c r="W9" s="106">
        <f t="shared" si="13"/>
        <v>15</v>
      </c>
      <c r="X9" s="108">
        <f t="shared" si="14"/>
        <v>2.8571428571428571E-2</v>
      </c>
      <c r="Y9" s="106">
        <f t="shared" si="15"/>
        <v>15</v>
      </c>
      <c r="Z9" s="108">
        <f t="shared" si="16"/>
        <v>2.8571428571428571E-2</v>
      </c>
      <c r="AB9" s="106">
        <f t="shared" si="17"/>
        <v>15</v>
      </c>
      <c r="AC9" s="108">
        <f t="shared" si="18"/>
        <v>2.8571428571428571E-2</v>
      </c>
      <c r="AD9" s="106">
        <f t="shared" si="19"/>
        <v>15</v>
      </c>
      <c r="AE9" s="108">
        <f t="shared" si="20"/>
        <v>2.8571428571428571E-2</v>
      </c>
      <c r="AF9" s="106">
        <f t="shared" si="21"/>
        <v>15</v>
      </c>
      <c r="AG9" s="108">
        <f t="shared" si="22"/>
        <v>2.8571428571428571E-2</v>
      </c>
    </row>
    <row r="10" spans="1:33" x14ac:dyDescent="0.35">
      <c r="A10" s="97">
        <v>6</v>
      </c>
      <c r="B10" s="97">
        <v>14</v>
      </c>
      <c r="C10" s="68" t="str">
        <f t="shared" si="0"/>
        <v>[[0,20],[1,20],[2,20]]</v>
      </c>
      <c r="D10" s="68" t="str">
        <f t="shared" si="2"/>
        <v>[[0,20],[1,20],[2,20]]</v>
      </c>
      <c r="E10" s="68" t="str">
        <f t="shared" si="3"/>
        <v>[[0,20],[1,20],[2,20]]</v>
      </c>
      <c r="F10" s="102"/>
      <c r="H10" s="98"/>
      <c r="M10" s="97">
        <f t="shared" si="1"/>
        <v>3.5</v>
      </c>
      <c r="N10" s="106">
        <v>20</v>
      </c>
      <c r="O10" s="108">
        <f t="shared" si="6"/>
        <v>3.8095238095238099E-2</v>
      </c>
      <c r="P10" s="106">
        <f t="shared" si="7"/>
        <v>20</v>
      </c>
      <c r="Q10" s="108">
        <f t="shared" si="8"/>
        <v>3.8095238095238099E-2</v>
      </c>
      <c r="R10" s="106">
        <f t="shared" si="9"/>
        <v>20</v>
      </c>
      <c r="S10" s="108">
        <f t="shared" si="10"/>
        <v>3.8095238095238099E-2</v>
      </c>
      <c r="U10" s="106">
        <f t="shared" si="11"/>
        <v>20</v>
      </c>
      <c r="V10" s="108">
        <f t="shared" si="12"/>
        <v>3.8095238095238099E-2</v>
      </c>
      <c r="W10" s="106">
        <f t="shared" si="13"/>
        <v>20</v>
      </c>
      <c r="X10" s="108">
        <f t="shared" si="14"/>
        <v>3.8095238095238099E-2</v>
      </c>
      <c r="Y10" s="106">
        <f t="shared" si="15"/>
        <v>20</v>
      </c>
      <c r="Z10" s="108">
        <f t="shared" si="16"/>
        <v>3.8095238095238099E-2</v>
      </c>
      <c r="AB10" s="106">
        <f t="shared" si="17"/>
        <v>20</v>
      </c>
      <c r="AC10" s="108">
        <f t="shared" si="18"/>
        <v>3.8095238095238099E-2</v>
      </c>
      <c r="AD10" s="106">
        <f t="shared" si="19"/>
        <v>20</v>
      </c>
      <c r="AE10" s="108">
        <f t="shared" si="20"/>
        <v>3.8095238095238099E-2</v>
      </c>
      <c r="AF10" s="106">
        <f t="shared" si="21"/>
        <v>20</v>
      </c>
      <c r="AG10" s="108">
        <f t="shared" si="22"/>
        <v>3.8095238095238099E-2</v>
      </c>
    </row>
    <row r="11" spans="1:33" x14ac:dyDescent="0.35">
      <c r="A11" s="97">
        <v>7</v>
      </c>
      <c r="B11" s="97">
        <v>13</v>
      </c>
      <c r="C11" s="68" t="str">
        <f t="shared" si="0"/>
        <v>[[0,35],[1,35],[2,35]]</v>
      </c>
      <c r="D11" s="68" t="str">
        <f t="shared" si="2"/>
        <v>[[0,35],[1,35],[2,35]]</v>
      </c>
      <c r="E11" s="68" t="str">
        <f t="shared" si="3"/>
        <v>[[0,35],[1,35],[2,35]]</v>
      </c>
      <c r="F11" s="102"/>
      <c r="H11" s="98"/>
      <c r="M11" s="97">
        <f t="shared" si="1"/>
        <v>3.25</v>
      </c>
      <c r="N11" s="106">
        <v>35</v>
      </c>
      <c r="O11" s="108">
        <f t="shared" si="6"/>
        <v>6.6666666666666666E-2</v>
      </c>
      <c r="P11" s="106">
        <f t="shared" si="7"/>
        <v>35</v>
      </c>
      <c r="Q11" s="108">
        <f t="shared" si="8"/>
        <v>6.6666666666666666E-2</v>
      </c>
      <c r="R11" s="106">
        <f t="shared" si="9"/>
        <v>35</v>
      </c>
      <c r="S11" s="108">
        <f t="shared" si="10"/>
        <v>6.6666666666666666E-2</v>
      </c>
      <c r="U11" s="106">
        <f t="shared" si="11"/>
        <v>35</v>
      </c>
      <c r="V11" s="108">
        <f t="shared" si="12"/>
        <v>6.6666666666666666E-2</v>
      </c>
      <c r="W11" s="106">
        <f t="shared" si="13"/>
        <v>35</v>
      </c>
      <c r="X11" s="108">
        <f t="shared" si="14"/>
        <v>6.6666666666666666E-2</v>
      </c>
      <c r="Y11" s="106">
        <f t="shared" si="15"/>
        <v>35</v>
      </c>
      <c r="Z11" s="108">
        <f t="shared" si="16"/>
        <v>6.6666666666666666E-2</v>
      </c>
      <c r="AB11" s="106">
        <f t="shared" si="17"/>
        <v>35</v>
      </c>
      <c r="AC11" s="108">
        <f t="shared" si="18"/>
        <v>6.6666666666666666E-2</v>
      </c>
      <c r="AD11" s="106">
        <f t="shared" si="19"/>
        <v>35</v>
      </c>
      <c r="AE11" s="108">
        <f t="shared" si="20"/>
        <v>6.6666666666666666E-2</v>
      </c>
      <c r="AF11" s="106">
        <f t="shared" si="21"/>
        <v>35</v>
      </c>
      <c r="AG11" s="108">
        <f t="shared" si="22"/>
        <v>6.6666666666666666E-2</v>
      </c>
    </row>
    <row r="12" spans="1:33" x14ac:dyDescent="0.35">
      <c r="A12" s="97">
        <v>8</v>
      </c>
      <c r="B12" s="97">
        <v>12</v>
      </c>
      <c r="C12" s="68" t="str">
        <f t="shared" si="0"/>
        <v>[[0,50],[1,50],[2,50]]</v>
      </c>
      <c r="D12" s="68" t="str">
        <f t="shared" si="2"/>
        <v>[[0,50],[1,50],[2,50]]</v>
      </c>
      <c r="E12" s="68" t="str">
        <f t="shared" si="3"/>
        <v>[[0,50],[1,50],[2,50]]</v>
      </c>
      <c r="F12" s="102"/>
      <c r="H12" s="98"/>
      <c r="M12" s="97">
        <f t="shared" si="1"/>
        <v>3</v>
      </c>
      <c r="N12" s="106">
        <v>50</v>
      </c>
      <c r="O12" s="108">
        <f t="shared" si="6"/>
        <v>9.5238095238095233E-2</v>
      </c>
      <c r="P12" s="106">
        <f t="shared" si="7"/>
        <v>50</v>
      </c>
      <c r="Q12" s="108">
        <f t="shared" si="8"/>
        <v>9.5238095238095233E-2</v>
      </c>
      <c r="R12" s="106">
        <f t="shared" si="9"/>
        <v>50</v>
      </c>
      <c r="S12" s="108">
        <f t="shared" si="10"/>
        <v>9.5238095238095233E-2</v>
      </c>
      <c r="U12" s="106">
        <f t="shared" si="11"/>
        <v>50</v>
      </c>
      <c r="V12" s="108">
        <f t="shared" si="12"/>
        <v>9.5238095238095233E-2</v>
      </c>
      <c r="W12" s="106">
        <f t="shared" si="13"/>
        <v>50</v>
      </c>
      <c r="X12" s="108">
        <f t="shared" si="14"/>
        <v>9.5238095238095233E-2</v>
      </c>
      <c r="Y12" s="106">
        <f t="shared" si="15"/>
        <v>50</v>
      </c>
      <c r="Z12" s="108">
        <f t="shared" si="16"/>
        <v>9.5238095238095233E-2</v>
      </c>
      <c r="AB12" s="106">
        <f t="shared" si="17"/>
        <v>50</v>
      </c>
      <c r="AC12" s="108">
        <f t="shared" si="18"/>
        <v>9.5238095238095233E-2</v>
      </c>
      <c r="AD12" s="106">
        <f t="shared" si="19"/>
        <v>50</v>
      </c>
      <c r="AE12" s="108">
        <f t="shared" si="20"/>
        <v>9.5238095238095233E-2</v>
      </c>
      <c r="AF12" s="106">
        <f t="shared" si="21"/>
        <v>50</v>
      </c>
      <c r="AG12" s="108">
        <f t="shared" si="22"/>
        <v>9.5238095238095233E-2</v>
      </c>
    </row>
    <row r="13" spans="1:33" x14ac:dyDescent="0.35">
      <c r="A13" s="97">
        <v>9</v>
      </c>
      <c r="B13" s="97">
        <v>11</v>
      </c>
      <c r="C13" s="68" t="str">
        <f t="shared" si="0"/>
        <v>[[0,70],[1,70],[2,70]]</v>
      </c>
      <c r="D13" s="68" t="str">
        <f t="shared" si="2"/>
        <v>[[0,70],[1,70],[2,70]]</v>
      </c>
      <c r="E13" s="68" t="str">
        <f t="shared" si="3"/>
        <v>[[0,70],[1,70],[2,70]]</v>
      </c>
      <c r="F13" s="102"/>
      <c r="H13" s="98"/>
      <c r="M13" s="97">
        <f t="shared" si="1"/>
        <v>2.75</v>
      </c>
      <c r="N13" s="106">
        <v>70</v>
      </c>
      <c r="O13" s="108">
        <f t="shared" si="6"/>
        <v>0.13333333333333333</v>
      </c>
      <c r="P13" s="106">
        <f t="shared" si="7"/>
        <v>70</v>
      </c>
      <c r="Q13" s="108">
        <f t="shared" si="8"/>
        <v>0.13333333333333333</v>
      </c>
      <c r="R13" s="106">
        <f t="shared" si="9"/>
        <v>70</v>
      </c>
      <c r="S13" s="108">
        <f t="shared" si="10"/>
        <v>0.13333333333333333</v>
      </c>
      <c r="U13" s="106">
        <f t="shared" si="11"/>
        <v>70</v>
      </c>
      <c r="V13" s="108">
        <f t="shared" si="12"/>
        <v>0.13333333333333333</v>
      </c>
      <c r="W13" s="106">
        <f t="shared" si="13"/>
        <v>70</v>
      </c>
      <c r="X13" s="108">
        <f t="shared" si="14"/>
        <v>0.13333333333333333</v>
      </c>
      <c r="Y13" s="106">
        <f t="shared" si="15"/>
        <v>70</v>
      </c>
      <c r="Z13" s="108">
        <f t="shared" si="16"/>
        <v>0.13333333333333333</v>
      </c>
      <c r="AB13" s="106">
        <f t="shared" si="17"/>
        <v>70</v>
      </c>
      <c r="AC13" s="108">
        <f t="shared" si="18"/>
        <v>0.13333333333333333</v>
      </c>
      <c r="AD13" s="106">
        <f t="shared" si="19"/>
        <v>70</v>
      </c>
      <c r="AE13" s="108">
        <f t="shared" si="20"/>
        <v>0.13333333333333333</v>
      </c>
      <c r="AF13" s="106">
        <f t="shared" si="21"/>
        <v>70</v>
      </c>
      <c r="AG13" s="108">
        <f t="shared" si="22"/>
        <v>0.13333333333333333</v>
      </c>
    </row>
    <row r="14" spans="1:33" x14ac:dyDescent="0.35">
      <c r="A14" s="97">
        <v>10</v>
      </c>
      <c r="B14" s="97">
        <v>10</v>
      </c>
      <c r="C14" s="68" t="str">
        <f t="shared" si="0"/>
        <v>[[0,90],[1,90],[2,90]]</v>
      </c>
      <c r="D14" s="68" t="str">
        <f t="shared" si="2"/>
        <v>[[0,90],[1,90],[2,90]]</v>
      </c>
      <c r="E14" s="68" t="str">
        <f t="shared" si="3"/>
        <v>[[0,90],[1,90],[2,90]]</v>
      </c>
      <c r="F14" s="102"/>
      <c r="H14" s="98"/>
      <c r="M14" s="97">
        <f t="shared" si="1"/>
        <v>2.5</v>
      </c>
      <c r="N14" s="106">
        <v>90</v>
      </c>
      <c r="O14" s="108">
        <f t="shared" si="6"/>
        <v>0.17142857142857143</v>
      </c>
      <c r="P14" s="106">
        <f t="shared" si="7"/>
        <v>90</v>
      </c>
      <c r="Q14" s="108">
        <f t="shared" si="8"/>
        <v>0.17142857142857143</v>
      </c>
      <c r="R14" s="106">
        <f t="shared" si="9"/>
        <v>90</v>
      </c>
      <c r="S14" s="108">
        <f t="shared" si="10"/>
        <v>0.17142857142857143</v>
      </c>
      <c r="U14" s="106">
        <f t="shared" si="11"/>
        <v>90</v>
      </c>
      <c r="V14" s="108">
        <f t="shared" si="12"/>
        <v>0.17142857142857143</v>
      </c>
      <c r="W14" s="106">
        <f t="shared" si="13"/>
        <v>90</v>
      </c>
      <c r="X14" s="108">
        <f t="shared" si="14"/>
        <v>0.17142857142857143</v>
      </c>
      <c r="Y14" s="106">
        <f t="shared" si="15"/>
        <v>90</v>
      </c>
      <c r="Z14" s="108">
        <f t="shared" si="16"/>
        <v>0.17142857142857143</v>
      </c>
      <c r="AB14" s="106">
        <f t="shared" si="17"/>
        <v>90</v>
      </c>
      <c r="AC14" s="108">
        <f t="shared" si="18"/>
        <v>0.17142857142857143</v>
      </c>
      <c r="AD14" s="106">
        <f t="shared" si="19"/>
        <v>90</v>
      </c>
      <c r="AE14" s="108">
        <f t="shared" si="20"/>
        <v>0.17142857142857143</v>
      </c>
      <c r="AF14" s="106">
        <f t="shared" si="21"/>
        <v>90</v>
      </c>
      <c r="AG14" s="108">
        <f t="shared" si="22"/>
        <v>0.17142857142857143</v>
      </c>
    </row>
    <row r="15" spans="1:33" x14ac:dyDescent="0.35">
      <c r="A15" s="97">
        <v>11</v>
      </c>
      <c r="B15" s="97">
        <v>9</v>
      </c>
      <c r="C15" s="68" t="str">
        <f t="shared" si="0"/>
        <v>[[0,70],[1,70],[2,70]]</v>
      </c>
      <c r="D15" s="68" t="str">
        <f t="shared" si="2"/>
        <v>[[0,70],[1,70],[2,70]]</v>
      </c>
      <c r="E15" s="68" t="str">
        <f t="shared" si="3"/>
        <v>[[0,70],[1,70],[2,70]]</v>
      </c>
      <c r="F15" s="102"/>
      <c r="H15" s="98"/>
      <c r="M15" s="97">
        <f t="shared" si="1"/>
        <v>2.25</v>
      </c>
      <c r="N15" s="106">
        <v>70</v>
      </c>
      <c r="O15" s="108">
        <f t="shared" si="6"/>
        <v>0.13333333333333333</v>
      </c>
      <c r="P15" s="106">
        <f t="shared" si="7"/>
        <v>70</v>
      </c>
      <c r="Q15" s="108">
        <f t="shared" si="8"/>
        <v>0.13333333333333333</v>
      </c>
      <c r="R15" s="106">
        <f t="shared" si="9"/>
        <v>70</v>
      </c>
      <c r="S15" s="108">
        <f t="shared" si="10"/>
        <v>0.13333333333333333</v>
      </c>
      <c r="U15" s="106">
        <f t="shared" si="11"/>
        <v>70</v>
      </c>
      <c r="V15" s="108">
        <f t="shared" si="12"/>
        <v>0.13333333333333333</v>
      </c>
      <c r="W15" s="106">
        <f t="shared" si="13"/>
        <v>70</v>
      </c>
      <c r="X15" s="108">
        <f t="shared" si="14"/>
        <v>0.13333333333333333</v>
      </c>
      <c r="Y15" s="106">
        <f t="shared" si="15"/>
        <v>70</v>
      </c>
      <c r="Z15" s="108">
        <f t="shared" si="16"/>
        <v>0.13333333333333333</v>
      </c>
      <c r="AB15" s="106">
        <f t="shared" si="17"/>
        <v>70</v>
      </c>
      <c r="AC15" s="108">
        <f t="shared" si="18"/>
        <v>0.13333333333333333</v>
      </c>
      <c r="AD15" s="106">
        <f t="shared" si="19"/>
        <v>70</v>
      </c>
      <c r="AE15" s="108">
        <f t="shared" si="20"/>
        <v>0.13333333333333333</v>
      </c>
      <c r="AF15" s="106">
        <f t="shared" si="21"/>
        <v>70</v>
      </c>
      <c r="AG15" s="108">
        <f t="shared" si="22"/>
        <v>0.13333333333333333</v>
      </c>
    </row>
    <row r="16" spans="1:33" x14ac:dyDescent="0.35">
      <c r="A16" s="97">
        <v>12</v>
      </c>
      <c r="B16" s="97">
        <v>8</v>
      </c>
      <c r="C16" s="68" t="str">
        <f t="shared" si="0"/>
        <v>[[0,50],[1,50],[2,50]]</v>
      </c>
      <c r="D16" s="68" t="str">
        <f t="shared" si="2"/>
        <v>[[0,50],[1,50],[2,50]]</v>
      </c>
      <c r="E16" s="68" t="str">
        <f t="shared" si="3"/>
        <v>[[0,50],[1,50],[2,50]]</v>
      </c>
      <c r="F16" s="102"/>
      <c r="H16" s="98"/>
      <c r="M16" s="97">
        <f t="shared" si="1"/>
        <v>2</v>
      </c>
      <c r="N16" s="106">
        <v>50</v>
      </c>
      <c r="O16" s="108">
        <f t="shared" si="6"/>
        <v>9.5238095238095233E-2</v>
      </c>
      <c r="P16" s="106">
        <f t="shared" si="7"/>
        <v>50</v>
      </c>
      <c r="Q16" s="108">
        <f t="shared" si="8"/>
        <v>9.5238095238095233E-2</v>
      </c>
      <c r="R16" s="106">
        <f t="shared" si="9"/>
        <v>50</v>
      </c>
      <c r="S16" s="108">
        <f t="shared" si="10"/>
        <v>9.5238095238095233E-2</v>
      </c>
      <c r="U16" s="106">
        <f t="shared" si="11"/>
        <v>50</v>
      </c>
      <c r="V16" s="108">
        <f t="shared" si="12"/>
        <v>9.5238095238095233E-2</v>
      </c>
      <c r="W16" s="106">
        <f t="shared" si="13"/>
        <v>50</v>
      </c>
      <c r="X16" s="108">
        <f t="shared" si="14"/>
        <v>9.5238095238095233E-2</v>
      </c>
      <c r="Y16" s="106">
        <f t="shared" si="15"/>
        <v>50</v>
      </c>
      <c r="Z16" s="108">
        <f t="shared" si="16"/>
        <v>9.5238095238095233E-2</v>
      </c>
      <c r="AB16" s="106">
        <f t="shared" si="17"/>
        <v>50</v>
      </c>
      <c r="AC16" s="108">
        <f t="shared" si="18"/>
        <v>9.5238095238095233E-2</v>
      </c>
      <c r="AD16" s="106">
        <f t="shared" si="19"/>
        <v>50</v>
      </c>
      <c r="AE16" s="108">
        <f t="shared" si="20"/>
        <v>9.5238095238095233E-2</v>
      </c>
      <c r="AF16" s="106">
        <f t="shared" si="21"/>
        <v>50</v>
      </c>
      <c r="AG16" s="108">
        <f t="shared" si="22"/>
        <v>9.5238095238095233E-2</v>
      </c>
    </row>
    <row r="17" spans="1:33" x14ac:dyDescent="0.35">
      <c r="A17" s="97">
        <v>13</v>
      </c>
      <c r="B17" s="97">
        <v>7</v>
      </c>
      <c r="C17" s="68" t="str">
        <f t="shared" si="0"/>
        <v>[[0,40],[1,40],[2,40]]</v>
      </c>
      <c r="D17" s="68" t="str">
        <f t="shared" si="2"/>
        <v>[[0,40],[1,40],[2,40]]</v>
      </c>
      <c r="E17" s="68" t="str">
        <f t="shared" si="3"/>
        <v>[[0,40],[1,40],[2,40]]</v>
      </c>
      <c r="F17" s="102"/>
      <c r="H17" s="98"/>
      <c r="M17" s="97">
        <f t="shared" si="1"/>
        <v>1.75</v>
      </c>
      <c r="N17" s="106">
        <v>40</v>
      </c>
      <c r="O17" s="108">
        <f t="shared" si="6"/>
        <v>7.6190476190476197E-2</v>
      </c>
      <c r="P17" s="106">
        <f t="shared" si="7"/>
        <v>40</v>
      </c>
      <c r="Q17" s="108">
        <f t="shared" si="8"/>
        <v>7.6190476190476197E-2</v>
      </c>
      <c r="R17" s="106">
        <f t="shared" si="9"/>
        <v>40</v>
      </c>
      <c r="S17" s="108">
        <f t="shared" si="10"/>
        <v>7.6190476190476197E-2</v>
      </c>
      <c r="U17" s="106">
        <f t="shared" si="11"/>
        <v>40</v>
      </c>
      <c r="V17" s="108">
        <f t="shared" si="12"/>
        <v>7.6190476190476197E-2</v>
      </c>
      <c r="W17" s="106">
        <f t="shared" si="13"/>
        <v>40</v>
      </c>
      <c r="X17" s="108">
        <f t="shared" si="14"/>
        <v>7.6190476190476197E-2</v>
      </c>
      <c r="Y17" s="106">
        <f t="shared" si="15"/>
        <v>40</v>
      </c>
      <c r="Z17" s="108">
        <f t="shared" si="16"/>
        <v>7.6190476190476197E-2</v>
      </c>
      <c r="AB17" s="106">
        <f t="shared" si="17"/>
        <v>40</v>
      </c>
      <c r="AC17" s="108">
        <f t="shared" si="18"/>
        <v>7.6190476190476197E-2</v>
      </c>
      <c r="AD17" s="106">
        <f t="shared" si="19"/>
        <v>40</v>
      </c>
      <c r="AE17" s="108">
        <f t="shared" si="20"/>
        <v>7.6190476190476197E-2</v>
      </c>
      <c r="AF17" s="106">
        <f t="shared" si="21"/>
        <v>40</v>
      </c>
      <c r="AG17" s="108">
        <f t="shared" si="22"/>
        <v>7.6190476190476197E-2</v>
      </c>
    </row>
    <row r="18" spans="1:33" x14ac:dyDescent="0.35">
      <c r="A18" s="97">
        <v>14</v>
      </c>
      <c r="B18" s="97">
        <v>6</v>
      </c>
      <c r="C18" s="68" t="str">
        <f t="shared" si="0"/>
        <v>[[0,30],[1,30],[2,30]]</v>
      </c>
      <c r="D18" s="68" t="str">
        <f t="shared" si="2"/>
        <v>[[0,30],[1,30],[2,30]]</v>
      </c>
      <c r="E18" s="68" t="str">
        <f t="shared" si="3"/>
        <v>[[0,30],[1,30],[2,30]]</v>
      </c>
      <c r="F18" s="102"/>
      <c r="H18" s="98"/>
      <c r="M18" s="97">
        <f t="shared" si="1"/>
        <v>1.5</v>
      </c>
      <c r="N18" s="106">
        <v>30</v>
      </c>
      <c r="O18" s="108">
        <f t="shared" si="6"/>
        <v>5.7142857142857141E-2</v>
      </c>
      <c r="P18" s="106">
        <f t="shared" si="7"/>
        <v>30</v>
      </c>
      <c r="Q18" s="108">
        <f t="shared" si="8"/>
        <v>5.7142857142857141E-2</v>
      </c>
      <c r="R18" s="106">
        <f t="shared" si="9"/>
        <v>30</v>
      </c>
      <c r="S18" s="108">
        <f t="shared" si="10"/>
        <v>5.7142857142857141E-2</v>
      </c>
      <c r="U18" s="106">
        <f t="shared" si="11"/>
        <v>30</v>
      </c>
      <c r="V18" s="108">
        <f t="shared" si="12"/>
        <v>5.7142857142857141E-2</v>
      </c>
      <c r="W18" s="106">
        <f t="shared" si="13"/>
        <v>30</v>
      </c>
      <c r="X18" s="108">
        <f t="shared" si="14"/>
        <v>5.7142857142857141E-2</v>
      </c>
      <c r="Y18" s="106">
        <f t="shared" si="15"/>
        <v>30</v>
      </c>
      <c r="Z18" s="108">
        <f t="shared" si="16"/>
        <v>5.7142857142857141E-2</v>
      </c>
      <c r="AB18" s="106">
        <f t="shared" si="17"/>
        <v>30</v>
      </c>
      <c r="AC18" s="108">
        <f t="shared" si="18"/>
        <v>5.7142857142857141E-2</v>
      </c>
      <c r="AD18" s="106">
        <f t="shared" si="19"/>
        <v>30</v>
      </c>
      <c r="AE18" s="108">
        <f t="shared" si="20"/>
        <v>5.7142857142857141E-2</v>
      </c>
      <c r="AF18" s="106">
        <f t="shared" si="21"/>
        <v>30</v>
      </c>
      <c r="AG18" s="108">
        <f t="shared" si="22"/>
        <v>5.7142857142857141E-2</v>
      </c>
    </row>
    <row r="19" spans="1:33" x14ac:dyDescent="0.35">
      <c r="A19" s="97">
        <v>15</v>
      </c>
      <c r="B19" s="97">
        <v>5</v>
      </c>
      <c r="C19" s="68" t="str">
        <f t="shared" si="0"/>
        <v>[[0,20],[1,20],[2,20]]</v>
      </c>
      <c r="D19" s="68" t="str">
        <f t="shared" si="2"/>
        <v>[[0,20],[1,20],[2,20]]</v>
      </c>
      <c r="E19" s="68" t="str">
        <f t="shared" si="3"/>
        <v>[[0,20],[1,20],[2,20]]</v>
      </c>
      <c r="F19" s="102"/>
      <c r="H19" s="98"/>
      <c r="M19" s="97">
        <f t="shared" si="1"/>
        <v>1.25</v>
      </c>
      <c r="N19" s="106">
        <v>20</v>
      </c>
      <c r="O19" s="108">
        <f t="shared" si="6"/>
        <v>3.8095238095238099E-2</v>
      </c>
      <c r="P19" s="106">
        <f t="shared" si="7"/>
        <v>20</v>
      </c>
      <c r="Q19" s="108">
        <f t="shared" si="8"/>
        <v>3.8095238095238099E-2</v>
      </c>
      <c r="R19" s="106">
        <f t="shared" si="9"/>
        <v>20</v>
      </c>
      <c r="S19" s="108">
        <f t="shared" si="10"/>
        <v>3.8095238095238099E-2</v>
      </c>
      <c r="U19" s="106">
        <f t="shared" si="11"/>
        <v>20</v>
      </c>
      <c r="V19" s="108">
        <f t="shared" si="12"/>
        <v>3.8095238095238099E-2</v>
      </c>
      <c r="W19" s="106">
        <f t="shared" si="13"/>
        <v>20</v>
      </c>
      <c r="X19" s="108">
        <f t="shared" si="14"/>
        <v>3.8095238095238099E-2</v>
      </c>
      <c r="Y19" s="106">
        <f t="shared" si="15"/>
        <v>20</v>
      </c>
      <c r="Z19" s="108">
        <f t="shared" si="16"/>
        <v>3.8095238095238099E-2</v>
      </c>
      <c r="AB19" s="106">
        <f t="shared" si="17"/>
        <v>20</v>
      </c>
      <c r="AC19" s="108">
        <f t="shared" si="18"/>
        <v>3.8095238095238099E-2</v>
      </c>
      <c r="AD19" s="106">
        <f t="shared" si="19"/>
        <v>20</v>
      </c>
      <c r="AE19" s="108">
        <f t="shared" si="20"/>
        <v>3.8095238095238099E-2</v>
      </c>
      <c r="AF19" s="106">
        <f t="shared" si="21"/>
        <v>20</v>
      </c>
      <c r="AG19" s="108">
        <f t="shared" si="22"/>
        <v>3.8095238095238099E-2</v>
      </c>
    </row>
    <row r="20" spans="1:33" x14ac:dyDescent="0.35">
      <c r="A20" s="97">
        <v>16</v>
      </c>
      <c r="B20" s="97">
        <v>4</v>
      </c>
      <c r="C20" s="68" t="str">
        <f t="shared" si="0"/>
        <v>[[0,5],[1,5],[2,5]]</v>
      </c>
      <c r="D20" s="68" t="str">
        <f t="shared" si="2"/>
        <v>[[0,5],[1,5],[2,5]]</v>
      </c>
      <c r="E20" s="68" t="str">
        <f t="shared" si="3"/>
        <v>[[0,5],[1,5],[2,5]]</v>
      </c>
      <c r="F20" s="102"/>
      <c r="H20" s="98"/>
      <c r="M20" s="97">
        <f t="shared" si="1"/>
        <v>1</v>
      </c>
      <c r="N20" s="106">
        <v>5</v>
      </c>
      <c r="O20" s="108">
        <f t="shared" si="6"/>
        <v>9.5238095238095247E-3</v>
      </c>
      <c r="P20" s="106">
        <f t="shared" si="7"/>
        <v>5</v>
      </c>
      <c r="Q20" s="108">
        <f t="shared" si="8"/>
        <v>9.5238095238095247E-3</v>
      </c>
      <c r="R20" s="106">
        <f t="shared" si="9"/>
        <v>5</v>
      </c>
      <c r="S20" s="108">
        <f t="shared" si="10"/>
        <v>9.5238095238095247E-3</v>
      </c>
      <c r="U20" s="106">
        <f t="shared" si="11"/>
        <v>5</v>
      </c>
      <c r="V20" s="108">
        <f t="shared" si="12"/>
        <v>9.5238095238095247E-3</v>
      </c>
      <c r="W20" s="106">
        <f t="shared" si="13"/>
        <v>5</v>
      </c>
      <c r="X20" s="108">
        <f t="shared" si="14"/>
        <v>9.5238095238095247E-3</v>
      </c>
      <c r="Y20" s="106">
        <f t="shared" si="15"/>
        <v>5</v>
      </c>
      <c r="Z20" s="108">
        <f t="shared" si="16"/>
        <v>9.5238095238095247E-3</v>
      </c>
      <c r="AB20" s="106">
        <f t="shared" si="17"/>
        <v>5</v>
      </c>
      <c r="AC20" s="108">
        <f t="shared" si="18"/>
        <v>9.5238095238095247E-3</v>
      </c>
      <c r="AD20" s="106">
        <f t="shared" si="19"/>
        <v>5</v>
      </c>
      <c r="AE20" s="108">
        <f t="shared" si="20"/>
        <v>9.5238095238095247E-3</v>
      </c>
      <c r="AF20" s="106">
        <f t="shared" si="21"/>
        <v>5</v>
      </c>
      <c r="AG20" s="108">
        <f t="shared" si="22"/>
        <v>9.5238095238095247E-3</v>
      </c>
    </row>
    <row r="21" spans="1:33" x14ac:dyDescent="0.35">
      <c r="A21" s="97">
        <v>17</v>
      </c>
      <c r="B21" s="97">
        <v>4</v>
      </c>
      <c r="C21" s="68" t="str">
        <f t="shared" si="0"/>
        <v>[[0,5],[1,5],[2,5]]</v>
      </c>
      <c r="D21" s="68" t="str">
        <f t="shared" si="2"/>
        <v>[[0,5],[1,5],[2,5]]</v>
      </c>
      <c r="E21" s="68" t="str">
        <f t="shared" si="3"/>
        <v>[[0,5],[1,5],[2,5]]</v>
      </c>
      <c r="F21" s="102"/>
      <c r="H21" s="98"/>
      <c r="M21" s="97">
        <f t="shared" si="1"/>
        <v>1</v>
      </c>
      <c r="N21" s="106">
        <v>5</v>
      </c>
      <c r="O21" s="108">
        <f t="shared" si="6"/>
        <v>9.5238095238095247E-3</v>
      </c>
      <c r="P21" s="106">
        <f t="shared" si="7"/>
        <v>5</v>
      </c>
      <c r="Q21" s="108">
        <f t="shared" si="8"/>
        <v>9.5238095238095247E-3</v>
      </c>
      <c r="R21" s="106">
        <f t="shared" si="9"/>
        <v>5</v>
      </c>
      <c r="S21" s="108">
        <f t="shared" si="10"/>
        <v>9.5238095238095247E-3</v>
      </c>
      <c r="U21" s="106">
        <f t="shared" si="11"/>
        <v>5</v>
      </c>
      <c r="V21" s="108">
        <f t="shared" si="12"/>
        <v>9.5238095238095247E-3</v>
      </c>
      <c r="W21" s="106">
        <f t="shared" si="13"/>
        <v>5</v>
      </c>
      <c r="X21" s="108">
        <f t="shared" si="14"/>
        <v>9.5238095238095247E-3</v>
      </c>
      <c r="Y21" s="106">
        <f t="shared" si="15"/>
        <v>5</v>
      </c>
      <c r="Z21" s="108">
        <f t="shared" si="16"/>
        <v>9.5238095238095247E-3</v>
      </c>
      <c r="AB21" s="106">
        <f t="shared" si="17"/>
        <v>5</v>
      </c>
      <c r="AC21" s="108">
        <f t="shared" si="18"/>
        <v>9.5238095238095247E-3</v>
      </c>
      <c r="AD21" s="106">
        <f t="shared" si="19"/>
        <v>5</v>
      </c>
      <c r="AE21" s="108">
        <f t="shared" si="20"/>
        <v>9.5238095238095247E-3</v>
      </c>
      <c r="AF21" s="106">
        <f t="shared" si="21"/>
        <v>5</v>
      </c>
      <c r="AG21" s="108">
        <f t="shared" si="22"/>
        <v>9.5238095238095247E-3</v>
      </c>
    </row>
    <row r="22" spans="1:33" x14ac:dyDescent="0.35">
      <c r="A22" s="97">
        <v>18</v>
      </c>
      <c r="B22" s="97">
        <v>4</v>
      </c>
      <c r="C22" s="68" t="str">
        <f t="shared" si="0"/>
        <v>[[0,5],[1,5],[2,5]]</v>
      </c>
      <c r="D22" s="68" t="str">
        <f t="shared" si="2"/>
        <v>[[0,5],[1,5],[2,5]]</v>
      </c>
      <c r="E22" s="68" t="str">
        <f t="shared" si="3"/>
        <v>[[0,5],[1,5],[2,5]]</v>
      </c>
      <c r="F22" s="102"/>
      <c r="H22" s="98"/>
      <c r="M22" s="97">
        <f t="shared" si="1"/>
        <v>1</v>
      </c>
      <c r="N22" s="106">
        <v>5</v>
      </c>
      <c r="O22" s="108">
        <f t="shared" si="6"/>
        <v>9.5238095238095247E-3</v>
      </c>
      <c r="P22" s="106">
        <f t="shared" si="7"/>
        <v>5</v>
      </c>
      <c r="Q22" s="108">
        <f t="shared" si="8"/>
        <v>9.5238095238095247E-3</v>
      </c>
      <c r="R22" s="106">
        <f t="shared" si="9"/>
        <v>5</v>
      </c>
      <c r="S22" s="108">
        <f t="shared" si="10"/>
        <v>9.5238095238095247E-3</v>
      </c>
      <c r="U22" s="106">
        <f t="shared" si="11"/>
        <v>5</v>
      </c>
      <c r="V22" s="108">
        <f t="shared" si="12"/>
        <v>9.5238095238095247E-3</v>
      </c>
      <c r="W22" s="106">
        <f t="shared" si="13"/>
        <v>5</v>
      </c>
      <c r="X22" s="108">
        <f t="shared" si="14"/>
        <v>9.5238095238095247E-3</v>
      </c>
      <c r="Y22" s="106">
        <f t="shared" si="15"/>
        <v>5</v>
      </c>
      <c r="Z22" s="108">
        <f t="shared" si="16"/>
        <v>9.5238095238095247E-3</v>
      </c>
      <c r="AB22" s="106">
        <f t="shared" si="17"/>
        <v>5</v>
      </c>
      <c r="AC22" s="108">
        <f t="shared" si="18"/>
        <v>9.5238095238095247E-3</v>
      </c>
      <c r="AD22" s="106">
        <f t="shared" si="19"/>
        <v>5</v>
      </c>
      <c r="AE22" s="108">
        <f t="shared" si="20"/>
        <v>9.5238095238095247E-3</v>
      </c>
      <c r="AF22" s="106">
        <f t="shared" si="21"/>
        <v>5</v>
      </c>
      <c r="AG22" s="108">
        <f t="shared" si="22"/>
        <v>9.5238095238095247E-3</v>
      </c>
    </row>
    <row r="23" spans="1:33" x14ac:dyDescent="0.35">
      <c r="M23" s="68"/>
    </row>
    <row r="24" spans="1:33" x14ac:dyDescent="0.35">
      <c r="M24" s="68"/>
    </row>
    <row r="25" spans="1:33" x14ac:dyDescent="0.35">
      <c r="M25" s="68"/>
    </row>
    <row r="26" spans="1:33" x14ac:dyDescent="0.35">
      <c r="M26" s="68"/>
    </row>
    <row r="27" spans="1:33" x14ac:dyDescent="0.35">
      <c r="M27" s="68"/>
    </row>
    <row r="28" spans="1:33" x14ac:dyDescent="0.35">
      <c r="M28" s="68"/>
    </row>
    <row r="29" spans="1:33" x14ac:dyDescent="0.35">
      <c r="M29" s="68"/>
    </row>
    <row r="30" spans="1:33" x14ac:dyDescent="0.35">
      <c r="M30" s="68"/>
    </row>
  </sheetData>
  <mergeCells count="3">
    <mergeCell ref="N1:N2"/>
    <mergeCell ref="U1:U2"/>
    <mergeCell ref="AB1:AB2"/>
  </mergeCells>
  <phoneticPr fontId="21" type="noConversion"/>
  <conditionalFormatting sqref="A1 H5:H7 J5:J7">
    <cfRule type="containsText" dxfId="17" priority="24" operator="containsText" text=" ">
      <formula>NOT(ISERROR(SEARCH(" ",A1)))</formula>
    </cfRule>
  </conditionalFormatting>
  <conditionalFormatting sqref="B1">
    <cfRule type="containsText" dxfId="16" priority="28" operator="containsText" text=" ">
      <formula>NOT(ISERROR(SEARCH(" ",B1)))</formula>
    </cfRule>
  </conditionalFormatting>
  <conditionalFormatting sqref="A2">
    <cfRule type="containsText" dxfId="15" priority="21" operator="containsText" text=" ">
      <formula>NOT(ISERROR(SEARCH(" ",A2)))</formula>
    </cfRule>
  </conditionalFormatting>
  <conditionalFormatting sqref="B2">
    <cfRule type="containsText" dxfId="14" priority="25" operator="containsText" text=" ">
      <formula>NOT(ISERROR(SEARCH(" ",B2)))</formula>
    </cfRule>
  </conditionalFormatting>
  <conditionalFormatting sqref="A3">
    <cfRule type="containsText" dxfId="13" priority="23" operator="containsText" text=" ">
      <formula>NOT(ISERROR(SEARCH(" ",A3)))</formula>
    </cfRule>
  </conditionalFormatting>
  <conditionalFormatting sqref="B3">
    <cfRule type="containsText" dxfId="12" priority="27" operator="containsText" text=" ">
      <formula>NOT(ISERROR(SEARCH(" ",B3)))</formula>
    </cfRule>
  </conditionalFormatting>
  <conditionalFormatting sqref="A4">
    <cfRule type="containsText" dxfId="11" priority="22" operator="containsText" text=" ">
      <formula>NOT(ISERROR(SEARCH(" ",A4)))</formula>
    </cfRule>
  </conditionalFormatting>
  <conditionalFormatting sqref="B4">
    <cfRule type="containsText" dxfId="10" priority="26" operator="containsText" text=" ">
      <formula>NOT(ISERROR(SEARCH(" ",B4)))</formula>
    </cfRule>
  </conditionalFormatting>
  <conditionalFormatting sqref="I5:I7">
    <cfRule type="containsText" dxfId="9" priority="16" operator="containsText" text=" ">
      <formula>NOT(ISERROR(SEARCH(" ",I5)))</formula>
    </cfRule>
  </conditionalFormatting>
  <conditionalFormatting sqref="D1">
    <cfRule type="containsText" dxfId="8" priority="8" operator="containsText" text=" ">
      <formula>NOT(ISERROR(SEARCH(" ",D1)))</formula>
    </cfRule>
  </conditionalFormatting>
  <conditionalFormatting sqref="D2">
    <cfRule type="containsText" dxfId="7" priority="9" operator="containsText" text=" ">
      <formula>NOT(ISERROR(SEARCH(" ",D2)))</formula>
    </cfRule>
  </conditionalFormatting>
  <conditionalFormatting sqref="C3:C4">
    <cfRule type="containsText" dxfId="6" priority="13" operator="containsText" text=" ">
      <formula>NOT(ISERROR(SEARCH(" ",C3)))</formula>
    </cfRule>
  </conditionalFormatting>
  <conditionalFormatting sqref="C1">
    <cfRule type="containsText" dxfId="5" priority="11" operator="containsText" text=" ">
      <formula>NOT(ISERROR(SEARCH(" ",C1)))</formula>
    </cfRule>
  </conditionalFormatting>
  <conditionalFormatting sqref="C2">
    <cfRule type="containsText" dxfId="4" priority="12" operator="containsText" text=" ">
      <formula>NOT(ISERROR(SEARCH(" ",C2)))</formula>
    </cfRule>
  </conditionalFormatting>
  <conditionalFormatting sqref="D3:D4">
    <cfRule type="containsText" dxfId="3" priority="10" operator="containsText" text=" ">
      <formula>NOT(ISERROR(SEARCH(" ",D3)))</formula>
    </cfRule>
  </conditionalFormatting>
  <conditionalFormatting sqref="E3:E4">
    <cfRule type="containsText" dxfId="2" priority="7" operator="containsText" text=" ">
      <formula>NOT(ISERROR(SEARCH(" ",E3)))</formula>
    </cfRule>
  </conditionalFormatting>
  <conditionalFormatting sqref="E1">
    <cfRule type="containsText" dxfId="1" priority="5" operator="containsText" text=" ">
      <formula>NOT(ISERROR(SEARCH(" ",E1)))</formula>
    </cfRule>
  </conditionalFormatting>
  <conditionalFormatting sqref="E2">
    <cfRule type="containsText" dxfId="0" priority="6" operator="containsText" text=" ">
      <formula>NOT(ISERROR(SEARCH(" ",E2)))</formula>
    </cfRule>
  </conditionalFormatting>
  <conditionalFormatting sqref="M5:M22">
    <cfRule type="colorScale" priority="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充值档位名称|RMBDes</vt:lpstr>
      <vt:lpstr>充值活动|RMBActivities</vt:lpstr>
      <vt:lpstr>每日超值|DailyGiftRe</vt:lpstr>
      <vt:lpstr>会员卡|NobleCard</vt:lpstr>
      <vt:lpstr>商城|Shop</vt:lpstr>
      <vt:lpstr>欢乐转转转|Turntable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jianlong wo</cp:lastModifiedBy>
  <dcterms:created xsi:type="dcterms:W3CDTF">2006-09-16T00:00:00Z</dcterms:created>
  <dcterms:modified xsi:type="dcterms:W3CDTF">2020-11-04T06:35:11Z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