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ish\tech\json_app_release\DataTable\"/>
    </mc:Choice>
  </mc:AlternateContent>
  <bookViews>
    <workbookView xWindow="0" yWindow="0" windowWidth="23904" windowHeight="10284" tabRatio="935" firstSheet="3" activeTab="1"/>
  </bookViews>
  <sheets>
    <sheet name="爆爆河豚|Hetun" sheetId="48" r:id="rId1"/>
    <sheet name="房间规则|RoomRules" sheetId="22" r:id="rId2"/>
    <sheet name="房间假数据|FakeRoom" sheetId="53" r:id="rId3"/>
    <sheet name="用户升级|RoleUp" sheetId="2" r:id="rId4"/>
    <sheet name="抽奖|MoonBless" sheetId="31" r:id="rId5"/>
    <sheet name="山河社稷图掉落|ShanheDrop" sheetId="52" r:id="rId6"/>
    <sheet name="掉落|Drop" sheetId="25" r:id="rId7"/>
    <sheet name="兑换|Exchange" sheetId="24" r:id="rId8"/>
    <sheet name="签到|SignIn" sheetId="9" r:id="rId9"/>
    <sheet name="三日礼|ThreeDays" sheetId="49" r:id="rId10"/>
    <sheet name="福卡赛奖励|CompetitionBillReward" sheetId="32" r:id="rId11"/>
    <sheet name="BOSS翻N倍玩法|BossOfNfold" sheetId="30" r:id="rId12"/>
    <sheet name="每日充值|Recharge" sheetId="47" r:id="rId13"/>
    <sheet name="福卡鱼潮S值|BasicsBillValue" sheetId="42" r:id="rId14"/>
    <sheet name="话费赛潜艇|AirBalloon" sheetId="19" r:id="rId15"/>
    <sheet name="新手七天|SevenDay" sheetId="33" r:id="rId16"/>
    <sheet name="潜艇等级|AirBallLv" sheetId="46" r:id="rId17"/>
  </sheets>
  <definedNames>
    <definedName name="_xlnm._FilterDatabase" localSheetId="4" hidden="1">'抽奖|MoonBless'!$CU$4:$DI$4</definedName>
  </definedNames>
  <calcPr calcId="162913"/>
</workbook>
</file>

<file path=xl/calcChain.xml><?xml version="1.0" encoding="utf-8"?>
<calcChain xmlns="http://schemas.openxmlformats.org/spreadsheetml/2006/main">
  <c r="AX30" i="2" l="1"/>
  <c r="AW30" i="2"/>
  <c r="AV30" i="2"/>
  <c r="AU30" i="2"/>
  <c r="AT30" i="2"/>
  <c r="AS30" i="2"/>
  <c r="AX29" i="2"/>
  <c r="AW29" i="2"/>
  <c r="AV29" i="2"/>
  <c r="AU29" i="2"/>
  <c r="AT29" i="2"/>
  <c r="AS29" i="2"/>
  <c r="AX28" i="2"/>
  <c r="AW28" i="2"/>
  <c r="AV28" i="2"/>
  <c r="AU28" i="2"/>
  <c r="AT28" i="2"/>
  <c r="AS28" i="2"/>
  <c r="AX27" i="2"/>
  <c r="AW27" i="2"/>
  <c r="AV27" i="2"/>
  <c r="AU27" i="2"/>
  <c r="AT27" i="2"/>
  <c r="AS27" i="2"/>
  <c r="AX26" i="2"/>
  <c r="AW26" i="2"/>
  <c r="AV26" i="2"/>
  <c r="AU26" i="2"/>
  <c r="AT26" i="2"/>
  <c r="AS26" i="2"/>
  <c r="AX25" i="2"/>
  <c r="AW25" i="2"/>
  <c r="AV25" i="2"/>
  <c r="AU25" i="2"/>
  <c r="AT25" i="2"/>
  <c r="AS25" i="2"/>
  <c r="AX24" i="2"/>
  <c r="AW24" i="2"/>
  <c r="AV24" i="2"/>
  <c r="AU24" i="2"/>
  <c r="AT24" i="2"/>
  <c r="AS24" i="2"/>
  <c r="AX23" i="2"/>
  <c r="AW23" i="2"/>
  <c r="AV23" i="2"/>
  <c r="AU23" i="2"/>
  <c r="AT23" i="2"/>
  <c r="AS23" i="2"/>
  <c r="AX22" i="2"/>
  <c r="AW22" i="2"/>
  <c r="AV22" i="2"/>
  <c r="AU22" i="2"/>
  <c r="AT22" i="2"/>
  <c r="AS22" i="2"/>
  <c r="AX21" i="2"/>
  <c r="AW21" i="2"/>
  <c r="AV21" i="2"/>
  <c r="AU21" i="2"/>
  <c r="AT21" i="2"/>
  <c r="AS21" i="2"/>
  <c r="AX20" i="2"/>
  <c r="AW20" i="2"/>
  <c r="AV20" i="2"/>
  <c r="AU20" i="2"/>
  <c r="AT20" i="2"/>
  <c r="AS20" i="2"/>
  <c r="AX19" i="2"/>
  <c r="AW19" i="2"/>
  <c r="AV19" i="2"/>
  <c r="AU19" i="2"/>
  <c r="AT19" i="2"/>
  <c r="AS19" i="2"/>
  <c r="AX18" i="2"/>
  <c r="AW18" i="2"/>
  <c r="AV18" i="2"/>
  <c r="AU18" i="2"/>
  <c r="AT18" i="2"/>
  <c r="AS18" i="2"/>
  <c r="AX17" i="2"/>
  <c r="AW17" i="2"/>
  <c r="AV17" i="2"/>
  <c r="AU17" i="2"/>
  <c r="AT17" i="2"/>
  <c r="AS17" i="2"/>
  <c r="AX16" i="2"/>
  <c r="AW16" i="2"/>
  <c r="AV16" i="2"/>
  <c r="AU16" i="2"/>
  <c r="AT16" i="2"/>
  <c r="AS16" i="2"/>
  <c r="AX15" i="2"/>
  <c r="AW15" i="2"/>
  <c r="AV15" i="2"/>
  <c r="AU15" i="2"/>
  <c r="AT15" i="2"/>
  <c r="AS15" i="2"/>
  <c r="AX14" i="2"/>
  <c r="AW14" i="2"/>
  <c r="AV14" i="2"/>
  <c r="AU14" i="2"/>
  <c r="AT14" i="2"/>
  <c r="AS14" i="2"/>
  <c r="AX13" i="2"/>
  <c r="AW13" i="2"/>
  <c r="AV13" i="2"/>
  <c r="AU13" i="2"/>
  <c r="AT13" i="2"/>
  <c r="AS13" i="2"/>
  <c r="AX12" i="2"/>
  <c r="AW12" i="2"/>
  <c r="AV12" i="2"/>
  <c r="AU12" i="2"/>
  <c r="AT12" i="2"/>
  <c r="AS12" i="2"/>
  <c r="AX11" i="2"/>
  <c r="AW11" i="2"/>
  <c r="AV11" i="2"/>
  <c r="AU11" i="2"/>
  <c r="AT11" i="2"/>
  <c r="AS11" i="2"/>
  <c r="AX10" i="2"/>
  <c r="AW10" i="2"/>
  <c r="AV10" i="2"/>
  <c r="AU10" i="2"/>
  <c r="AT10" i="2"/>
  <c r="AS10" i="2"/>
  <c r="AX9" i="2"/>
  <c r="AW9" i="2"/>
  <c r="AV9" i="2"/>
  <c r="AU9" i="2"/>
  <c r="AT9" i="2"/>
  <c r="AS9" i="2"/>
  <c r="AX8" i="2"/>
  <c r="AW8" i="2"/>
  <c r="AV8" i="2"/>
  <c r="AU8" i="2"/>
  <c r="AT8" i="2"/>
  <c r="AS8" i="2"/>
  <c r="AX7" i="2"/>
  <c r="AW7" i="2"/>
  <c r="AV7" i="2"/>
  <c r="AU7" i="2"/>
  <c r="AT7" i="2"/>
  <c r="AS7" i="2"/>
  <c r="AX6" i="2"/>
  <c r="AW6" i="2"/>
  <c r="AV6" i="2"/>
  <c r="AU6" i="2"/>
  <c r="AT6" i="2"/>
  <c r="AS6" i="2"/>
  <c r="AX5" i="2"/>
  <c r="AW5" i="2"/>
  <c r="AV5" i="2"/>
  <c r="AU5" i="2"/>
  <c r="AT5" i="2"/>
  <c r="AS5" i="2"/>
  <c r="AX4" i="2"/>
  <c r="AW4" i="2"/>
  <c r="AV4" i="2"/>
  <c r="AU4" i="2"/>
  <c r="AT4" i="2"/>
  <c r="AS4" i="2"/>
  <c r="N103" i="2" l="1"/>
  <c r="O103" i="2" s="1"/>
  <c r="B103" i="2" s="1"/>
  <c r="K103" i="2"/>
  <c r="L103" i="2" s="1"/>
  <c r="E103" i="2"/>
  <c r="D103" i="2"/>
  <c r="O102" i="2"/>
  <c r="B102" i="2" s="1"/>
  <c r="N102" i="2"/>
  <c r="K102" i="2"/>
  <c r="L102" i="2" s="1"/>
  <c r="E102" i="2"/>
  <c r="D102" i="2"/>
  <c r="N101" i="2"/>
  <c r="O101" i="2" s="1"/>
  <c r="B101" i="2" s="1"/>
  <c r="K101" i="2"/>
  <c r="L101" i="2" s="1"/>
  <c r="E101" i="2"/>
  <c r="D101" i="2"/>
  <c r="N100" i="2"/>
  <c r="O100" i="2" s="1"/>
  <c r="B100" i="2" s="1"/>
  <c r="L100" i="2"/>
  <c r="K100" i="2"/>
  <c r="E100" i="2"/>
  <c r="D100" i="2"/>
  <c r="N99" i="2"/>
  <c r="O99" i="2" s="1"/>
  <c r="B99" i="2" s="1"/>
  <c r="K99" i="2"/>
  <c r="L99" i="2" s="1"/>
  <c r="E99" i="2"/>
  <c r="D99" i="2"/>
  <c r="O98" i="2"/>
  <c r="B98" i="2" s="1"/>
  <c r="N98" i="2"/>
  <c r="K98" i="2"/>
  <c r="L98" i="2" s="1"/>
  <c r="E98" i="2"/>
  <c r="D98" i="2"/>
  <c r="O97" i="2"/>
  <c r="N97" i="2"/>
  <c r="K97" i="2"/>
  <c r="L97" i="2" s="1"/>
  <c r="E97" i="2"/>
  <c r="D97" i="2"/>
  <c r="B97" i="2"/>
  <c r="N96" i="2"/>
  <c r="O96" i="2" s="1"/>
  <c r="B96" i="2" s="1"/>
  <c r="L96" i="2"/>
  <c r="K96" i="2"/>
  <c r="E96" i="2"/>
  <c r="D96" i="2"/>
  <c r="N95" i="2"/>
  <c r="O95" i="2" s="1"/>
  <c r="B95" i="2" s="1"/>
  <c r="K95" i="2"/>
  <c r="L95" i="2" s="1"/>
  <c r="E95" i="2"/>
  <c r="D95" i="2"/>
  <c r="O94" i="2"/>
  <c r="B94" i="2" s="1"/>
  <c r="N94" i="2"/>
  <c r="K94" i="2"/>
  <c r="L94" i="2" s="1"/>
  <c r="E94" i="2"/>
  <c r="D94" i="2"/>
  <c r="N93" i="2"/>
  <c r="O93" i="2" s="1"/>
  <c r="B93" i="2" s="1"/>
  <c r="K93" i="2"/>
  <c r="L93" i="2" s="1"/>
  <c r="E93" i="2"/>
  <c r="D93" i="2"/>
  <c r="N92" i="2"/>
  <c r="O92" i="2" s="1"/>
  <c r="B92" i="2" s="1"/>
  <c r="L92" i="2"/>
  <c r="K92" i="2"/>
  <c r="E92" i="2"/>
  <c r="D92" i="2"/>
  <c r="N91" i="2"/>
  <c r="O91" i="2" s="1"/>
  <c r="B91" i="2" s="1"/>
  <c r="L91" i="2"/>
  <c r="K91" i="2"/>
  <c r="E91" i="2"/>
  <c r="D91" i="2"/>
  <c r="O90" i="2"/>
  <c r="B90" i="2" s="1"/>
  <c r="N90" i="2"/>
  <c r="K90" i="2"/>
  <c r="L90" i="2" s="1"/>
  <c r="E90" i="2"/>
  <c r="D90" i="2"/>
  <c r="O89" i="2"/>
  <c r="N89" i="2"/>
  <c r="K89" i="2"/>
  <c r="L89" i="2" s="1"/>
  <c r="E89" i="2"/>
  <c r="D89" i="2"/>
  <c r="B89" i="2"/>
  <c r="N88" i="2"/>
  <c r="O88" i="2" s="1"/>
  <c r="B88" i="2" s="1"/>
  <c r="L88" i="2"/>
  <c r="K88" i="2"/>
  <c r="E88" i="2"/>
  <c r="D88" i="2"/>
  <c r="N87" i="2"/>
  <c r="O87" i="2" s="1"/>
  <c r="B87" i="2" s="1"/>
  <c r="K87" i="2"/>
  <c r="L87" i="2" s="1"/>
  <c r="E87" i="2"/>
  <c r="D87" i="2"/>
  <c r="O86" i="2"/>
  <c r="B86" i="2" s="1"/>
  <c r="N86" i="2"/>
  <c r="K86" i="2"/>
  <c r="L86" i="2" s="1"/>
  <c r="E86" i="2"/>
  <c r="D86" i="2"/>
  <c r="N85" i="2"/>
  <c r="O85" i="2" s="1"/>
  <c r="B85" i="2" s="1"/>
  <c r="K85" i="2"/>
  <c r="L85" i="2" s="1"/>
  <c r="E85" i="2"/>
  <c r="D85" i="2"/>
  <c r="N84" i="2"/>
  <c r="O84" i="2" s="1"/>
  <c r="B84" i="2" s="1"/>
  <c r="L84" i="2"/>
  <c r="K84" i="2"/>
  <c r="E84" i="2"/>
  <c r="D84" i="2"/>
  <c r="N83" i="2"/>
  <c r="O83" i="2" s="1"/>
  <c r="B83" i="2" s="1"/>
  <c r="K83" i="2"/>
  <c r="L83" i="2" s="1"/>
  <c r="E83" i="2"/>
  <c r="D83" i="2"/>
  <c r="O82" i="2"/>
  <c r="B82" i="2" s="1"/>
  <c r="N82" i="2"/>
  <c r="K82" i="2"/>
  <c r="L82" i="2" s="1"/>
  <c r="E82" i="2"/>
  <c r="D82" i="2"/>
  <c r="O81" i="2"/>
  <c r="B81" i="2" s="1"/>
  <c r="N81" i="2"/>
  <c r="K81" i="2"/>
  <c r="L81" i="2" s="1"/>
  <c r="E81" i="2"/>
  <c r="D81" i="2"/>
  <c r="N80" i="2"/>
  <c r="O80" i="2" s="1"/>
  <c r="L80" i="2"/>
  <c r="K80" i="2"/>
  <c r="E80" i="2"/>
  <c r="D80" i="2"/>
  <c r="B80" i="2"/>
  <c r="N79" i="2"/>
  <c r="O79" i="2" s="1"/>
  <c r="B79" i="2" s="1"/>
  <c r="L79" i="2"/>
  <c r="K79" i="2"/>
  <c r="E79" i="2"/>
  <c r="D79" i="2"/>
  <c r="O78" i="2"/>
  <c r="B78" i="2" s="1"/>
  <c r="N78" i="2"/>
  <c r="K78" i="2"/>
  <c r="L78" i="2" s="1"/>
  <c r="E78" i="2"/>
  <c r="D78" i="2"/>
  <c r="O77" i="2"/>
  <c r="N77" i="2"/>
  <c r="K77" i="2"/>
  <c r="L77" i="2" s="1"/>
  <c r="E77" i="2"/>
  <c r="D77" i="2"/>
  <c r="B77" i="2"/>
  <c r="N76" i="2"/>
  <c r="O76" i="2" s="1"/>
  <c r="B76" i="2" s="1"/>
  <c r="L76" i="2"/>
  <c r="K76" i="2"/>
  <c r="E76" i="2"/>
  <c r="D76" i="2"/>
  <c r="N75" i="2"/>
  <c r="O75" i="2" s="1"/>
  <c r="B75" i="2" s="1"/>
  <c r="L75" i="2"/>
  <c r="K75" i="2"/>
  <c r="E75" i="2"/>
  <c r="D75" i="2"/>
  <c r="O74" i="2"/>
  <c r="B74" i="2" s="1"/>
  <c r="N74" i="2"/>
  <c r="K74" i="2"/>
  <c r="L74" i="2" s="1"/>
  <c r="E74" i="2"/>
  <c r="D74" i="2"/>
  <c r="O73" i="2"/>
  <c r="B73" i="2" s="1"/>
  <c r="N73" i="2"/>
  <c r="K73" i="2"/>
  <c r="L73" i="2" s="1"/>
  <c r="E73" i="2"/>
  <c r="D73" i="2"/>
  <c r="N72" i="2"/>
  <c r="O72" i="2" s="1"/>
  <c r="L72" i="2"/>
  <c r="K72" i="2"/>
  <c r="E72" i="2"/>
  <c r="D72" i="2"/>
  <c r="B72" i="2"/>
  <c r="N71" i="2"/>
  <c r="O71" i="2" s="1"/>
  <c r="B71" i="2" s="1"/>
  <c r="L71" i="2"/>
  <c r="K71" i="2"/>
  <c r="E71" i="2"/>
  <c r="D71" i="2"/>
  <c r="O70" i="2"/>
  <c r="B70" i="2" s="1"/>
  <c r="N70" i="2"/>
  <c r="K70" i="2"/>
  <c r="L70" i="2" s="1"/>
  <c r="E70" i="2"/>
  <c r="D70" i="2"/>
  <c r="O69" i="2"/>
  <c r="N69" i="2"/>
  <c r="K69" i="2"/>
  <c r="L69" i="2" s="1"/>
  <c r="E69" i="2"/>
  <c r="D69" i="2"/>
  <c r="B69" i="2"/>
  <c r="N68" i="2"/>
  <c r="O68" i="2" s="1"/>
  <c r="B68" i="2" s="1"/>
  <c r="L68" i="2"/>
  <c r="K68" i="2"/>
  <c r="E68" i="2"/>
  <c r="D68" i="2"/>
  <c r="N67" i="2"/>
  <c r="O67" i="2" s="1"/>
  <c r="B67" i="2" s="1"/>
  <c r="L67" i="2"/>
  <c r="K67" i="2"/>
  <c r="E67" i="2"/>
  <c r="D67" i="2"/>
  <c r="O66" i="2"/>
  <c r="B66" i="2" s="1"/>
  <c r="N66" i="2"/>
  <c r="K66" i="2"/>
  <c r="L66" i="2" s="1"/>
  <c r="E66" i="2"/>
  <c r="D66" i="2"/>
  <c r="O65" i="2"/>
  <c r="B65" i="2" s="1"/>
  <c r="N65" i="2"/>
  <c r="K65" i="2"/>
  <c r="L65" i="2" s="1"/>
  <c r="E65" i="2"/>
  <c r="D65" i="2"/>
  <c r="N64" i="2"/>
  <c r="O64" i="2" s="1"/>
  <c r="B64" i="2" s="1"/>
  <c r="L64" i="2"/>
  <c r="K64" i="2"/>
  <c r="E64" i="2"/>
  <c r="D64" i="2"/>
  <c r="N63" i="2"/>
  <c r="O63" i="2" s="1"/>
  <c r="B63" i="2" s="1"/>
  <c r="L63" i="2"/>
  <c r="K63" i="2"/>
  <c r="E63" i="2"/>
  <c r="D63" i="2"/>
  <c r="O62" i="2"/>
  <c r="B62" i="2" s="1"/>
  <c r="N62" i="2"/>
  <c r="K62" i="2"/>
  <c r="L62" i="2" s="1"/>
  <c r="E62" i="2"/>
  <c r="D62" i="2"/>
  <c r="O61" i="2"/>
  <c r="B61" i="2" s="1"/>
  <c r="N61" i="2"/>
  <c r="K61" i="2"/>
  <c r="L61" i="2" s="1"/>
  <c r="E61" i="2"/>
  <c r="D61" i="2"/>
  <c r="N60" i="2"/>
  <c r="O60" i="2" s="1"/>
  <c r="B60" i="2" s="1"/>
  <c r="L60" i="2"/>
  <c r="K60" i="2"/>
  <c r="E60" i="2"/>
  <c r="D60" i="2"/>
  <c r="N59" i="2"/>
  <c r="O59" i="2" s="1"/>
  <c r="B59" i="2" s="1"/>
  <c r="L59" i="2"/>
  <c r="K59" i="2"/>
  <c r="E59" i="2"/>
  <c r="D59" i="2"/>
  <c r="O58" i="2"/>
  <c r="B58" i="2" s="1"/>
  <c r="N58" i="2"/>
  <c r="K58" i="2"/>
  <c r="L58" i="2" s="1"/>
  <c r="E58" i="2"/>
  <c r="D58" i="2"/>
  <c r="O57" i="2"/>
  <c r="B57" i="2" s="1"/>
  <c r="N57" i="2"/>
  <c r="K57" i="2"/>
  <c r="L57" i="2" s="1"/>
  <c r="E57" i="2"/>
  <c r="D57" i="2"/>
  <c r="N56" i="2"/>
  <c r="O56" i="2" s="1"/>
  <c r="L56" i="2"/>
  <c r="K56" i="2"/>
  <c r="E56" i="2"/>
  <c r="D56" i="2"/>
  <c r="B56" i="2"/>
  <c r="N55" i="2"/>
  <c r="O55" i="2" s="1"/>
  <c r="B55" i="2" s="1"/>
  <c r="L55" i="2"/>
  <c r="K55" i="2"/>
  <c r="E55" i="2"/>
  <c r="D55" i="2"/>
  <c r="N54" i="2"/>
  <c r="O54" i="2" s="1"/>
  <c r="B54" i="2" s="1"/>
  <c r="L54" i="2"/>
  <c r="K54" i="2"/>
  <c r="AK53" i="2"/>
  <c r="AJ53" i="2"/>
  <c r="O53" i="2"/>
  <c r="N53" i="2"/>
  <c r="L53" i="2"/>
  <c r="K53" i="2"/>
  <c r="D53" i="2"/>
  <c r="B53" i="2"/>
  <c r="AK52" i="2"/>
  <c r="N52" i="2"/>
  <c r="O52" i="2" s="1"/>
  <c r="B52" i="2" s="1"/>
  <c r="L52" i="2"/>
  <c r="K52" i="2"/>
  <c r="AK51" i="2"/>
  <c r="AJ51" i="2"/>
  <c r="O51" i="2"/>
  <c r="N51" i="2"/>
  <c r="L51" i="2"/>
  <c r="K51" i="2"/>
  <c r="D51" i="2"/>
  <c r="B51" i="2"/>
  <c r="AK50" i="2"/>
  <c r="AJ50" i="2"/>
  <c r="N50" i="2"/>
  <c r="O50" i="2" s="1"/>
  <c r="L50" i="2"/>
  <c r="K50" i="2"/>
  <c r="D50" i="2"/>
  <c r="B50" i="2"/>
  <c r="AK49" i="2"/>
  <c r="O49" i="2"/>
  <c r="N49" i="2"/>
  <c r="L49" i="2"/>
  <c r="K49" i="2"/>
  <c r="B49" i="2"/>
  <c r="AK48" i="2"/>
  <c r="AJ48" i="2"/>
  <c r="N48" i="2"/>
  <c r="O48" i="2" s="1"/>
  <c r="K48" i="2"/>
  <c r="L48" i="2" s="1"/>
  <c r="D48" i="2"/>
  <c r="B48" i="2"/>
  <c r="AK47" i="2"/>
  <c r="O47" i="2"/>
  <c r="N47" i="2"/>
  <c r="K47" i="2"/>
  <c r="L47" i="2" s="1"/>
  <c r="B47" i="2"/>
  <c r="AO46" i="2"/>
  <c r="AK46" i="2"/>
  <c r="AJ46" i="2"/>
  <c r="N46" i="2"/>
  <c r="O46" i="2" s="1"/>
  <c r="B46" i="2" s="1"/>
  <c r="K46" i="2"/>
  <c r="L46" i="2" s="1"/>
  <c r="E46" i="2"/>
  <c r="D46" i="2"/>
  <c r="AK45" i="2"/>
  <c r="AJ45" i="2"/>
  <c r="N45" i="2"/>
  <c r="O45" i="2" s="1"/>
  <c r="B45" i="2" s="1"/>
  <c r="L45" i="2"/>
  <c r="K45" i="2"/>
  <c r="D45" i="2"/>
  <c r="O44" i="2"/>
  <c r="B44" i="2" s="1"/>
  <c r="N44" i="2"/>
  <c r="K44" i="2"/>
  <c r="L44" i="2" s="1"/>
  <c r="AK43" i="2"/>
  <c r="AJ43" i="2"/>
  <c r="N43" i="2"/>
  <c r="O43" i="2" s="1"/>
  <c r="B43" i="2" s="1"/>
  <c r="L43" i="2"/>
  <c r="K43" i="2"/>
  <c r="D43" i="2"/>
  <c r="AK42" i="2"/>
  <c r="O42" i="2"/>
  <c r="N42" i="2"/>
  <c r="K42" i="2"/>
  <c r="L42" i="2" s="1"/>
  <c r="B42" i="2"/>
  <c r="AO41" i="2"/>
  <c r="AJ41" i="2"/>
  <c r="N41" i="2"/>
  <c r="O41" i="2" s="1"/>
  <c r="B41" i="2" s="1"/>
  <c r="L41" i="2"/>
  <c r="K41" i="2"/>
  <c r="E41" i="2"/>
  <c r="D41" i="2"/>
  <c r="AK40" i="2"/>
  <c r="AO40" i="2" s="1"/>
  <c r="AJ40" i="2"/>
  <c r="O40" i="2"/>
  <c r="B40" i="2" s="1"/>
  <c r="N40" i="2"/>
  <c r="K40" i="2"/>
  <c r="L40" i="2" s="1"/>
  <c r="D40" i="2"/>
  <c r="O39" i="2"/>
  <c r="N39" i="2"/>
  <c r="K39" i="2"/>
  <c r="L39" i="2" s="1"/>
  <c r="B39" i="2"/>
  <c r="AO38" i="2"/>
  <c r="AJ38" i="2"/>
  <c r="O38" i="2"/>
  <c r="B38" i="2" s="1"/>
  <c r="N38" i="2"/>
  <c r="L38" i="2"/>
  <c r="K38" i="2"/>
  <c r="E38" i="2"/>
  <c r="D38" i="2"/>
  <c r="AK37" i="2"/>
  <c r="N37" i="2"/>
  <c r="O37" i="2" s="1"/>
  <c r="B37" i="2" s="1"/>
  <c r="K37" i="2"/>
  <c r="L37" i="2" s="1"/>
  <c r="AO36" i="2"/>
  <c r="AK36" i="2"/>
  <c r="AJ36" i="2"/>
  <c r="O36" i="2"/>
  <c r="B36" i="2" s="1"/>
  <c r="N36" i="2"/>
  <c r="L36" i="2"/>
  <c r="K36" i="2"/>
  <c r="E36" i="2"/>
  <c r="D36" i="2"/>
  <c r="AK35" i="2"/>
  <c r="AJ35" i="2"/>
  <c r="N35" i="2"/>
  <c r="O35" i="2" s="1"/>
  <c r="B35" i="2" s="1"/>
  <c r="K35" i="2"/>
  <c r="L35" i="2" s="1"/>
  <c r="D35" i="2"/>
  <c r="N34" i="2"/>
  <c r="O34" i="2" s="1"/>
  <c r="B34" i="2" s="1"/>
  <c r="K34" i="2"/>
  <c r="L34" i="2" s="1"/>
  <c r="AK33" i="2"/>
  <c r="AO33" i="2" s="1"/>
  <c r="AJ33" i="2"/>
  <c r="O33" i="2"/>
  <c r="B33" i="2" s="1"/>
  <c r="N33" i="2"/>
  <c r="L33" i="2"/>
  <c r="K33" i="2"/>
  <c r="E33" i="2"/>
  <c r="D33" i="2"/>
  <c r="AK32" i="2"/>
  <c r="N32" i="2"/>
  <c r="O32" i="2" s="1"/>
  <c r="B32" i="2" s="1"/>
  <c r="K32" i="2"/>
  <c r="L32" i="2" s="1"/>
  <c r="AO31" i="2"/>
  <c r="AK31" i="2"/>
  <c r="AJ31" i="2"/>
  <c r="O31" i="2"/>
  <c r="B31" i="2" s="1"/>
  <c r="N31" i="2"/>
  <c r="L31" i="2"/>
  <c r="K31" i="2"/>
  <c r="E31" i="2"/>
  <c r="D31" i="2"/>
  <c r="AK30" i="2"/>
  <c r="AO30" i="2" s="1"/>
  <c r="AJ30" i="2"/>
  <c r="N30" i="2"/>
  <c r="O30" i="2" s="1"/>
  <c r="B30" i="2" s="1"/>
  <c r="L30" i="2"/>
  <c r="K30" i="2"/>
  <c r="E30" i="2"/>
  <c r="D30" i="2"/>
  <c r="AK29" i="2"/>
  <c r="N29" i="2"/>
  <c r="O29" i="2" s="1"/>
  <c r="B29" i="2" s="1"/>
  <c r="L29" i="2"/>
  <c r="K29" i="2"/>
  <c r="AK28" i="2"/>
  <c r="AJ28" i="2"/>
  <c r="O28" i="2"/>
  <c r="N28" i="2"/>
  <c r="L28" i="2"/>
  <c r="K28" i="2"/>
  <c r="D28" i="2"/>
  <c r="B28" i="2"/>
  <c r="AK27" i="2"/>
  <c r="N27" i="2"/>
  <c r="O27" i="2" s="1"/>
  <c r="B27" i="2" s="1"/>
  <c r="K27" i="2"/>
  <c r="L27" i="2" s="1"/>
  <c r="AK26" i="2"/>
  <c r="AO26" i="2" s="1"/>
  <c r="AJ26" i="2"/>
  <c r="O26" i="2"/>
  <c r="B26" i="2" s="1"/>
  <c r="N26" i="2"/>
  <c r="L26" i="2"/>
  <c r="K26" i="2"/>
  <c r="D26" i="2"/>
  <c r="AO25" i="2"/>
  <c r="AK25" i="2"/>
  <c r="AJ25" i="2"/>
  <c r="N25" i="2"/>
  <c r="O25" i="2" s="1"/>
  <c r="B25" i="2" s="1"/>
  <c r="K25" i="2"/>
  <c r="L25" i="2" s="1"/>
  <c r="D25" i="2"/>
  <c r="N24" i="2"/>
  <c r="O24" i="2" s="1"/>
  <c r="B24" i="2" s="1"/>
  <c r="K24" i="2"/>
  <c r="L24" i="2" s="1"/>
  <c r="AK23" i="2"/>
  <c r="AO23" i="2" s="1"/>
  <c r="AJ23" i="2"/>
  <c r="O23" i="2"/>
  <c r="B23" i="2" s="1"/>
  <c r="N23" i="2"/>
  <c r="L23" i="2"/>
  <c r="K23" i="2"/>
  <c r="D23" i="2"/>
  <c r="AK22" i="2"/>
  <c r="O22" i="2"/>
  <c r="B22" i="2" s="1"/>
  <c r="N22" i="2"/>
  <c r="L22" i="2"/>
  <c r="K22" i="2"/>
  <c r="AK21" i="2"/>
  <c r="AO21" i="2" s="1"/>
  <c r="AJ21" i="2"/>
  <c r="O21" i="2"/>
  <c r="B21" i="2" s="1"/>
  <c r="N21" i="2"/>
  <c r="L21" i="2"/>
  <c r="K21" i="2"/>
  <c r="D21" i="2"/>
  <c r="AK20" i="2"/>
  <c r="AO20" i="2" s="1"/>
  <c r="AJ20" i="2"/>
  <c r="O20" i="2"/>
  <c r="B20" i="2" s="1"/>
  <c r="N20" i="2"/>
  <c r="L20" i="2"/>
  <c r="K20" i="2"/>
  <c r="E20" i="2"/>
  <c r="D20" i="2"/>
  <c r="AK19" i="2"/>
  <c r="O19" i="2"/>
  <c r="B19" i="2" s="1"/>
  <c r="N19" i="2"/>
  <c r="K19" i="2"/>
  <c r="L19" i="2" s="1"/>
  <c r="AK18" i="2"/>
  <c r="AO18" i="2" s="1"/>
  <c r="AJ18" i="2"/>
  <c r="O18" i="2"/>
  <c r="B18" i="2" s="1"/>
  <c r="N18" i="2"/>
  <c r="L18" i="2"/>
  <c r="K18" i="2"/>
  <c r="E18" i="2"/>
  <c r="D18" i="2"/>
  <c r="AK17" i="2"/>
  <c r="O17" i="2"/>
  <c r="B17" i="2" s="1"/>
  <c r="N17" i="2"/>
  <c r="K17" i="2"/>
  <c r="L17" i="2" s="1"/>
  <c r="AK16" i="2"/>
  <c r="AO16" i="2" s="1"/>
  <c r="AJ16" i="2"/>
  <c r="O16" i="2"/>
  <c r="B16" i="2" s="1"/>
  <c r="N16" i="2"/>
  <c r="L16" i="2"/>
  <c r="K16" i="2"/>
  <c r="E16" i="2"/>
  <c r="D16" i="2"/>
  <c r="AK15" i="2"/>
  <c r="AO15" i="2" s="1"/>
  <c r="AJ15" i="2"/>
  <c r="O15" i="2"/>
  <c r="B15" i="2" s="1"/>
  <c r="N15" i="2"/>
  <c r="K15" i="2"/>
  <c r="L15" i="2" s="1"/>
  <c r="D15" i="2"/>
  <c r="AK14" i="2"/>
  <c r="O14" i="2"/>
  <c r="B14" i="2" s="1"/>
  <c r="N14" i="2"/>
  <c r="L14" i="2"/>
  <c r="K14" i="2"/>
  <c r="AK13" i="2"/>
  <c r="AO13" i="2" s="1"/>
  <c r="AJ13" i="2"/>
  <c r="N13" i="2"/>
  <c r="O13" i="2" s="1"/>
  <c r="B13" i="2" s="1"/>
  <c r="K13" i="2"/>
  <c r="L13" i="2" s="1"/>
  <c r="D13" i="2"/>
  <c r="AK12" i="2"/>
  <c r="O12" i="2"/>
  <c r="B12" i="2" s="1"/>
  <c r="N12" i="2"/>
  <c r="L12" i="2"/>
  <c r="K12" i="2"/>
  <c r="AK11" i="2"/>
  <c r="AO11" i="2" s="1"/>
  <c r="AJ11" i="2"/>
  <c r="O11" i="2"/>
  <c r="B11" i="2" s="1"/>
  <c r="N11" i="2"/>
  <c r="K11" i="2"/>
  <c r="L11" i="2" s="1"/>
  <c r="D11" i="2"/>
  <c r="AO10" i="2"/>
  <c r="AK10" i="2"/>
  <c r="AJ10" i="2"/>
  <c r="O10" i="2"/>
  <c r="B10" i="2" s="1"/>
  <c r="N10" i="2"/>
  <c r="L10" i="2"/>
  <c r="K10" i="2"/>
  <c r="E10" i="2"/>
  <c r="D10" i="2"/>
  <c r="AK9" i="2"/>
  <c r="O9" i="2"/>
  <c r="B9" i="2" s="1"/>
  <c r="N9" i="2"/>
  <c r="L9" i="2"/>
  <c r="K9" i="2"/>
  <c r="AK8" i="2"/>
  <c r="AO8" i="2" s="1"/>
  <c r="AJ8" i="2"/>
  <c r="O8" i="2"/>
  <c r="B8" i="2" s="1"/>
  <c r="N8" i="2"/>
  <c r="L8" i="2"/>
  <c r="K8" i="2"/>
  <c r="D8" i="2"/>
  <c r="AB5" i="2"/>
  <c r="AK7" i="2"/>
  <c r="O7" i="2"/>
  <c r="B7" i="2" s="1"/>
  <c r="N7" i="2"/>
  <c r="L7" i="2"/>
  <c r="K7" i="2"/>
  <c r="AY6" i="2"/>
  <c r="AK6" i="2"/>
  <c r="AN2" i="2" s="1"/>
  <c r="AJ6" i="2"/>
  <c r="O6" i="2"/>
  <c r="B6" i="2" s="1"/>
  <c r="N6" i="2"/>
  <c r="L6" i="2"/>
  <c r="K6" i="2"/>
  <c r="D6" i="2"/>
  <c r="AY5" i="2"/>
  <c r="AK5" i="2"/>
  <c r="AO5" i="2" s="1"/>
  <c r="AJ5" i="2"/>
  <c r="O5" i="2"/>
  <c r="B5" i="2" s="1"/>
  <c r="N5" i="2"/>
  <c r="L5" i="2"/>
  <c r="K5" i="2"/>
  <c r="D5" i="2"/>
  <c r="AH5" i="2"/>
  <c r="AG5" i="2"/>
  <c r="AH23" i="2"/>
  <c r="AN3" i="2"/>
  <c r="AL3" i="2"/>
  <c r="AI3" i="2"/>
  <c r="AG3" i="2"/>
  <c r="AL2" i="2"/>
  <c r="AI2" i="2"/>
  <c r="AG2" i="2"/>
  <c r="K2" i="2"/>
  <c r="AN1" i="2"/>
  <c r="AI1" i="2"/>
  <c r="AG1" i="2"/>
  <c r="AH40" i="2" l="1"/>
  <c r="AY15" i="2"/>
  <c r="AY19" i="2"/>
  <c r="T49" i="2"/>
  <c r="AB8" i="2"/>
  <c r="T6" i="2"/>
  <c r="AB7" i="2"/>
  <c r="T8" i="2"/>
  <c r="AH9" i="2"/>
  <c r="AL25" i="2"/>
  <c r="AA27" i="2"/>
  <c r="X30" i="2"/>
  <c r="AL32" i="2"/>
  <c r="S33" i="2"/>
  <c r="X41" i="2"/>
  <c r="AM42" i="2"/>
  <c r="T56" i="2"/>
  <c r="W67" i="2"/>
  <c r="AM14" i="2"/>
  <c r="W6" i="2"/>
  <c r="AL6" i="2"/>
  <c r="AG7" i="2"/>
  <c r="AY24" i="2"/>
  <c r="AY28" i="2"/>
  <c r="W8" i="2"/>
  <c r="AL8" i="2"/>
  <c r="W10" i="2"/>
  <c r="AL12" i="2"/>
  <c r="AY12" i="2"/>
  <c r="AH17" i="2"/>
  <c r="AY18" i="2"/>
  <c r="X22" i="2"/>
  <c r="AY26" i="2"/>
  <c r="AO28" i="2"/>
  <c r="AM28" i="2"/>
  <c r="E28" i="2"/>
  <c r="AL28" i="2"/>
  <c r="S31" i="2"/>
  <c r="AL42" i="2"/>
  <c r="AB45" i="2"/>
  <c r="E6" i="2"/>
  <c r="X6" i="2"/>
  <c r="AM6" i="2"/>
  <c r="AH7" i="2"/>
  <c r="E8" i="2"/>
  <c r="X8" i="2"/>
  <c r="AM8" i="2"/>
  <c r="AY8" i="2"/>
  <c r="AO7" i="2" s="1"/>
  <c r="AL9" i="2"/>
  <c r="AY9" i="2"/>
  <c r="X10" i="2"/>
  <c r="AM12" i="2"/>
  <c r="AO17" i="2"/>
  <c r="AM18" i="2"/>
  <c r="AY22" i="2"/>
  <c r="AY30" i="2"/>
  <c r="T35" i="2"/>
  <c r="T37" i="2"/>
  <c r="AB38" i="2"/>
  <c r="W39" i="2"/>
  <c r="AB100" i="2"/>
  <c r="S5" i="2"/>
  <c r="AA6" i="2"/>
  <c r="AO6" i="2"/>
  <c r="S7" i="2"/>
  <c r="AA8" i="2"/>
  <c r="S9" i="2"/>
  <c r="AM9" i="2"/>
  <c r="AB10" i="2"/>
  <c r="AY11" i="2"/>
  <c r="AY13" i="2"/>
  <c r="X16" i="2"/>
  <c r="X20" i="2"/>
  <c r="AH21" i="2"/>
  <c r="AM22" i="2"/>
  <c r="AA24" i="2"/>
  <c r="AY25" i="2"/>
  <c r="AG29" i="2"/>
  <c r="AM30" i="2"/>
  <c r="AB36" i="2"/>
  <c r="AM37" i="2"/>
  <c r="AL37" i="2"/>
  <c r="AM39" i="2"/>
  <c r="T50" i="2"/>
  <c r="W75" i="2"/>
  <c r="X86" i="2"/>
  <c r="AA97" i="2"/>
  <c r="T5" i="2"/>
  <c r="AB6" i="2"/>
  <c r="T7" i="2"/>
  <c r="T9" i="2"/>
  <c r="AH15" i="2"/>
  <c r="AY17" i="2"/>
  <c r="AY23" i="2"/>
  <c r="AY27" i="2"/>
  <c r="AO29" i="2"/>
  <c r="AO35" i="2"/>
  <c r="AM35" i="2"/>
  <c r="E35" i="2"/>
  <c r="AL35" i="2"/>
  <c r="AA44" i="2"/>
  <c r="AB48" i="2"/>
  <c r="AB103" i="2"/>
  <c r="W102" i="2"/>
  <c r="AA100" i="2"/>
  <c r="T99" i="2"/>
  <c r="X97" i="2"/>
  <c r="S96" i="2"/>
  <c r="AB95" i="2"/>
  <c r="W94" i="2"/>
  <c r="AA92" i="2"/>
  <c r="T91" i="2"/>
  <c r="X89" i="2"/>
  <c r="S88" i="2"/>
  <c r="AB87" i="2"/>
  <c r="W86" i="2"/>
  <c r="AA84" i="2"/>
  <c r="T83" i="2"/>
  <c r="X81" i="2"/>
  <c r="S80" i="2"/>
  <c r="AB79" i="2"/>
  <c r="W78" i="2"/>
  <c r="AA76" i="2"/>
  <c r="T75" i="2"/>
  <c r="X73" i="2"/>
  <c r="S72" i="2"/>
  <c r="AB71" i="2"/>
  <c r="W70" i="2"/>
  <c r="AA68" i="2"/>
  <c r="T67" i="2"/>
  <c r="X65" i="2"/>
  <c r="S64" i="2"/>
  <c r="AB63" i="2"/>
  <c r="W62" i="2"/>
  <c r="AA60" i="2"/>
  <c r="T59" i="2"/>
  <c r="X57" i="2"/>
  <c r="S56" i="2"/>
  <c r="AB55" i="2"/>
  <c r="S54" i="2"/>
  <c r="AA53" i="2"/>
  <c r="S52" i="2"/>
  <c r="AA51" i="2"/>
  <c r="S50" i="2"/>
  <c r="AA49" i="2"/>
  <c r="AA103" i="2"/>
  <c r="T102" i="2"/>
  <c r="X100" i="2"/>
  <c r="S99" i="2"/>
  <c r="AB98" i="2"/>
  <c r="W97" i="2"/>
  <c r="AA95" i="2"/>
  <c r="T94" i="2"/>
  <c r="X92" i="2"/>
  <c r="S91" i="2"/>
  <c r="AB90" i="2"/>
  <c r="W89" i="2"/>
  <c r="AA87" i="2"/>
  <c r="T86" i="2"/>
  <c r="X84" i="2"/>
  <c r="S83" i="2"/>
  <c r="AB82" i="2"/>
  <c r="W81" i="2"/>
  <c r="AA79" i="2"/>
  <c r="T78" i="2"/>
  <c r="X76" i="2"/>
  <c r="S75" i="2"/>
  <c r="AB74" i="2"/>
  <c r="W73" i="2"/>
  <c r="AA71" i="2"/>
  <c r="T70" i="2"/>
  <c r="X68" i="2"/>
  <c r="S67" i="2"/>
  <c r="AB66" i="2"/>
  <c r="W65" i="2"/>
  <c r="AA63" i="2"/>
  <c r="T62" i="2"/>
  <c r="X60" i="2"/>
  <c r="S59" i="2"/>
  <c r="AB58" i="2"/>
  <c r="W57" i="2"/>
  <c r="AA55" i="2"/>
  <c r="AH54" i="2"/>
  <c r="X53" i="2"/>
  <c r="AH52" i="2"/>
  <c r="X51" i="2"/>
  <c r="AH50" i="2"/>
  <c r="X49" i="2"/>
  <c r="AH48" i="2"/>
  <c r="X47" i="2"/>
  <c r="AH46" i="2"/>
  <c r="X45" i="2"/>
  <c r="AG44" i="2"/>
  <c r="W43" i="2"/>
  <c r="AG42" i="2"/>
  <c r="AL41" i="2"/>
  <c r="X103" i="2"/>
  <c r="S102" i="2"/>
  <c r="AB101" i="2"/>
  <c r="W100" i="2"/>
  <c r="AA98" i="2"/>
  <c r="T97" i="2"/>
  <c r="X95" i="2"/>
  <c r="S94" i="2"/>
  <c r="AB93" i="2"/>
  <c r="W92" i="2"/>
  <c r="AA90" i="2"/>
  <c r="T89" i="2"/>
  <c r="X87" i="2"/>
  <c r="S86" i="2"/>
  <c r="AB85" i="2"/>
  <c r="W84" i="2"/>
  <c r="AA82" i="2"/>
  <c r="T81" i="2"/>
  <c r="X79" i="2"/>
  <c r="S78" i="2"/>
  <c r="AB77" i="2"/>
  <c r="W76" i="2"/>
  <c r="AA74" i="2"/>
  <c r="T73" i="2"/>
  <c r="X71" i="2"/>
  <c r="S70" i="2"/>
  <c r="AB69" i="2"/>
  <c r="W68" i="2"/>
  <c r="AA66" i="2"/>
  <c r="T65" i="2"/>
  <c r="X63" i="2"/>
  <c r="S62" i="2"/>
  <c r="AB61" i="2"/>
  <c r="W60" i="2"/>
  <c r="AA58" i="2"/>
  <c r="T57" i="2"/>
  <c r="X55" i="2"/>
  <c r="AG54" i="2"/>
  <c r="W53" i="2"/>
  <c r="AG52" i="2"/>
  <c r="W51" i="2"/>
  <c r="AG50" i="2"/>
  <c r="W49" i="2"/>
  <c r="AG48" i="2"/>
  <c r="W47" i="2"/>
  <c r="AG46" i="2"/>
  <c r="W45" i="2"/>
  <c r="W103" i="2"/>
  <c r="AA101" i="2"/>
  <c r="T100" i="2"/>
  <c r="X98" i="2"/>
  <c r="S97" i="2"/>
  <c r="AB96" i="2"/>
  <c r="W95" i="2"/>
  <c r="AA93" i="2"/>
  <c r="T92" i="2"/>
  <c r="X90" i="2"/>
  <c r="S89" i="2"/>
  <c r="AB88" i="2"/>
  <c r="W87" i="2"/>
  <c r="AA85" i="2"/>
  <c r="T84" i="2"/>
  <c r="X82" i="2"/>
  <c r="S81" i="2"/>
  <c r="AB80" i="2"/>
  <c r="W79" i="2"/>
  <c r="AA77" i="2"/>
  <c r="T76" i="2"/>
  <c r="X74" i="2"/>
  <c r="S73" i="2"/>
  <c r="AB72" i="2"/>
  <c r="W71" i="2"/>
  <c r="AA69" i="2"/>
  <c r="T68" i="2"/>
  <c r="X66" i="2"/>
  <c r="S65" i="2"/>
  <c r="AB64" i="2"/>
  <c r="W63" i="2"/>
  <c r="AA61" i="2"/>
  <c r="T60" i="2"/>
  <c r="X58" i="2"/>
  <c r="S57" i="2"/>
  <c r="AB56" i="2"/>
  <c r="W55" i="2"/>
  <c r="AB54" i="2"/>
  <c r="T103" i="2"/>
  <c r="X101" i="2"/>
  <c r="S100" i="2"/>
  <c r="AB99" i="2"/>
  <c r="W98" i="2"/>
  <c r="AA96" i="2"/>
  <c r="T95" i="2"/>
  <c r="X93" i="2"/>
  <c r="S92" i="2"/>
  <c r="AB91" i="2"/>
  <c r="W90" i="2"/>
  <c r="AA88" i="2"/>
  <c r="T87" i="2"/>
  <c r="X85" i="2"/>
  <c r="S84" i="2"/>
  <c r="AB83" i="2"/>
  <c r="W82" i="2"/>
  <c r="AA80" i="2"/>
  <c r="T79" i="2"/>
  <c r="X77" i="2"/>
  <c r="S76" i="2"/>
  <c r="AB75" i="2"/>
  <c r="W74" i="2"/>
  <c r="AA72" i="2"/>
  <c r="T71" i="2"/>
  <c r="X69" i="2"/>
  <c r="S68" i="2"/>
  <c r="AB67" i="2"/>
  <c r="W66" i="2"/>
  <c r="AA64" i="2"/>
  <c r="T63" i="2"/>
  <c r="X61" i="2"/>
  <c r="S60" i="2"/>
  <c r="AB59" i="2"/>
  <c r="W58" i="2"/>
  <c r="AA56" i="2"/>
  <c r="T55" i="2"/>
  <c r="AA54" i="2"/>
  <c r="S53" i="2"/>
  <c r="AA52" i="2"/>
  <c r="S51" i="2"/>
  <c r="AA50" i="2"/>
  <c r="S49" i="2"/>
  <c r="S103" i="2"/>
  <c r="AB102" i="2"/>
  <c r="W101" i="2"/>
  <c r="AA99" i="2"/>
  <c r="T98" i="2"/>
  <c r="X96" i="2"/>
  <c r="S95" i="2"/>
  <c r="AB94" i="2"/>
  <c r="W93" i="2"/>
  <c r="AA91" i="2"/>
  <c r="T90" i="2"/>
  <c r="X88" i="2"/>
  <c r="S87" i="2"/>
  <c r="AB86" i="2"/>
  <c r="W85" i="2"/>
  <c r="AA83" i="2"/>
  <c r="T82" i="2"/>
  <c r="X80" i="2"/>
  <c r="S79" i="2"/>
  <c r="AB78" i="2"/>
  <c r="W77" i="2"/>
  <c r="AA75" i="2"/>
  <c r="T74" i="2"/>
  <c r="X72" i="2"/>
  <c r="S71" i="2"/>
  <c r="AB70" i="2"/>
  <c r="W69" i="2"/>
  <c r="AA67" i="2"/>
  <c r="T66" i="2"/>
  <c r="X64" i="2"/>
  <c r="S63" i="2"/>
  <c r="AB62" i="2"/>
  <c r="W61" i="2"/>
  <c r="AA59" i="2"/>
  <c r="T58" i="2"/>
  <c r="X56" i="2"/>
  <c r="S55" i="2"/>
  <c r="X54" i="2"/>
  <c r="AH53" i="2"/>
  <c r="X52" i="2"/>
  <c r="AH51" i="2"/>
  <c r="X50" i="2"/>
  <c r="AH49" i="2"/>
  <c r="X48" i="2"/>
  <c r="AH47" i="2"/>
  <c r="AA102" i="2"/>
  <c r="T101" i="2"/>
  <c r="X99" i="2"/>
  <c r="S98" i="2"/>
  <c r="AB97" i="2"/>
  <c r="W96" i="2"/>
  <c r="AA94" i="2"/>
  <c r="T93" i="2"/>
  <c r="X91" i="2"/>
  <c r="S90" i="2"/>
  <c r="AB89" i="2"/>
  <c r="W88" i="2"/>
  <c r="AA86" i="2"/>
  <c r="T85" i="2"/>
  <c r="X83" i="2"/>
  <c r="S82" i="2"/>
  <c r="AB81" i="2"/>
  <c r="W80" i="2"/>
  <c r="AA78" i="2"/>
  <c r="T77" i="2"/>
  <c r="X75" i="2"/>
  <c r="S74" i="2"/>
  <c r="AB73" i="2"/>
  <c r="W72" i="2"/>
  <c r="AA70" i="2"/>
  <c r="T69" i="2"/>
  <c r="X67" i="2"/>
  <c r="S66" i="2"/>
  <c r="AB65" i="2"/>
  <c r="W64" i="2"/>
  <c r="AA62" i="2"/>
  <c r="T61" i="2"/>
  <c r="X59" i="2"/>
  <c r="S58" i="2"/>
  <c r="AB57" i="2"/>
  <c r="W56" i="2"/>
  <c r="AM54" i="2"/>
  <c r="W54" i="2"/>
  <c r="AG53" i="2"/>
  <c r="W52" i="2"/>
  <c r="AG51" i="2"/>
  <c r="W50" i="2"/>
  <c r="AG49" i="2"/>
  <c r="W48" i="2"/>
  <c r="AG47" i="2"/>
  <c r="W46" i="2"/>
  <c r="AG45" i="2"/>
  <c r="W83" i="2"/>
  <c r="T80" i="2"/>
  <c r="T72" i="2"/>
  <c r="T64" i="2"/>
  <c r="AB60" i="2"/>
  <c r="AA48" i="2"/>
  <c r="AB46" i="2"/>
  <c r="AA45" i="2"/>
  <c r="X44" i="2"/>
  <c r="AG43" i="2"/>
  <c r="S42" i="2"/>
  <c r="W41" i="2"/>
  <c r="AG40" i="2"/>
  <c r="AL39" i="2"/>
  <c r="E39" i="2" s="1"/>
  <c r="T39" i="2"/>
  <c r="AA38" i="2"/>
  <c r="S37" i="2"/>
  <c r="AA36" i="2"/>
  <c r="S35" i="2"/>
  <c r="AO34" i="2"/>
  <c r="X34" i="2"/>
  <c r="AH33" i="2"/>
  <c r="AM32" i="2"/>
  <c r="X32" i="2"/>
  <c r="AH31" i="2"/>
  <c r="AL30" i="2"/>
  <c r="W30" i="2"/>
  <c r="AB29" i="2"/>
  <c r="S28" i="2"/>
  <c r="AM27" i="2"/>
  <c r="X27" i="2"/>
  <c r="AG26" i="2"/>
  <c r="T25" i="2"/>
  <c r="AO24" i="2"/>
  <c r="X24" i="2"/>
  <c r="AG23" i="2"/>
  <c r="AL22" i="2"/>
  <c r="E22" i="2" s="1"/>
  <c r="W22" i="2"/>
  <c r="AG21" i="2"/>
  <c r="AL20" i="2"/>
  <c r="W20" i="2"/>
  <c r="AG19" i="2"/>
  <c r="AL18" i="2"/>
  <c r="W18" i="2"/>
  <c r="AG17" i="2"/>
  <c r="AL16" i="2"/>
  <c r="W16" i="2"/>
  <c r="AG15" i="2"/>
  <c r="AL14" i="2"/>
  <c r="E14" i="2" s="1"/>
  <c r="W14" i="2"/>
  <c r="X94" i="2"/>
  <c r="AB76" i="2"/>
  <c r="AB68" i="2"/>
  <c r="AA57" i="2"/>
  <c r="T48" i="2"/>
  <c r="AA46" i="2"/>
  <c r="T45" i="2"/>
  <c r="AO44" i="2"/>
  <c r="W44" i="2"/>
  <c r="AB43" i="2"/>
  <c r="AM41" i="2"/>
  <c r="T41" i="2"/>
  <c r="AB40" i="2"/>
  <c r="AJ39" i="2"/>
  <c r="S39" i="2"/>
  <c r="X38" i="2"/>
  <c r="AH37" i="2"/>
  <c r="AM36" i="2"/>
  <c r="X36" i="2"/>
  <c r="AH35" i="2"/>
  <c r="AM34" i="2"/>
  <c r="W34" i="2"/>
  <c r="AG33" i="2"/>
  <c r="W32" i="2"/>
  <c r="AG31" i="2"/>
  <c r="T30" i="2"/>
  <c r="AA29" i="2"/>
  <c r="AH28" i="2"/>
  <c r="AL27" i="2"/>
  <c r="W27" i="2"/>
  <c r="AB26" i="2"/>
  <c r="S25" i="2"/>
  <c r="AM24" i="2"/>
  <c r="W24" i="2"/>
  <c r="AB23" i="2"/>
  <c r="T22" i="2"/>
  <c r="AB21" i="2"/>
  <c r="T20" i="2"/>
  <c r="AB19" i="2"/>
  <c r="T18" i="2"/>
  <c r="AB17" i="2"/>
  <c r="T16" i="2"/>
  <c r="AB15" i="2"/>
  <c r="T14" i="2"/>
  <c r="AB13" i="2"/>
  <c r="T12" i="2"/>
  <c r="AB11" i="2"/>
  <c r="T10" i="2"/>
  <c r="AB9" i="2"/>
  <c r="S101" i="2"/>
  <c r="W91" i="2"/>
  <c r="AB84" i="2"/>
  <c r="AA81" i="2"/>
  <c r="S77" i="2"/>
  <c r="AA73" i="2"/>
  <c r="S69" i="2"/>
  <c r="AA65" i="2"/>
  <c r="S61" i="2"/>
  <c r="S48" i="2"/>
  <c r="X46" i="2"/>
  <c r="S45" i="2"/>
  <c r="AM44" i="2"/>
  <c r="T44" i="2"/>
  <c r="AA43" i="2"/>
  <c r="AH42" i="2"/>
  <c r="S41" i="2"/>
  <c r="AA40" i="2"/>
  <c r="AH39" i="2"/>
  <c r="AM38" i="2"/>
  <c r="W38" i="2"/>
  <c r="AG37" i="2"/>
  <c r="AL36" i="2"/>
  <c r="W36" i="2"/>
  <c r="AG35" i="2"/>
  <c r="AL34" i="2"/>
  <c r="T34" i="2"/>
  <c r="AB33" i="2"/>
  <c r="T32" i="2"/>
  <c r="AB31" i="2"/>
  <c r="S30" i="2"/>
  <c r="X29" i="2"/>
  <c r="AG28" i="2"/>
  <c r="T27" i="2"/>
  <c r="AA26" i="2"/>
  <c r="AH25" i="2"/>
  <c r="AL24" i="2"/>
  <c r="T24" i="2"/>
  <c r="AA23" i="2"/>
  <c r="S22" i="2"/>
  <c r="AA21" i="2"/>
  <c r="S20" i="2"/>
  <c r="AA19" i="2"/>
  <c r="S18" i="2"/>
  <c r="AA17" i="2"/>
  <c r="S16" i="2"/>
  <c r="AA15" i="2"/>
  <c r="AJ14" i="2"/>
  <c r="S14" i="2"/>
  <c r="AA13" i="2"/>
  <c r="S12" i="2"/>
  <c r="AA11" i="2"/>
  <c r="S10" i="2"/>
  <c r="AL54" i="2"/>
  <c r="AB53" i="2"/>
  <c r="AB47" i="2"/>
  <c r="T46" i="2"/>
  <c r="AL44" i="2"/>
  <c r="S44" i="2"/>
  <c r="X43" i="2"/>
  <c r="AB42" i="2"/>
  <c r="AH41" i="2"/>
  <c r="X40" i="2"/>
  <c r="AG39" i="2"/>
  <c r="AL38" i="2"/>
  <c r="T38" i="2"/>
  <c r="AB37" i="2"/>
  <c r="T36" i="2"/>
  <c r="AB35" i="2"/>
  <c r="S34" i="2"/>
  <c r="AA33" i="2"/>
  <c r="S32" i="2"/>
  <c r="AA31" i="2"/>
  <c r="AH30" i="2"/>
  <c r="W29" i="2"/>
  <c r="AB28" i="2"/>
  <c r="S27" i="2"/>
  <c r="X26" i="2"/>
  <c r="AG25" i="2"/>
  <c r="S24" i="2"/>
  <c r="X23" i="2"/>
  <c r="AH22" i="2"/>
  <c r="X21" i="2"/>
  <c r="AH20" i="2"/>
  <c r="X19" i="2"/>
  <c r="AH18" i="2"/>
  <c r="X17" i="2"/>
  <c r="AH16" i="2"/>
  <c r="X15" i="2"/>
  <c r="AH14" i="2"/>
  <c r="X13" i="2"/>
  <c r="AH12" i="2"/>
  <c r="X11" i="2"/>
  <c r="AH10" i="2"/>
  <c r="X102" i="2"/>
  <c r="AB92" i="2"/>
  <c r="T88" i="2"/>
  <c r="X78" i="2"/>
  <c r="X70" i="2"/>
  <c r="X62" i="2"/>
  <c r="T54" i="2"/>
  <c r="T53" i="2"/>
  <c r="AB52" i="2"/>
  <c r="AB51" i="2"/>
  <c r="AA47" i="2"/>
  <c r="S46" i="2"/>
  <c r="T43" i="2"/>
  <c r="AA42" i="2"/>
  <c r="AG41" i="2"/>
  <c r="W40" i="2"/>
  <c r="AB39" i="2"/>
  <c r="S38" i="2"/>
  <c r="AA37" i="2"/>
  <c r="S36" i="2"/>
  <c r="AA35" i="2"/>
  <c r="AH34" i="2"/>
  <c r="AM33" i="2"/>
  <c r="X33" i="2"/>
  <c r="AH32" i="2"/>
  <c r="AM31" i="2"/>
  <c r="X31" i="2"/>
  <c r="AG30" i="2"/>
  <c r="T29" i="2"/>
  <c r="AA28" i="2"/>
  <c r="AH27" i="2"/>
  <c r="W26" i="2"/>
  <c r="AB25" i="2"/>
  <c r="AH24" i="2"/>
  <c r="W23" i="2"/>
  <c r="AG22" i="2"/>
  <c r="W21" i="2"/>
  <c r="AG20" i="2"/>
  <c r="W19" i="2"/>
  <c r="AG18" i="2"/>
  <c r="W17" i="2"/>
  <c r="AG16" i="2"/>
  <c r="W15" i="2"/>
  <c r="AG14" i="2"/>
  <c r="W13" i="2"/>
  <c r="AG12" i="2"/>
  <c r="D12" i="2" s="1"/>
  <c r="W11" i="2"/>
  <c r="AG10" i="2"/>
  <c r="W9" i="2"/>
  <c r="W99" i="2"/>
  <c r="AA89" i="2"/>
  <c r="S85" i="2"/>
  <c r="T52" i="2"/>
  <c r="T51" i="2"/>
  <c r="T47" i="2"/>
  <c r="AM46" i="2"/>
  <c r="AH44" i="2"/>
  <c r="S43" i="2"/>
  <c r="X42" i="2"/>
  <c r="AB41" i="2"/>
  <c r="T40" i="2"/>
  <c r="AA39" i="2"/>
  <c r="AH38" i="2"/>
  <c r="X37" i="2"/>
  <c r="AH36" i="2"/>
  <c r="X35" i="2"/>
  <c r="AG34" i="2"/>
  <c r="AL33" i="2"/>
  <c r="W33" i="2"/>
  <c r="AG32" i="2"/>
  <c r="AL31" i="2"/>
  <c r="W31" i="2"/>
  <c r="AB30" i="2"/>
  <c r="AJ29" i="2"/>
  <c r="S29" i="2"/>
  <c r="X28" i="2"/>
  <c r="AG27" i="2"/>
  <c r="T26" i="2"/>
  <c r="AA25" i="2"/>
  <c r="AG24" i="2"/>
  <c r="T23" i="2"/>
  <c r="AB22" i="2"/>
  <c r="T21" i="2"/>
  <c r="AB20" i="2"/>
  <c r="T19" i="2"/>
  <c r="AB18" i="2"/>
  <c r="T17" i="2"/>
  <c r="AB16" i="2"/>
  <c r="T15" i="2"/>
  <c r="AB14" i="2"/>
  <c r="T13" i="2"/>
  <c r="AB12" i="2"/>
  <c r="T96" i="2"/>
  <c r="W59" i="2"/>
  <c r="AB50" i="2"/>
  <c r="AB49" i="2"/>
  <c r="S47" i="2"/>
  <c r="AH45" i="2"/>
  <c r="AB44" i="2"/>
  <c r="W42" i="2"/>
  <c r="AA41" i="2"/>
  <c r="S40" i="2"/>
  <c r="X39" i="2"/>
  <c r="AG38" i="2"/>
  <c r="W37" i="2"/>
  <c r="AG36" i="2"/>
  <c r="W35" i="2"/>
  <c r="AB34" i="2"/>
  <c r="T33" i="2"/>
  <c r="AB32" i="2"/>
  <c r="T31" i="2"/>
  <c r="AA30" i="2"/>
  <c r="AH29" i="2"/>
  <c r="W28" i="2"/>
  <c r="AB27" i="2"/>
  <c r="S26" i="2"/>
  <c r="X25" i="2"/>
  <c r="AB24" i="2"/>
  <c r="S23" i="2"/>
  <c r="AA22" i="2"/>
  <c r="S21" i="2"/>
  <c r="AA20" i="2"/>
  <c r="S19" i="2"/>
  <c r="AA18" i="2"/>
  <c r="AJ17" i="2"/>
  <c r="S17" i="2"/>
  <c r="AA16" i="2"/>
  <c r="S15" i="2"/>
  <c r="AA14" i="2"/>
  <c r="S13" i="2"/>
  <c r="AA12" i="2"/>
  <c r="S11" i="2"/>
  <c r="AA10" i="2"/>
  <c r="W5" i="2"/>
  <c r="AL5" i="2"/>
  <c r="AG6" i="2"/>
  <c r="W7" i="2"/>
  <c r="AL7" i="2"/>
  <c r="AG8" i="2"/>
  <c r="X9" i="2"/>
  <c r="T11" i="2"/>
  <c r="AY16" i="2"/>
  <c r="AO54" i="2" s="1"/>
  <c r="AH19" i="2"/>
  <c r="AY20" i="2"/>
  <c r="W25" i="2"/>
  <c r="AH26" i="2"/>
  <c r="AA34" i="2"/>
  <c r="AL1" i="2"/>
  <c r="E5" i="2"/>
  <c r="X5" i="2"/>
  <c r="AM5" i="2"/>
  <c r="AH6" i="2"/>
  <c r="X7" i="2"/>
  <c r="AM7" i="2"/>
  <c r="AY7" i="2"/>
  <c r="AJ9" i="2" s="1"/>
  <c r="AH8" i="2"/>
  <c r="AA9" i="2"/>
  <c r="AL10" i="2"/>
  <c r="AG11" i="2"/>
  <c r="W12" i="2"/>
  <c r="AG13" i="2"/>
  <c r="X14" i="2"/>
  <c r="AM16" i="2"/>
  <c r="AM20" i="2"/>
  <c r="AY29" i="2"/>
  <c r="AH43" i="2"/>
  <c r="S93" i="2"/>
  <c r="AA5" i="2"/>
  <c r="S6" i="2"/>
  <c r="C6" i="2" s="1"/>
  <c r="AA7" i="2"/>
  <c r="S8" i="2"/>
  <c r="AG9" i="2"/>
  <c r="D9" i="2" s="1"/>
  <c r="AM10" i="2"/>
  <c r="AY10" i="2"/>
  <c r="AJ49" i="2" s="1"/>
  <c r="AH11" i="2"/>
  <c r="X12" i="2"/>
  <c r="AH13" i="2"/>
  <c r="AO14" i="2"/>
  <c r="AY14" i="2"/>
  <c r="X18" i="2"/>
  <c r="AY21" i="2"/>
  <c r="AM25" i="2"/>
  <c r="T28" i="2"/>
  <c r="AA32" i="2"/>
  <c r="T42" i="2"/>
  <c r="E25" i="2"/>
  <c r="AL46" i="2"/>
  <c r="AL43" i="2"/>
  <c r="AO48" i="2"/>
  <c r="AM48" i="2"/>
  <c r="E48" i="2"/>
  <c r="AL48" i="2"/>
  <c r="AM49" i="2"/>
  <c r="AL49" i="2"/>
  <c r="AL11" i="2"/>
  <c r="AL13" i="2"/>
  <c r="AL15" i="2"/>
  <c r="AL17" i="2"/>
  <c r="AL19" i="2"/>
  <c r="AL21" i="2"/>
  <c r="AL23" i="2"/>
  <c r="AL26" i="2"/>
  <c r="AL40" i="2"/>
  <c r="AM43" i="2"/>
  <c r="AM45" i="2"/>
  <c r="E45" i="2"/>
  <c r="AL45" i="2"/>
  <c r="AO50" i="2"/>
  <c r="AM50" i="2"/>
  <c r="E50" i="2"/>
  <c r="AL50" i="2"/>
  <c r="E11" i="2"/>
  <c r="AM11" i="2"/>
  <c r="E13" i="2"/>
  <c r="AM13" i="2"/>
  <c r="E15" i="2"/>
  <c r="AM15" i="2"/>
  <c r="AM17" i="2"/>
  <c r="AM19" i="2"/>
  <c r="E21" i="2"/>
  <c r="AM21" i="2"/>
  <c r="E23" i="2"/>
  <c r="AM23" i="2"/>
  <c r="E26" i="2"/>
  <c r="AM26" i="2"/>
  <c r="AL29" i="2"/>
  <c r="E40" i="2"/>
  <c r="AM40" i="2"/>
  <c r="AO43" i="2"/>
  <c r="AO45" i="2"/>
  <c r="AM52" i="2"/>
  <c r="AL52" i="2"/>
  <c r="AM29" i="2"/>
  <c r="E43" i="2"/>
  <c r="AO51" i="2"/>
  <c r="AM51" i="2"/>
  <c r="E51" i="2"/>
  <c r="AL51" i="2"/>
  <c r="AM47" i="2"/>
  <c r="AL47" i="2"/>
  <c r="AO53" i="2"/>
  <c r="AM53" i="2"/>
  <c r="E53" i="2"/>
  <c r="AL53" i="2"/>
  <c r="G15" i="25"/>
  <c r="C10" i="2" l="1"/>
  <c r="E27" i="2"/>
  <c r="D17" i="2"/>
  <c r="D49" i="2"/>
  <c r="D39" i="2"/>
  <c r="E17" i="2"/>
  <c r="E34" i="2"/>
  <c r="D54" i="2"/>
  <c r="D47" i="2"/>
  <c r="D52" i="2"/>
  <c r="C13" i="2"/>
  <c r="E47" i="2"/>
  <c r="AO49" i="2"/>
  <c r="C21" i="2"/>
  <c r="E37" i="2"/>
  <c r="E9" i="2"/>
  <c r="D32" i="2"/>
  <c r="E42" i="2"/>
  <c r="C11" i="2"/>
  <c r="E44" i="2"/>
  <c r="E29" i="2"/>
  <c r="E49" i="2"/>
  <c r="C8" i="2"/>
  <c r="E7" i="2"/>
  <c r="E52" i="2"/>
  <c r="E19" i="2"/>
  <c r="AO22" i="2"/>
  <c r="AO52" i="2"/>
  <c r="AO19" i="2"/>
  <c r="C17" i="2"/>
  <c r="C23" i="2"/>
  <c r="D24" i="2"/>
  <c r="D37" i="2"/>
  <c r="C9" i="2"/>
  <c r="AO12" i="2"/>
  <c r="AO39" i="2"/>
  <c r="AJ24" i="2"/>
  <c r="C12" i="2"/>
  <c r="C18" i="2"/>
  <c r="E24" i="2"/>
  <c r="D19" i="2"/>
  <c r="AO32" i="2"/>
  <c r="AJ12" i="2"/>
  <c r="AJ52" i="2"/>
  <c r="AO37" i="2"/>
  <c r="AJ7" i="2"/>
  <c r="C16" i="2"/>
  <c r="C19" i="2"/>
  <c r="D27" i="2"/>
  <c r="AJ32" i="2"/>
  <c r="C20" i="2"/>
  <c r="AJ37" i="2"/>
  <c r="C7" i="2"/>
  <c r="D7" i="2"/>
  <c r="AJ19" i="2"/>
  <c r="C14" i="2"/>
  <c r="AJ47" i="2"/>
  <c r="D42" i="2"/>
  <c r="E12" i="2"/>
  <c r="D34" i="2"/>
  <c r="D14" i="2"/>
  <c r="D22" i="2"/>
  <c r="AJ44" i="2"/>
  <c r="AJ27" i="2"/>
  <c r="C22" i="2"/>
  <c r="AJ54" i="2"/>
  <c r="D29" i="2"/>
  <c r="AO27" i="2"/>
  <c r="E32" i="2"/>
  <c r="C15" i="2"/>
  <c r="AO42" i="2"/>
  <c r="AJ34" i="2"/>
  <c r="E54" i="2"/>
  <c r="AJ22" i="2"/>
  <c r="AJ42" i="2"/>
  <c r="AO47" i="2"/>
  <c r="D44" i="2"/>
  <c r="C5" i="2"/>
  <c r="AO9" i="2"/>
  <c r="J6" i="22"/>
  <c r="J7" i="22"/>
  <c r="J8" i="22"/>
  <c r="AO1" i="2" l="1"/>
  <c r="AP3" i="2" s="1"/>
  <c r="AJ1" i="2"/>
  <c r="AJ2" i="2" s="1"/>
  <c r="C5" i="52"/>
  <c r="C6" i="52"/>
  <c r="C7" i="52"/>
  <c r="O6" i="52"/>
  <c r="P6" i="52"/>
  <c r="O7" i="52"/>
  <c r="P7" i="52"/>
  <c r="O8" i="52"/>
  <c r="P8" i="52"/>
  <c r="O9" i="52"/>
  <c r="P9" i="52"/>
  <c r="O10" i="52"/>
  <c r="P10" i="52"/>
  <c r="O11" i="52"/>
  <c r="P11" i="52"/>
  <c r="O12" i="52"/>
  <c r="P12" i="52"/>
  <c r="O13" i="52"/>
  <c r="P13" i="52"/>
  <c r="O14" i="52"/>
  <c r="P14" i="52"/>
  <c r="O15" i="52"/>
  <c r="P15" i="52"/>
  <c r="O16" i="52"/>
  <c r="P16" i="52"/>
  <c r="O17" i="52"/>
  <c r="P17" i="52"/>
  <c r="O18" i="52"/>
  <c r="P18" i="52"/>
  <c r="O19" i="52"/>
  <c r="P19" i="52"/>
  <c r="O20" i="52"/>
  <c r="P20" i="52"/>
  <c r="O21" i="52"/>
  <c r="P21" i="52"/>
  <c r="O22" i="52"/>
  <c r="P22" i="52"/>
  <c r="O23" i="52"/>
  <c r="P23" i="52"/>
  <c r="O24" i="52"/>
  <c r="P24" i="52"/>
  <c r="O25" i="52"/>
  <c r="P25" i="52"/>
  <c r="AO2" i="2" l="1"/>
  <c r="I7" i="52"/>
  <c r="H7" i="52"/>
  <c r="I6" i="52"/>
  <c r="H6" i="52"/>
  <c r="I5" i="52"/>
  <c r="H5" i="52"/>
  <c r="B7" i="52" l="1"/>
  <c r="B6" i="52"/>
  <c r="B5" i="52"/>
  <c r="P33" i="46"/>
  <c r="P34" i="46" s="1"/>
  <c r="P35" i="46" s="1"/>
  <c r="P36" i="46" s="1"/>
  <c r="P37" i="46" s="1"/>
  <c r="P38" i="46" s="1"/>
  <c r="P39" i="46" s="1"/>
  <c r="P40" i="46" s="1"/>
  <c r="R32" i="46"/>
  <c r="S31" i="46" s="1"/>
  <c r="P32" i="46"/>
  <c r="L32" i="46"/>
  <c r="K32" i="46"/>
  <c r="K33" i="46" s="1"/>
  <c r="K34" i="46" s="1"/>
  <c r="K35" i="46" s="1"/>
  <c r="K36" i="46" s="1"/>
  <c r="K37" i="46" s="1"/>
  <c r="K38" i="46" s="1"/>
  <c r="K39" i="46" s="1"/>
  <c r="K40" i="46" s="1"/>
  <c r="P31" i="46"/>
  <c r="N31" i="46"/>
  <c r="N32" i="46" s="1"/>
  <c r="N33" i="46" s="1"/>
  <c r="N34" i="46" s="1"/>
  <c r="N35" i="46" s="1"/>
  <c r="N36" i="46" s="1"/>
  <c r="N37" i="46" s="1"/>
  <c r="N38" i="46" s="1"/>
  <c r="N39" i="46" s="1"/>
  <c r="N40" i="46" s="1"/>
  <c r="M31" i="46"/>
  <c r="L31" i="46"/>
  <c r="Q30" i="46"/>
  <c r="P30" i="46"/>
  <c r="N30" i="46"/>
  <c r="M30" i="46"/>
  <c r="L30" i="46"/>
  <c r="R31" i="46" s="1"/>
  <c r="S30" i="46" s="1"/>
  <c r="P29" i="46"/>
  <c r="L29" i="46"/>
  <c r="M29" i="46" s="1"/>
  <c r="P28" i="46"/>
  <c r="M28" i="46"/>
  <c r="L28" i="46"/>
  <c r="R29" i="46" s="1"/>
  <c r="S28" i="46" s="1"/>
  <c r="P27" i="46"/>
  <c r="M27" i="46"/>
  <c r="L27" i="46"/>
  <c r="R28" i="46" s="1"/>
  <c r="S27" i="46" s="1"/>
  <c r="P26" i="46"/>
  <c r="M26" i="46"/>
  <c r="L26" i="46"/>
  <c r="R27" i="46" s="1"/>
  <c r="S26" i="46" s="1"/>
  <c r="P25" i="46"/>
  <c r="L25" i="46"/>
  <c r="M25" i="46" s="1"/>
  <c r="P24" i="46"/>
  <c r="M24" i="46"/>
  <c r="L24" i="46"/>
  <c r="R25" i="46" s="1"/>
  <c r="S24" i="46" s="1"/>
  <c r="P23" i="46"/>
  <c r="O23" i="46"/>
  <c r="M23" i="46"/>
  <c r="L23" i="46"/>
  <c r="R24" i="46" s="1"/>
  <c r="S23" i="46" s="1"/>
  <c r="T23" i="46" s="1"/>
  <c r="Q22" i="46"/>
  <c r="P22" i="46"/>
  <c r="O22" i="46"/>
  <c r="M22" i="46"/>
  <c r="L22" i="46"/>
  <c r="R23" i="46" s="1"/>
  <c r="S22" i="46" s="1"/>
  <c r="T22" i="46" s="1"/>
  <c r="R21" i="46"/>
  <c r="Q21" i="46"/>
  <c r="P21" i="46"/>
  <c r="O21" i="46"/>
  <c r="N21" i="46"/>
  <c r="M21" i="46"/>
  <c r="L21" i="46"/>
  <c r="R22" i="46" s="1"/>
  <c r="S21" i="46" s="1"/>
  <c r="R12" i="46"/>
  <c r="Q12" i="46"/>
  <c r="Q31" i="46" s="1"/>
  <c r="Q32" i="46" s="1"/>
  <c r="Q33" i="46" s="1"/>
  <c r="Q34" i="46" s="1"/>
  <c r="Q35" i="46" s="1"/>
  <c r="Q36" i="46" s="1"/>
  <c r="Q37" i="46" s="1"/>
  <c r="N12" i="46"/>
  <c r="M12" i="46"/>
  <c r="R11" i="46"/>
  <c r="Q11" i="46"/>
  <c r="N11" i="46"/>
  <c r="M11" i="46"/>
  <c r="R10" i="46"/>
  <c r="Q10" i="46"/>
  <c r="Q29" i="46" s="1"/>
  <c r="N10" i="46"/>
  <c r="N29" i="46" s="1"/>
  <c r="M10" i="46"/>
  <c r="R9" i="46"/>
  <c r="S8" i="46" s="1"/>
  <c r="Q9" i="46"/>
  <c r="N9" i="46"/>
  <c r="N28" i="46" s="1"/>
  <c r="M9" i="46"/>
  <c r="R8" i="46"/>
  <c r="S7" i="46" s="1"/>
  <c r="Q8" i="46"/>
  <c r="Q27" i="46" s="1"/>
  <c r="N8" i="46"/>
  <c r="N27" i="46" s="1"/>
  <c r="M8" i="46"/>
  <c r="R7" i="46"/>
  <c r="S6" i="46" s="1"/>
  <c r="Q7" i="46"/>
  <c r="Q26" i="46" s="1"/>
  <c r="N7" i="46"/>
  <c r="N26" i="46" s="1"/>
  <c r="M7" i="46"/>
  <c r="R6" i="46"/>
  <c r="S5" i="46" s="1"/>
  <c r="Q6" i="46"/>
  <c r="Q25" i="46" s="1"/>
  <c r="N6" i="46"/>
  <c r="N25" i="46" s="1"/>
  <c r="M6" i="46"/>
  <c r="R5" i="46"/>
  <c r="S4" i="46" s="1"/>
  <c r="T4" i="46" s="1"/>
  <c r="Q5" i="46"/>
  <c r="Q24" i="46" s="1"/>
  <c r="N5" i="46"/>
  <c r="N24" i="46" s="1"/>
  <c r="M5" i="46"/>
  <c r="R4" i="46"/>
  <c r="Q4" i="46"/>
  <c r="Q23" i="46" s="1"/>
  <c r="O4" i="46"/>
  <c r="O5" i="46" s="1"/>
  <c r="N4" i="46"/>
  <c r="N23" i="46" s="1"/>
  <c r="M4" i="46"/>
  <c r="H4" i="46"/>
  <c r="S3" i="46"/>
  <c r="T3" i="46" s="1"/>
  <c r="R3" i="46"/>
  <c r="S2" i="46" s="1"/>
  <c r="U2" i="46" s="1"/>
  <c r="U3" i="46" s="1"/>
  <c r="Q3" i="46"/>
  <c r="N3" i="46"/>
  <c r="T14" i="46" s="1"/>
  <c r="M3" i="46"/>
  <c r="M2" i="46"/>
  <c r="I2" i="46"/>
  <c r="S9" i="46" s="1"/>
  <c r="I11" i="33"/>
  <c r="G11" i="33"/>
  <c r="F11" i="33"/>
  <c r="C11" i="33" s="1"/>
  <c r="I10" i="33"/>
  <c r="G10" i="33"/>
  <c r="F10" i="33"/>
  <c r="C10" i="33"/>
  <c r="B10" i="33"/>
  <c r="I9" i="33"/>
  <c r="G9" i="33"/>
  <c r="F9" i="33"/>
  <c r="C9" i="33" s="1"/>
  <c r="I8" i="33"/>
  <c r="G8" i="33"/>
  <c r="C8" i="33" s="1"/>
  <c r="F8" i="33"/>
  <c r="I7" i="33"/>
  <c r="G7" i="33"/>
  <c r="C7" i="33" s="1"/>
  <c r="F7" i="33"/>
  <c r="B7" i="33"/>
  <c r="I6" i="33"/>
  <c r="G6" i="33"/>
  <c r="F6" i="33"/>
  <c r="B6" i="33" s="1"/>
  <c r="I5" i="33"/>
  <c r="G5" i="33"/>
  <c r="F5" i="33"/>
  <c r="C5" i="33"/>
  <c r="B5" i="33"/>
  <c r="D12" i="19"/>
  <c r="C12" i="19"/>
  <c r="D11" i="19"/>
  <c r="D9" i="19"/>
  <c r="C10" i="19" s="1"/>
  <c r="D10" i="19" s="1"/>
  <c r="F7" i="19"/>
  <c r="F8" i="19" s="1"/>
  <c r="E7" i="19"/>
  <c r="E8" i="19" s="1"/>
  <c r="D7" i="19"/>
  <c r="C8" i="19" s="1"/>
  <c r="D8" i="19" s="1"/>
  <c r="G6" i="19"/>
  <c r="G7" i="19" s="1"/>
  <c r="G8" i="19" s="1"/>
  <c r="F6" i="19"/>
  <c r="E6" i="19"/>
  <c r="C6" i="19"/>
  <c r="D6" i="19" s="1"/>
  <c r="H5" i="19"/>
  <c r="H6" i="19" s="1"/>
  <c r="H7" i="19" s="1"/>
  <c r="H8" i="19" s="1"/>
  <c r="D5" i="19"/>
  <c r="L4" i="19"/>
  <c r="L3" i="19"/>
  <c r="L2" i="19"/>
  <c r="I7" i="42"/>
  <c r="I8" i="42" s="1"/>
  <c r="I9" i="42" s="1"/>
  <c r="C7" i="42"/>
  <c r="J8" i="42" s="1"/>
  <c r="M6" i="42"/>
  <c r="J6" i="42"/>
  <c r="C6" i="42"/>
  <c r="J7" i="42" s="1"/>
  <c r="M7" i="42" s="1"/>
  <c r="T7" i="47"/>
  <c r="R7" i="47"/>
  <c r="Q7" i="47"/>
  <c r="O7" i="47"/>
  <c r="M7" i="47"/>
  <c r="L7" i="47"/>
  <c r="C7" i="47" s="1"/>
  <c r="J7" i="47"/>
  <c r="H7" i="47"/>
  <c r="G7" i="47"/>
  <c r="T6" i="47"/>
  <c r="R6" i="47"/>
  <c r="Q6" i="47"/>
  <c r="O6" i="47"/>
  <c r="M6" i="47"/>
  <c r="L6" i="47"/>
  <c r="J6" i="47"/>
  <c r="H6" i="47"/>
  <c r="G6" i="47"/>
  <c r="C6" i="47"/>
  <c r="T5" i="47"/>
  <c r="R5" i="47"/>
  <c r="Q5" i="47"/>
  <c r="O5" i="47"/>
  <c r="M5" i="47"/>
  <c r="L5" i="47"/>
  <c r="J5" i="47"/>
  <c r="H5" i="47"/>
  <c r="C5" i="47" s="1"/>
  <c r="G5" i="47"/>
  <c r="H19" i="30"/>
  <c r="C19" i="30"/>
  <c r="B19" i="30"/>
  <c r="C18" i="30"/>
  <c r="B18" i="30"/>
  <c r="H18" i="30" s="1"/>
  <c r="C17" i="30"/>
  <c r="H17" i="30" s="1"/>
  <c r="B17" i="30"/>
  <c r="C16" i="30"/>
  <c r="B16" i="30"/>
  <c r="H16" i="30" s="1"/>
  <c r="C15" i="30"/>
  <c r="H15" i="30" s="1"/>
  <c r="B15" i="30"/>
  <c r="H14" i="30"/>
  <c r="C14" i="30"/>
  <c r="B14" i="30"/>
  <c r="C13" i="30"/>
  <c r="H13" i="30" s="1"/>
  <c r="B13" i="30"/>
  <c r="H12" i="30"/>
  <c r="C12" i="30"/>
  <c r="B12" i="30"/>
  <c r="H11" i="30"/>
  <c r="C11" i="30"/>
  <c r="B11" i="30"/>
  <c r="C10" i="30"/>
  <c r="B10" i="30"/>
  <c r="H10" i="30" s="1"/>
  <c r="C9" i="30"/>
  <c r="H9" i="30" s="1"/>
  <c r="B9" i="30"/>
  <c r="C8" i="30"/>
  <c r="B8" i="30"/>
  <c r="H8" i="30" s="1"/>
  <c r="C7" i="30"/>
  <c r="H7" i="30" s="1"/>
  <c r="B7" i="30"/>
  <c r="H6" i="30"/>
  <c r="C6" i="30"/>
  <c r="B6" i="30"/>
  <c r="C5" i="30"/>
  <c r="H5" i="30" s="1"/>
  <c r="B5" i="30"/>
  <c r="H4" i="30"/>
  <c r="C30" i="32"/>
  <c r="P24" i="32"/>
  <c r="N24" i="32"/>
  <c r="P23" i="32"/>
  <c r="N23" i="32"/>
  <c r="C21" i="32"/>
  <c r="P15" i="32"/>
  <c r="N15" i="32"/>
  <c r="P14" i="32"/>
  <c r="N14" i="32"/>
  <c r="C12" i="32"/>
  <c r="P6" i="32"/>
  <c r="N6" i="32"/>
  <c r="AC27" i="49"/>
  <c r="AB27" i="49"/>
  <c r="X27" i="49"/>
  <c r="AC26" i="49"/>
  <c r="AB26" i="49"/>
  <c r="Y26" i="49"/>
  <c r="X26" i="49"/>
  <c r="AC25" i="49"/>
  <c r="AB25" i="49"/>
  <c r="Y25" i="49"/>
  <c r="X25" i="49"/>
  <c r="AC24" i="49"/>
  <c r="AB24" i="49"/>
  <c r="Y24" i="49"/>
  <c r="X24" i="49"/>
  <c r="AC23" i="49"/>
  <c r="AB23" i="49"/>
  <c r="Y23" i="49"/>
  <c r="X23" i="49"/>
  <c r="AC22" i="49"/>
  <c r="AB22" i="49"/>
  <c r="Y22" i="49"/>
  <c r="X22" i="49"/>
  <c r="AC21" i="49"/>
  <c r="AB21" i="49"/>
  <c r="Y21" i="49"/>
  <c r="X21" i="49"/>
  <c r="AC20" i="49"/>
  <c r="AB20" i="49"/>
  <c r="Y20" i="49"/>
  <c r="X20" i="49"/>
  <c r="AC19" i="49"/>
  <c r="AB19" i="49"/>
  <c r="Y19" i="49"/>
  <c r="X19" i="49"/>
  <c r="AC18" i="49"/>
  <c r="AB18" i="49"/>
  <c r="Y18" i="49"/>
  <c r="X18" i="49"/>
  <c r="AC17" i="49"/>
  <c r="AB17" i="49"/>
  <c r="Y17" i="49"/>
  <c r="X17" i="49"/>
  <c r="AC16" i="49"/>
  <c r="AB16" i="49"/>
  <c r="X16" i="49"/>
  <c r="AC15" i="49"/>
  <c r="AB15" i="49"/>
  <c r="X15" i="49"/>
  <c r="AC14" i="49"/>
  <c r="AB14" i="49"/>
  <c r="X14" i="49"/>
  <c r="AC13" i="49"/>
  <c r="AB13" i="49"/>
  <c r="X13" i="49"/>
  <c r="AC12" i="49"/>
  <c r="AB12" i="49"/>
  <c r="X12" i="49"/>
  <c r="AC11" i="49"/>
  <c r="AB11" i="49"/>
  <c r="Z11" i="49"/>
  <c r="X11" i="49"/>
  <c r="AC10" i="49"/>
  <c r="AB10" i="49"/>
  <c r="Z10" i="49"/>
  <c r="X10" i="49"/>
  <c r="AC9" i="49"/>
  <c r="AB9" i="49"/>
  <c r="Z9" i="49"/>
  <c r="X9" i="49"/>
  <c r="AC8" i="49"/>
  <c r="AB8" i="49"/>
  <c r="Z8" i="49"/>
  <c r="X8" i="49"/>
  <c r="AC7" i="49"/>
  <c r="AB7" i="49"/>
  <c r="X7" i="49"/>
  <c r="N7" i="49"/>
  <c r="AC6" i="49"/>
  <c r="AB6" i="49"/>
  <c r="X6" i="49"/>
  <c r="N6" i="49"/>
  <c r="AC5" i="49"/>
  <c r="AB5" i="49"/>
  <c r="Z5" i="49"/>
  <c r="Y5" i="49"/>
  <c r="X5" i="49"/>
  <c r="N5" i="49"/>
  <c r="AC4" i="49"/>
  <c r="AB4" i="49"/>
  <c r="Z4" i="49"/>
  <c r="Y4" i="49"/>
  <c r="X4" i="49"/>
  <c r="M7" i="49" s="1"/>
  <c r="R38" i="9"/>
  <c r="R37" i="9"/>
  <c r="R36" i="9"/>
  <c r="R35" i="9"/>
  <c r="W27" i="9"/>
  <c r="V27" i="9"/>
  <c r="S27" i="9"/>
  <c r="W26" i="9"/>
  <c r="V26" i="9"/>
  <c r="T26" i="9"/>
  <c r="S26" i="9"/>
  <c r="W25" i="9"/>
  <c r="V25" i="9"/>
  <c r="T25" i="9"/>
  <c r="S25" i="9"/>
  <c r="W24" i="9"/>
  <c r="V24" i="9"/>
  <c r="T24" i="9"/>
  <c r="S24" i="9"/>
  <c r="W23" i="9"/>
  <c r="V23" i="9"/>
  <c r="T23" i="9"/>
  <c r="S23" i="9"/>
  <c r="W22" i="9"/>
  <c r="V22" i="9"/>
  <c r="T22" i="9"/>
  <c r="S22" i="9"/>
  <c r="W21" i="9"/>
  <c r="V21" i="9"/>
  <c r="T21" i="9"/>
  <c r="S21" i="9"/>
  <c r="W20" i="9"/>
  <c r="V20" i="9"/>
  <c r="T20" i="9"/>
  <c r="S20" i="9"/>
  <c r="W19" i="9"/>
  <c r="V19" i="9"/>
  <c r="T19" i="9"/>
  <c r="S19" i="9"/>
  <c r="W18" i="9"/>
  <c r="V18" i="9"/>
  <c r="T18" i="9"/>
  <c r="S18" i="9"/>
  <c r="N18" i="9"/>
  <c r="W17" i="9"/>
  <c r="V17" i="9"/>
  <c r="T17" i="9"/>
  <c r="S17" i="9"/>
  <c r="N17" i="9"/>
  <c r="W16" i="9"/>
  <c r="V16" i="9"/>
  <c r="S16" i="9"/>
  <c r="N16" i="9"/>
  <c r="L16" i="9"/>
  <c r="W15" i="9"/>
  <c r="V15" i="9"/>
  <c r="S15" i="9"/>
  <c r="N15" i="9"/>
  <c r="W14" i="9"/>
  <c r="V14" i="9"/>
  <c r="S14" i="9"/>
  <c r="N14" i="9"/>
  <c r="W13" i="9"/>
  <c r="V13" i="9"/>
  <c r="S13" i="9"/>
  <c r="N13" i="9"/>
  <c r="W12" i="9"/>
  <c r="V12" i="9"/>
  <c r="S12" i="9"/>
  <c r="N12" i="9"/>
  <c r="W11" i="9"/>
  <c r="V11" i="9"/>
  <c r="U11" i="9"/>
  <c r="S11" i="9"/>
  <c r="O11" i="9"/>
  <c r="J11" i="9"/>
  <c r="W10" i="9"/>
  <c r="V10" i="9"/>
  <c r="U10" i="9"/>
  <c r="S10" i="9"/>
  <c r="J10" i="9"/>
  <c r="O10" i="9" s="1"/>
  <c r="W9" i="9"/>
  <c r="V9" i="9"/>
  <c r="U9" i="9"/>
  <c r="S9" i="9"/>
  <c r="O9" i="9"/>
  <c r="L9" i="9"/>
  <c r="J9" i="9"/>
  <c r="W8" i="9"/>
  <c r="V8" i="9"/>
  <c r="U8" i="9"/>
  <c r="S8" i="9"/>
  <c r="R8" i="9"/>
  <c r="J8" i="9"/>
  <c r="O8" i="9" s="1"/>
  <c r="W7" i="9"/>
  <c r="V7" i="9"/>
  <c r="L7" i="9" s="1"/>
  <c r="S7" i="9"/>
  <c r="R7" i="9"/>
  <c r="O7" i="9"/>
  <c r="J7" i="9"/>
  <c r="W6" i="9"/>
  <c r="V6" i="9"/>
  <c r="S6" i="9"/>
  <c r="R6" i="9"/>
  <c r="L6" i="9"/>
  <c r="J6" i="9"/>
  <c r="O6" i="9" s="1"/>
  <c r="W5" i="9"/>
  <c r="V5" i="9"/>
  <c r="U5" i="9"/>
  <c r="T5" i="9"/>
  <c r="S5" i="9"/>
  <c r="O5" i="9"/>
  <c r="L5" i="9"/>
  <c r="H5" i="9"/>
  <c r="W4" i="9"/>
  <c r="V4" i="9"/>
  <c r="U4" i="9"/>
  <c r="T4" i="9"/>
  <c r="S4" i="9"/>
  <c r="M15" i="9" s="1"/>
  <c r="Q4" i="9"/>
  <c r="P2" i="9"/>
  <c r="M40" i="24"/>
  <c r="F40" i="24"/>
  <c r="F39" i="24"/>
  <c r="F35" i="24"/>
  <c r="Z34" i="24"/>
  <c r="Y34" i="24"/>
  <c r="V34" i="24"/>
  <c r="F34" i="24"/>
  <c r="Z33" i="24"/>
  <c r="Y33" i="24"/>
  <c r="V33" i="24"/>
  <c r="Z32" i="24"/>
  <c r="Y32" i="24"/>
  <c r="V32" i="24"/>
  <c r="Z31" i="24"/>
  <c r="Y31" i="24"/>
  <c r="V31" i="24"/>
  <c r="Q31" i="24"/>
  <c r="Z30" i="24"/>
  <c r="Y30" i="24"/>
  <c r="V30" i="24"/>
  <c r="F30" i="24"/>
  <c r="Z29" i="24"/>
  <c r="Y29" i="24"/>
  <c r="V29" i="24"/>
  <c r="F29" i="24"/>
  <c r="Z28" i="24"/>
  <c r="Y28" i="24"/>
  <c r="V28" i="24"/>
  <c r="F28" i="24"/>
  <c r="Z27" i="24"/>
  <c r="Y27" i="24"/>
  <c r="V27" i="24"/>
  <c r="F27" i="24"/>
  <c r="Z26" i="24"/>
  <c r="Y26" i="24"/>
  <c r="W26" i="24"/>
  <c r="V26" i="24"/>
  <c r="F26" i="24"/>
  <c r="Z25" i="24"/>
  <c r="Y25" i="24"/>
  <c r="W25" i="24"/>
  <c r="V25" i="24"/>
  <c r="F25" i="24"/>
  <c r="AM24" i="24"/>
  <c r="Z24" i="24"/>
  <c r="Y24" i="24"/>
  <c r="W24" i="24"/>
  <c r="V24" i="24"/>
  <c r="F24" i="24"/>
  <c r="AM23" i="24"/>
  <c r="AJ23" i="24"/>
  <c r="Z23" i="24"/>
  <c r="Y23" i="24"/>
  <c r="W23" i="24"/>
  <c r="V23" i="24"/>
  <c r="P23" i="24"/>
  <c r="F23" i="24"/>
  <c r="Z22" i="24"/>
  <c r="Y22" i="24"/>
  <c r="W22" i="24"/>
  <c r="V22" i="24"/>
  <c r="P22" i="24"/>
  <c r="F22" i="24"/>
  <c r="Z21" i="24"/>
  <c r="Y21" i="24"/>
  <c r="W21" i="24"/>
  <c r="V21" i="24"/>
  <c r="Q11" i="24" s="1"/>
  <c r="F21" i="24"/>
  <c r="Z20" i="24"/>
  <c r="Y20" i="24"/>
  <c r="W20" i="24"/>
  <c r="V20" i="24"/>
  <c r="P20" i="24"/>
  <c r="Z19" i="24"/>
  <c r="Y19" i="24"/>
  <c r="W19" i="24"/>
  <c r="V19" i="24"/>
  <c r="Z18" i="24"/>
  <c r="Y18" i="24"/>
  <c r="W18" i="24"/>
  <c r="V18" i="24"/>
  <c r="Z17" i="24"/>
  <c r="Y17" i="24"/>
  <c r="W17" i="24"/>
  <c r="V17" i="24"/>
  <c r="Z16" i="24"/>
  <c r="Y16" i="24"/>
  <c r="V16" i="24"/>
  <c r="Z15" i="24"/>
  <c r="Y15" i="24"/>
  <c r="V15" i="24"/>
  <c r="F15" i="24"/>
  <c r="Z14" i="24"/>
  <c r="Y14" i="24"/>
  <c r="V14" i="24"/>
  <c r="F14" i="24"/>
  <c r="Z13" i="24"/>
  <c r="Y13" i="24"/>
  <c r="V13" i="24"/>
  <c r="F13" i="24"/>
  <c r="AJ12" i="24"/>
  <c r="AM12" i="24" s="1"/>
  <c r="Z12" i="24"/>
  <c r="Y12" i="24"/>
  <c r="V12" i="24"/>
  <c r="F12" i="24"/>
  <c r="AM11" i="24"/>
  <c r="Z11" i="24"/>
  <c r="Y11" i="24"/>
  <c r="X11" i="24"/>
  <c r="V11" i="24"/>
  <c r="F11" i="24"/>
  <c r="AM10" i="24"/>
  <c r="Z10" i="24"/>
  <c r="Y10" i="24"/>
  <c r="X10" i="24"/>
  <c r="V10" i="24"/>
  <c r="P10" i="24"/>
  <c r="F10" i="24"/>
  <c r="AM9" i="24"/>
  <c r="Z9" i="24"/>
  <c r="Y9" i="24"/>
  <c r="X9" i="24"/>
  <c r="V9" i="24"/>
  <c r="F9" i="24"/>
  <c r="AM8" i="24"/>
  <c r="Z8" i="24"/>
  <c r="Y8" i="24"/>
  <c r="X8" i="24"/>
  <c r="V8" i="24"/>
  <c r="M8" i="24"/>
  <c r="F8" i="24"/>
  <c r="AM7" i="24"/>
  <c r="AJ7" i="24"/>
  <c r="AJ24" i="24" s="1"/>
  <c r="Z7" i="24"/>
  <c r="Y7" i="24"/>
  <c r="V7" i="24"/>
  <c r="P7" i="24"/>
  <c r="F7" i="24"/>
  <c r="AM6" i="24"/>
  <c r="Z6" i="24"/>
  <c r="Y6" i="24"/>
  <c r="V6" i="24"/>
  <c r="F6" i="24"/>
  <c r="Z5" i="24"/>
  <c r="Y5" i="24"/>
  <c r="X5" i="24"/>
  <c r="X12" i="24" s="1"/>
  <c r="W5" i="24"/>
  <c r="W12" i="24" s="1"/>
  <c r="W30" i="24" s="1"/>
  <c r="X30" i="24" s="1"/>
  <c r="V5" i="24"/>
  <c r="F5" i="24"/>
  <c r="Z4" i="24"/>
  <c r="Y4" i="24"/>
  <c r="X4" i="24"/>
  <c r="W4" i="24"/>
  <c r="V4" i="24"/>
  <c r="S88" i="25"/>
  <c r="Q88" i="25"/>
  <c r="K88" i="25"/>
  <c r="I88" i="25"/>
  <c r="G88" i="25"/>
  <c r="E88" i="25"/>
  <c r="K87" i="25"/>
  <c r="I87" i="25"/>
  <c r="G87" i="25"/>
  <c r="E87" i="25"/>
  <c r="S86" i="25"/>
  <c r="K86" i="25"/>
  <c r="I86" i="25"/>
  <c r="G86" i="25"/>
  <c r="Q86" i="25" s="1"/>
  <c r="E86" i="25"/>
  <c r="S85" i="25"/>
  <c r="K85" i="25"/>
  <c r="I85" i="25"/>
  <c r="G85" i="25"/>
  <c r="Q85" i="25" s="1"/>
  <c r="E85" i="25"/>
  <c r="Q84" i="25"/>
  <c r="K84" i="25"/>
  <c r="I84" i="25"/>
  <c r="G84" i="25"/>
  <c r="E84" i="25"/>
  <c r="K83" i="25"/>
  <c r="I83" i="25"/>
  <c r="G83" i="25"/>
  <c r="E83" i="25"/>
  <c r="S82" i="25"/>
  <c r="K82" i="25"/>
  <c r="I82" i="25"/>
  <c r="G82" i="25"/>
  <c r="Q82" i="25" s="1"/>
  <c r="E82" i="25"/>
  <c r="S81" i="25"/>
  <c r="K81" i="25"/>
  <c r="I81" i="25"/>
  <c r="G81" i="25"/>
  <c r="Q81" i="25" s="1"/>
  <c r="E81" i="25"/>
  <c r="K80" i="25"/>
  <c r="Q80" i="25" s="1"/>
  <c r="I80" i="25"/>
  <c r="G80" i="25"/>
  <c r="E80" i="25"/>
  <c r="K79" i="25"/>
  <c r="I79" i="25"/>
  <c r="G79" i="25"/>
  <c r="E79" i="25"/>
  <c r="S78" i="25"/>
  <c r="K78" i="25"/>
  <c r="I78" i="25"/>
  <c r="Q78" i="25" s="1"/>
  <c r="G78" i="25"/>
  <c r="E78" i="25"/>
  <c r="S77" i="25"/>
  <c r="K77" i="25"/>
  <c r="I77" i="25"/>
  <c r="G77" i="25"/>
  <c r="Q77" i="25" s="1"/>
  <c r="E77" i="25"/>
  <c r="Q76" i="25"/>
  <c r="K76" i="25"/>
  <c r="I76" i="25"/>
  <c r="G76" i="25"/>
  <c r="S76" i="25" s="1"/>
  <c r="E76" i="25"/>
  <c r="K75" i="25"/>
  <c r="I75" i="25"/>
  <c r="G75" i="25"/>
  <c r="E75" i="25"/>
  <c r="S74" i="25"/>
  <c r="K74" i="25"/>
  <c r="I74" i="25"/>
  <c r="Q74" i="25" s="1"/>
  <c r="G74" i="25"/>
  <c r="E74" i="25"/>
  <c r="S73" i="25"/>
  <c r="K73" i="25"/>
  <c r="I73" i="25"/>
  <c r="G73" i="25"/>
  <c r="Q73" i="25" s="1"/>
  <c r="E73" i="25"/>
  <c r="K72" i="25"/>
  <c r="Q72" i="25" s="1"/>
  <c r="I72" i="25"/>
  <c r="G72" i="25"/>
  <c r="S72" i="25" s="1"/>
  <c r="E72" i="25"/>
  <c r="K71" i="25"/>
  <c r="I71" i="25"/>
  <c r="G71" i="25"/>
  <c r="E71" i="25"/>
  <c r="S70" i="25"/>
  <c r="K70" i="25"/>
  <c r="I70" i="25"/>
  <c r="Q70" i="25" s="1"/>
  <c r="G70" i="25"/>
  <c r="E70" i="25"/>
  <c r="S69" i="25"/>
  <c r="K69" i="25"/>
  <c r="I69" i="25"/>
  <c r="Q69" i="25" s="1"/>
  <c r="G69" i="25"/>
  <c r="E69" i="25"/>
  <c r="Q68" i="25"/>
  <c r="K68" i="25"/>
  <c r="I68" i="25"/>
  <c r="G68" i="25"/>
  <c r="S68" i="25" s="1"/>
  <c r="E68" i="25"/>
  <c r="K67" i="25"/>
  <c r="I67" i="25"/>
  <c r="G67" i="25"/>
  <c r="E67" i="25"/>
  <c r="S66" i="25"/>
  <c r="K66" i="25"/>
  <c r="I66" i="25"/>
  <c r="Q66" i="25" s="1"/>
  <c r="G66" i="25"/>
  <c r="E66" i="25"/>
  <c r="S65" i="25"/>
  <c r="K65" i="25"/>
  <c r="I65" i="25"/>
  <c r="Q65" i="25" s="1"/>
  <c r="G65" i="25"/>
  <c r="E65" i="25"/>
  <c r="K64" i="25"/>
  <c r="Q64" i="25" s="1"/>
  <c r="I64" i="25"/>
  <c r="G64" i="25"/>
  <c r="S64" i="25" s="1"/>
  <c r="E64" i="25"/>
  <c r="K63" i="25"/>
  <c r="I63" i="25"/>
  <c r="G63" i="25"/>
  <c r="E63" i="25"/>
  <c r="S62" i="25"/>
  <c r="K62" i="25"/>
  <c r="I62" i="25"/>
  <c r="Q62" i="25" s="1"/>
  <c r="G62" i="25"/>
  <c r="E62" i="25"/>
  <c r="S61" i="25"/>
  <c r="K61" i="25"/>
  <c r="I61" i="25"/>
  <c r="Q61" i="25" s="1"/>
  <c r="G61" i="25"/>
  <c r="E61" i="25"/>
  <c r="Q60" i="25"/>
  <c r="K60" i="25"/>
  <c r="I60" i="25"/>
  <c r="G60" i="25"/>
  <c r="S60" i="25" s="1"/>
  <c r="E60" i="25"/>
  <c r="K59" i="25"/>
  <c r="I59" i="25"/>
  <c r="G59" i="25"/>
  <c r="E59" i="25"/>
  <c r="S58" i="25"/>
  <c r="K58" i="25"/>
  <c r="I58" i="25"/>
  <c r="Q58" i="25" s="1"/>
  <c r="G58" i="25"/>
  <c r="E58" i="25"/>
  <c r="S57" i="25"/>
  <c r="K57" i="25"/>
  <c r="I57" i="25"/>
  <c r="Q57" i="25" s="1"/>
  <c r="G57" i="25"/>
  <c r="E57" i="25"/>
  <c r="K56" i="25"/>
  <c r="Q56" i="25" s="1"/>
  <c r="I56" i="25"/>
  <c r="G56" i="25"/>
  <c r="S56" i="25" s="1"/>
  <c r="E56" i="25"/>
  <c r="K55" i="25"/>
  <c r="I55" i="25"/>
  <c r="G55" i="25"/>
  <c r="E55" i="25"/>
  <c r="S54" i="25"/>
  <c r="K54" i="25"/>
  <c r="I54" i="25"/>
  <c r="Q54" i="25" s="1"/>
  <c r="G54" i="25"/>
  <c r="E54" i="25"/>
  <c r="S53" i="25"/>
  <c r="K53" i="25"/>
  <c r="I53" i="25"/>
  <c r="Q53" i="25" s="1"/>
  <c r="G53" i="25"/>
  <c r="E53" i="25"/>
  <c r="Q52" i="25"/>
  <c r="K52" i="25"/>
  <c r="I52" i="25"/>
  <c r="G52" i="25"/>
  <c r="E52" i="25"/>
  <c r="K51" i="25"/>
  <c r="I51" i="25"/>
  <c r="G51" i="25"/>
  <c r="E51" i="25"/>
  <c r="S50" i="25"/>
  <c r="K50" i="25"/>
  <c r="I50" i="25"/>
  <c r="Q50" i="25" s="1"/>
  <c r="G50" i="25"/>
  <c r="E50" i="25"/>
  <c r="S49" i="25"/>
  <c r="K49" i="25"/>
  <c r="I49" i="25"/>
  <c r="Q49" i="25" s="1"/>
  <c r="G49" i="25"/>
  <c r="E49" i="25"/>
  <c r="K48" i="25"/>
  <c r="Q48" i="25" s="1"/>
  <c r="I48" i="25"/>
  <c r="G48" i="25"/>
  <c r="E48" i="25"/>
  <c r="K47" i="25"/>
  <c r="I47" i="25"/>
  <c r="G47" i="25"/>
  <c r="E47" i="25"/>
  <c r="S46" i="25"/>
  <c r="K46" i="25"/>
  <c r="I46" i="25"/>
  <c r="Q46" i="25" s="1"/>
  <c r="G46" i="25"/>
  <c r="E46" i="25"/>
  <c r="S45" i="25"/>
  <c r="K45" i="25"/>
  <c r="I45" i="25"/>
  <c r="Q45" i="25" s="1"/>
  <c r="G45" i="25"/>
  <c r="E45" i="25"/>
  <c r="Q44" i="25"/>
  <c r="K44" i="25"/>
  <c r="I44" i="25"/>
  <c r="G44" i="25"/>
  <c r="S44" i="25" s="1"/>
  <c r="E44" i="25"/>
  <c r="K43" i="25"/>
  <c r="I43" i="25"/>
  <c r="G43" i="25"/>
  <c r="E43" i="25"/>
  <c r="S42" i="25"/>
  <c r="K42" i="25"/>
  <c r="I42" i="25"/>
  <c r="Q42" i="25" s="1"/>
  <c r="G42" i="25"/>
  <c r="E42" i="25"/>
  <c r="S41" i="25"/>
  <c r="K41" i="25"/>
  <c r="I41" i="25"/>
  <c r="Q41" i="25" s="1"/>
  <c r="G41" i="25"/>
  <c r="E41" i="25"/>
  <c r="K40" i="25"/>
  <c r="Q40" i="25" s="1"/>
  <c r="I40" i="25"/>
  <c r="G40" i="25"/>
  <c r="E40" i="25"/>
  <c r="K39" i="25"/>
  <c r="I39" i="25"/>
  <c r="G39" i="25"/>
  <c r="E39" i="25"/>
  <c r="Q38" i="25"/>
  <c r="Q37" i="25"/>
  <c r="Q36" i="25"/>
  <c r="Q35" i="25"/>
  <c r="Q34" i="25"/>
  <c r="I33" i="25"/>
  <c r="Q33" i="25" s="1"/>
  <c r="AE32" i="25"/>
  <c r="AD32" i="25"/>
  <c r="AC32" i="25"/>
  <c r="Z32" i="25"/>
  <c r="K32" i="25"/>
  <c r="Q32" i="25" s="1"/>
  <c r="AE31" i="25"/>
  <c r="AD31" i="25"/>
  <c r="AC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I28" i="25"/>
  <c r="Q28" i="25" s="1"/>
  <c r="AE27" i="25"/>
  <c r="AD27" i="25"/>
  <c r="AC27" i="25"/>
  <c r="Z27" i="25"/>
  <c r="K27" i="25"/>
  <c r="Q27" i="25" s="1"/>
  <c r="AE26" i="25"/>
  <c r="AD26" i="25"/>
  <c r="AC26" i="25"/>
  <c r="AA26" i="25"/>
  <c r="Z26" i="25"/>
  <c r="Q26" i="25"/>
  <c r="AE25" i="25"/>
  <c r="AD25" i="25"/>
  <c r="AC25" i="25"/>
  <c r="AA25" i="25"/>
  <c r="Z25" i="25"/>
  <c r="Q25" i="25"/>
  <c r="AE24" i="25"/>
  <c r="AD24" i="25"/>
  <c r="AC24" i="25"/>
  <c r="AA24" i="25"/>
  <c r="Z24" i="25"/>
  <c r="Q24" i="25"/>
  <c r="AE23" i="25"/>
  <c r="AD23" i="25"/>
  <c r="AC23" i="25"/>
  <c r="AA23" i="25"/>
  <c r="Z23" i="25"/>
  <c r="Y23" i="25"/>
  <c r="Q23" i="25"/>
  <c r="I23" i="25"/>
  <c r="AE22" i="25"/>
  <c r="AD22" i="25"/>
  <c r="AC22" i="25"/>
  <c r="AA22" i="25"/>
  <c r="Z22" i="25"/>
  <c r="Y22" i="25"/>
  <c r="Q22" i="25"/>
  <c r="K22" i="25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A19" i="25"/>
  <c r="Z19" i="25"/>
  <c r="Q19" i="25"/>
  <c r="AE18" i="25"/>
  <c r="AD18" i="25"/>
  <c r="AC18" i="25"/>
  <c r="AA18" i="25"/>
  <c r="Z18" i="25"/>
  <c r="Q18" i="25"/>
  <c r="AE17" i="25"/>
  <c r="AD17" i="25"/>
  <c r="AC17" i="25"/>
  <c r="AA17" i="25"/>
  <c r="Z17" i="25"/>
  <c r="Q17" i="25"/>
  <c r="AE16" i="25"/>
  <c r="AD16" i="25"/>
  <c r="AC16" i="25"/>
  <c r="Z16" i="25"/>
  <c r="Q16" i="25"/>
  <c r="AE15" i="25"/>
  <c r="AD15" i="25"/>
  <c r="AC15" i="25"/>
  <c r="Z15" i="25"/>
  <c r="Q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Z9" i="25"/>
  <c r="Q9" i="25"/>
  <c r="AE8" i="25"/>
  <c r="AD8" i="25"/>
  <c r="AC8" i="25"/>
  <c r="AB8" i="25"/>
  <c r="AA8" i="25"/>
  <c r="Z8" i="25"/>
  <c r="Q8" i="25"/>
  <c r="AE7" i="25"/>
  <c r="AD7" i="25"/>
  <c r="AC7" i="25"/>
  <c r="Z7" i="25"/>
  <c r="Q7" i="25"/>
  <c r="AE6" i="25"/>
  <c r="AD6" i="25"/>
  <c r="AC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I32" i="52"/>
  <c r="H32" i="52"/>
  <c r="C32" i="52"/>
  <c r="I31" i="52"/>
  <c r="H31" i="52"/>
  <c r="C31" i="52"/>
  <c r="I30" i="52"/>
  <c r="H30" i="52"/>
  <c r="C30" i="52"/>
  <c r="I29" i="52"/>
  <c r="H29" i="52"/>
  <c r="C29" i="52"/>
  <c r="I28" i="52"/>
  <c r="H28" i="52"/>
  <c r="C28" i="52"/>
  <c r="I27" i="52"/>
  <c r="H27" i="52"/>
  <c r="C27" i="52"/>
  <c r="I26" i="52"/>
  <c r="H26" i="52"/>
  <c r="C26" i="52"/>
  <c r="I25" i="52"/>
  <c r="H25" i="52"/>
  <c r="C25" i="52"/>
  <c r="I24" i="52"/>
  <c r="H24" i="52"/>
  <c r="C24" i="52"/>
  <c r="I23" i="52"/>
  <c r="H23" i="52"/>
  <c r="C23" i="52"/>
  <c r="I22" i="52"/>
  <c r="H22" i="52"/>
  <c r="C22" i="52"/>
  <c r="I21" i="52"/>
  <c r="H21" i="52"/>
  <c r="C21" i="52"/>
  <c r="I20" i="52"/>
  <c r="H20" i="52"/>
  <c r="C20" i="52"/>
  <c r="I19" i="52"/>
  <c r="H19" i="52"/>
  <c r="C19" i="52"/>
  <c r="I18" i="52"/>
  <c r="H18" i="52"/>
  <c r="C18" i="52"/>
  <c r="I17" i="52"/>
  <c r="H17" i="52"/>
  <c r="C17" i="52"/>
  <c r="I16" i="52"/>
  <c r="H16" i="52"/>
  <c r="C16" i="52"/>
  <c r="I15" i="52"/>
  <c r="H15" i="52"/>
  <c r="C15" i="52"/>
  <c r="I14" i="52"/>
  <c r="H14" i="52"/>
  <c r="C14" i="52"/>
  <c r="I13" i="52"/>
  <c r="H13" i="52"/>
  <c r="C13" i="52"/>
  <c r="I12" i="52"/>
  <c r="H12" i="52"/>
  <c r="C12" i="52"/>
  <c r="I11" i="52"/>
  <c r="H11" i="52"/>
  <c r="C11" i="52"/>
  <c r="I10" i="52"/>
  <c r="H10" i="52"/>
  <c r="C10" i="52"/>
  <c r="I9" i="52"/>
  <c r="H9" i="52"/>
  <c r="C9" i="52"/>
  <c r="I8" i="52"/>
  <c r="H8" i="52"/>
  <c r="C8" i="52"/>
  <c r="DB84" i="31"/>
  <c r="DA84" i="31"/>
  <c r="CY84" i="31"/>
  <c r="CZ84" i="31" s="1"/>
  <c r="CW84" i="31"/>
  <c r="CJ12" i="31" s="1"/>
  <c r="CV84" i="31"/>
  <c r="CS84" i="31"/>
  <c r="DB83" i="31"/>
  <c r="DA83" i="31"/>
  <c r="CZ83" i="31"/>
  <c r="CY83" i="31"/>
  <c r="CW83" i="31"/>
  <c r="CA12" i="31" s="1"/>
  <c r="CV83" i="31"/>
  <c r="DB82" i="31"/>
  <c r="DA82" i="31"/>
  <c r="CY82" i="31"/>
  <c r="CZ82" i="31" s="1"/>
  <c r="CW82" i="31"/>
  <c r="CV82" i="31"/>
  <c r="DE81" i="31"/>
  <c r="DB81" i="31"/>
  <c r="CZ81" i="31"/>
  <c r="CY81" i="31"/>
  <c r="DA81" i="31" s="1"/>
  <c r="CW81" i="31"/>
  <c r="CV81" i="31"/>
  <c r="DB80" i="31"/>
  <c r="DA80" i="31"/>
  <c r="CZ80" i="31"/>
  <c r="CY80" i="31"/>
  <c r="CW80" i="31"/>
  <c r="CV80" i="31"/>
  <c r="DD79" i="31"/>
  <c r="DB79" i="31"/>
  <c r="CY79" i="31"/>
  <c r="CW79" i="31"/>
  <c r="CV79" i="31"/>
  <c r="DB78" i="31"/>
  <c r="CZ78" i="31"/>
  <c r="CY78" i="31"/>
  <c r="DA78" i="31" s="1"/>
  <c r="CW78" i="31"/>
  <c r="AH12" i="31" s="1"/>
  <c r="CV78" i="31"/>
  <c r="DB77" i="31"/>
  <c r="DA77" i="31"/>
  <c r="CY77" i="31"/>
  <c r="CZ77" i="31" s="1"/>
  <c r="CW77" i="31"/>
  <c r="Y12" i="31" s="1"/>
  <c r="CV77" i="31"/>
  <c r="DE76" i="31"/>
  <c r="S12" i="31" s="1"/>
  <c r="DB76" i="31"/>
  <c r="CZ76" i="31"/>
  <c r="CY76" i="31"/>
  <c r="CW76" i="31"/>
  <c r="CV76" i="31"/>
  <c r="DB75" i="31"/>
  <c r="DA75" i="31"/>
  <c r="H12" i="31" s="1"/>
  <c r="CZ75" i="31"/>
  <c r="CY75" i="31"/>
  <c r="CW75" i="31"/>
  <c r="CV75" i="31"/>
  <c r="CT75" i="31"/>
  <c r="DB74" i="31"/>
  <c r="CK11" i="31" s="1"/>
  <c r="CZ74" i="31"/>
  <c r="CY74" i="31"/>
  <c r="DA74" i="31" s="1"/>
  <c r="CW74" i="31"/>
  <c r="CV74" i="31"/>
  <c r="CS74" i="31"/>
  <c r="DB73" i="31"/>
  <c r="CY73" i="31"/>
  <c r="CW73" i="31"/>
  <c r="CV73" i="31"/>
  <c r="DB72" i="31"/>
  <c r="CZ72" i="31"/>
  <c r="CY72" i="31"/>
  <c r="DA72" i="31" s="1"/>
  <c r="BS11" i="31" s="1"/>
  <c r="CW72" i="31"/>
  <c r="CV72" i="31"/>
  <c r="DB71" i="31"/>
  <c r="CY71" i="31"/>
  <c r="CW71" i="31"/>
  <c r="CV71" i="31"/>
  <c r="DB70" i="31"/>
  <c r="CY70" i="31"/>
  <c r="CW70" i="31"/>
  <c r="CV70" i="31"/>
  <c r="DB69" i="31"/>
  <c r="DA69" i="31"/>
  <c r="CZ69" i="31"/>
  <c r="CY69" i="31"/>
  <c r="CW69" i="31"/>
  <c r="CV69" i="31"/>
  <c r="DD68" i="31"/>
  <c r="DB68" i="31"/>
  <c r="DA68" i="31"/>
  <c r="AI11" i="31" s="1"/>
  <c r="CY68" i="31"/>
  <c r="CZ68" i="31" s="1"/>
  <c r="CW68" i="31"/>
  <c r="CV68" i="31"/>
  <c r="DB67" i="31"/>
  <c r="CZ67" i="31"/>
  <c r="CY67" i="31"/>
  <c r="DA67" i="31" s="1"/>
  <c r="Z11" i="31" s="1"/>
  <c r="CW67" i="31"/>
  <c r="CV67" i="31"/>
  <c r="DB66" i="31"/>
  <c r="DA66" i="31"/>
  <c r="Q11" i="31" s="1"/>
  <c r="CZ66" i="31"/>
  <c r="CY66" i="31"/>
  <c r="CW66" i="31"/>
  <c r="CV66" i="31"/>
  <c r="DB65" i="31"/>
  <c r="DA65" i="31"/>
  <c r="CY65" i="31"/>
  <c r="CZ65" i="31" s="1"/>
  <c r="CW65" i="31"/>
  <c r="CV65" i="31"/>
  <c r="DB64" i="31"/>
  <c r="DA64" i="31"/>
  <c r="CY64" i="31"/>
  <c r="CZ64" i="31" s="1"/>
  <c r="CW64" i="31"/>
  <c r="CJ10" i="31" s="1"/>
  <c r="CV64" i="31"/>
  <c r="CS64" i="31"/>
  <c r="DB63" i="31"/>
  <c r="DA63" i="31"/>
  <c r="CB10" i="31" s="1"/>
  <c r="CZ63" i="31"/>
  <c r="CY63" i="31"/>
  <c r="CW63" i="31"/>
  <c r="CV63" i="31"/>
  <c r="DB62" i="31"/>
  <c r="CY62" i="31"/>
  <c r="CW62" i="31"/>
  <c r="CV62" i="31"/>
  <c r="DB61" i="31"/>
  <c r="CZ61" i="31"/>
  <c r="CY61" i="31"/>
  <c r="CW61" i="31"/>
  <c r="CV61" i="31"/>
  <c r="DD60" i="31"/>
  <c r="DB60" i="31"/>
  <c r="DA60" i="31"/>
  <c r="CZ60" i="31"/>
  <c r="CY60" i="31"/>
  <c r="CW60" i="31"/>
  <c r="AZ10" i="31" s="1"/>
  <c r="CV60" i="31"/>
  <c r="DE59" i="31"/>
  <c r="DB59" i="31"/>
  <c r="CY59" i="31"/>
  <c r="CZ59" i="31" s="1"/>
  <c r="CW59" i="31"/>
  <c r="CV59" i="31"/>
  <c r="AQ10" i="31" s="1"/>
  <c r="DB58" i="31"/>
  <c r="CZ58" i="31"/>
  <c r="CY58" i="31"/>
  <c r="CW58" i="31"/>
  <c r="CV58" i="31"/>
  <c r="DD57" i="31"/>
  <c r="DB57" i="31"/>
  <c r="CY57" i="31"/>
  <c r="CZ57" i="31" s="1"/>
  <c r="CW57" i="31"/>
  <c r="CV57" i="31"/>
  <c r="DD56" i="31"/>
  <c r="DB56" i="31"/>
  <c r="CZ56" i="31"/>
  <c r="CY56" i="31"/>
  <c r="DA56" i="31" s="1"/>
  <c r="CW56" i="31"/>
  <c r="CV56" i="31"/>
  <c r="DB55" i="31"/>
  <c r="DA55" i="31"/>
  <c r="CZ55" i="31"/>
  <c r="CY55" i="31"/>
  <c r="CW55" i="31"/>
  <c r="CV55" i="31"/>
  <c r="DB54" i="31"/>
  <c r="CY54" i="31"/>
  <c r="CW54" i="31"/>
  <c r="CV54" i="31"/>
  <c r="CS54" i="31"/>
  <c r="DB53" i="31"/>
  <c r="CY53" i="31"/>
  <c r="CW53" i="31"/>
  <c r="CV53" i="31"/>
  <c r="DB52" i="31"/>
  <c r="CZ52" i="31"/>
  <c r="CY52" i="31"/>
  <c r="CW52" i="31"/>
  <c r="CV52" i="31"/>
  <c r="DB51" i="31"/>
  <c r="CY51" i="31"/>
  <c r="CW51" i="31"/>
  <c r="CV51" i="31"/>
  <c r="DB50" i="31"/>
  <c r="CZ50" i="31"/>
  <c r="CY50" i="31"/>
  <c r="DA50" i="31" s="1"/>
  <c r="CW50" i="31"/>
  <c r="AZ9" i="31" s="1"/>
  <c r="CV50" i="31"/>
  <c r="DE49" i="31"/>
  <c r="AT9" i="31" s="1"/>
  <c r="DB49" i="31"/>
  <c r="DA49" i="31"/>
  <c r="CZ49" i="31"/>
  <c r="CY49" i="31"/>
  <c r="CW49" i="31"/>
  <c r="CV49" i="31"/>
  <c r="DD48" i="31"/>
  <c r="DB48" i="31"/>
  <c r="CY48" i="31"/>
  <c r="DA48" i="31" s="1"/>
  <c r="CW48" i="31"/>
  <c r="CV48" i="31"/>
  <c r="DD47" i="31"/>
  <c r="DB47" i="31"/>
  <c r="DA47" i="31"/>
  <c r="CZ47" i="31"/>
  <c r="CY47" i="31"/>
  <c r="CW47" i="31"/>
  <c r="CV47" i="31"/>
  <c r="DE46" i="31"/>
  <c r="DB46" i="31"/>
  <c r="DA46" i="31"/>
  <c r="CZ46" i="31"/>
  <c r="CY46" i="31"/>
  <c r="CW46" i="31"/>
  <c r="CV46" i="31"/>
  <c r="DB45" i="31"/>
  <c r="CY45" i="31"/>
  <c r="CW45" i="31"/>
  <c r="CV45" i="31"/>
  <c r="DB44" i="31"/>
  <c r="DA44" i="31"/>
  <c r="CY44" i="31"/>
  <c r="CW44" i="31"/>
  <c r="CV44" i="31"/>
  <c r="CS44" i="31"/>
  <c r="DB43" i="31"/>
  <c r="DA43" i="31"/>
  <c r="CZ43" i="31"/>
  <c r="CY43" i="31"/>
  <c r="CW43" i="31"/>
  <c r="CV43" i="31"/>
  <c r="DB42" i="31"/>
  <c r="DD42" i="31" s="1"/>
  <c r="DA42" i="31"/>
  <c r="CZ42" i="31"/>
  <c r="CY42" i="31"/>
  <c r="CW42" i="31"/>
  <c r="CV42" i="31"/>
  <c r="DB41" i="31"/>
  <c r="DA41" i="31"/>
  <c r="BJ8" i="31" s="1"/>
  <c r="CY41" i="31"/>
  <c r="CZ41" i="31" s="1"/>
  <c r="CW41" i="31"/>
  <c r="CV41" i="31"/>
  <c r="DB40" i="31"/>
  <c r="DD40" i="31" s="1"/>
  <c r="CZ40" i="31"/>
  <c r="CY40" i="31"/>
  <c r="DA40" i="31" s="1"/>
  <c r="CW40" i="31"/>
  <c r="CV40" i="31"/>
  <c r="DE39" i="31"/>
  <c r="AT8" i="31" s="1"/>
  <c r="DB39" i="31"/>
  <c r="CY39" i="31"/>
  <c r="CW39" i="31"/>
  <c r="CV39" i="31"/>
  <c r="DD38" i="31"/>
  <c r="DB38" i="31"/>
  <c r="DA38" i="31"/>
  <c r="CZ38" i="31"/>
  <c r="CY38" i="31"/>
  <c r="CW38" i="31"/>
  <c r="CV38" i="31"/>
  <c r="DE37" i="31"/>
  <c r="DB37" i="31"/>
  <c r="CY37" i="31"/>
  <c r="CW37" i="31"/>
  <c r="CV37" i="31"/>
  <c r="DB36" i="31"/>
  <c r="CZ36" i="31"/>
  <c r="CY36" i="31"/>
  <c r="DA36" i="31" s="1"/>
  <c r="CW36" i="31"/>
  <c r="CV36" i="31"/>
  <c r="DB35" i="31"/>
  <c r="CY35" i="31"/>
  <c r="CW35" i="31"/>
  <c r="CV35" i="31"/>
  <c r="DP34" i="31"/>
  <c r="DO34" i="31" s="1"/>
  <c r="CZ34" i="31"/>
  <c r="CY34" i="31"/>
  <c r="DA34" i="31" s="1"/>
  <c r="CW34" i="31"/>
  <c r="CV34" i="31"/>
  <c r="CS34" i="31"/>
  <c r="CY33" i="31"/>
  <c r="CW33" i="31"/>
  <c r="CV33" i="31"/>
  <c r="CY32" i="31"/>
  <c r="CZ32" i="31" s="1"/>
  <c r="CW32" i="31"/>
  <c r="CV32" i="31"/>
  <c r="DD31" i="31"/>
  <c r="DA31" i="31"/>
  <c r="CY31" i="31"/>
  <c r="CZ31" i="31" s="1"/>
  <c r="CW31" i="31"/>
  <c r="CV31" i="31"/>
  <c r="DA30" i="31"/>
  <c r="CZ30" i="31"/>
  <c r="CY30" i="31"/>
  <c r="CW30" i="31"/>
  <c r="CV30" i="31"/>
  <c r="DE29" i="31"/>
  <c r="DB29" i="31" s="1"/>
  <c r="DA29" i="31"/>
  <c r="CY29" i="31"/>
  <c r="CW29" i="31"/>
  <c r="CV29" i="31"/>
  <c r="DB28" i="31"/>
  <c r="DD28" i="31" s="1"/>
  <c r="CZ28" i="31"/>
  <c r="CY28" i="31"/>
  <c r="DA28" i="31" s="1"/>
  <c r="AI7" i="31" s="1"/>
  <c r="CW28" i="31"/>
  <c r="CV28" i="31"/>
  <c r="DE27" i="31"/>
  <c r="DB27" i="31"/>
  <c r="CY27" i="31"/>
  <c r="CW27" i="31"/>
  <c r="CV27" i="31"/>
  <c r="DP26" i="31"/>
  <c r="DE26" i="31"/>
  <c r="DB26" i="31"/>
  <c r="CY26" i="31"/>
  <c r="CW26" i="31"/>
  <c r="CV26" i="31"/>
  <c r="DW25" i="31"/>
  <c r="DP25" i="31"/>
  <c r="DB25" i="31"/>
  <c r="DD25" i="31" s="1"/>
  <c r="DA25" i="31"/>
  <c r="CZ25" i="31"/>
  <c r="CY25" i="31"/>
  <c r="CW25" i="31"/>
  <c r="CV25" i="31"/>
  <c r="DP24" i="31"/>
  <c r="DB24" i="31"/>
  <c r="CY24" i="31"/>
  <c r="CW24" i="31"/>
  <c r="CV24" i="31"/>
  <c r="CS24" i="31"/>
  <c r="DP23" i="31"/>
  <c r="DB23" i="31"/>
  <c r="DA23" i="31"/>
  <c r="CZ23" i="31"/>
  <c r="CY23" i="31"/>
  <c r="CW23" i="31"/>
  <c r="CV23" i="31"/>
  <c r="DP22" i="31"/>
  <c r="DB22" i="31"/>
  <c r="DA22" i="31"/>
  <c r="CZ22" i="31"/>
  <c r="CY22" i="31"/>
  <c r="CW22" i="31"/>
  <c r="CV22" i="31"/>
  <c r="DP21" i="31"/>
  <c r="DB21" i="31"/>
  <c r="DA21" i="31"/>
  <c r="CZ21" i="31"/>
  <c r="CY21" i="31"/>
  <c r="CW21" i="31"/>
  <c r="CV21" i="31"/>
  <c r="DP20" i="31"/>
  <c r="DB20" i="31"/>
  <c r="CZ20" i="31"/>
  <c r="CY20" i="31"/>
  <c r="DA20" i="31" s="1"/>
  <c r="CW20" i="31"/>
  <c r="CV20" i="31"/>
  <c r="DP19" i="31"/>
  <c r="DD19" i="31"/>
  <c r="DB19" i="31"/>
  <c r="DA19" i="31"/>
  <c r="CZ19" i="31"/>
  <c r="CY19" i="31"/>
  <c r="CW19" i="31"/>
  <c r="CV19" i="31"/>
  <c r="DP18" i="31"/>
  <c r="DD18" i="31"/>
  <c r="DB18" i="31"/>
  <c r="DA18" i="31"/>
  <c r="CZ18" i="31"/>
  <c r="CY18" i="31"/>
  <c r="CW18" i="31"/>
  <c r="CV18" i="31"/>
  <c r="DP17" i="31"/>
  <c r="DD17" i="31"/>
  <c r="DB17" i="31"/>
  <c r="DA17" i="31"/>
  <c r="CZ17" i="31"/>
  <c r="CY17" i="31"/>
  <c r="CW17" i="31"/>
  <c r="CV17" i="31"/>
  <c r="DP16" i="31"/>
  <c r="DE16" i="31"/>
  <c r="S6" i="31" s="1"/>
  <c r="DB16" i="31"/>
  <c r="CY16" i="31"/>
  <c r="CW16" i="31"/>
  <c r="CV16" i="31"/>
  <c r="DD15" i="31"/>
  <c r="DB15" i="31"/>
  <c r="DA15" i="31"/>
  <c r="CZ15" i="31"/>
  <c r="CY15" i="31"/>
  <c r="CW15" i="31"/>
  <c r="CV15" i="31"/>
  <c r="DA14" i="31"/>
  <c r="CK5" i="31" s="1"/>
  <c r="CY14" i="31"/>
  <c r="CZ14" i="31" s="1"/>
  <c r="CW14" i="31"/>
  <c r="CV14" i="31"/>
  <c r="CS14" i="31"/>
  <c r="DP13" i="31"/>
  <c r="DE34" i="31" s="1"/>
  <c r="CM7" i="31" s="1"/>
  <c r="DE13" i="31"/>
  <c r="CD5" i="31" s="1"/>
  <c r="DA13" i="31"/>
  <c r="CZ13" i="31"/>
  <c r="CY13" i="31"/>
  <c r="DD13" i="31" s="1"/>
  <c r="DC13" i="31" s="1"/>
  <c r="CW13" i="31"/>
  <c r="CV13" i="31"/>
  <c r="DT12" i="31"/>
  <c r="DO12" i="31"/>
  <c r="DO30" i="31" s="1"/>
  <c r="DD12" i="31"/>
  <c r="DA12" i="31"/>
  <c r="BS5" i="31" s="1"/>
  <c r="CY12" i="31"/>
  <c r="CZ12" i="31" s="1"/>
  <c r="CW12" i="31"/>
  <c r="CV12" i="31"/>
  <c r="CQ12" i="31"/>
  <c r="CP12" i="31"/>
  <c r="CO12" i="31"/>
  <c r="CK12" i="31"/>
  <c r="CH12" i="31"/>
  <c r="CG12" i="31"/>
  <c r="CF12" i="31"/>
  <c r="CE12" i="31"/>
  <c r="CB12" i="31"/>
  <c r="BY12" i="31"/>
  <c r="BX12" i="31"/>
  <c r="BW12" i="31"/>
  <c r="BV12" i="31"/>
  <c r="BS12" i="31"/>
  <c r="BR12" i="31"/>
  <c r="BP12" i="31"/>
  <c r="BO12" i="31"/>
  <c r="BN12" i="31"/>
  <c r="BM12" i="31"/>
  <c r="BL12" i="31"/>
  <c r="BJ12" i="31"/>
  <c r="BI12" i="31"/>
  <c r="BG12" i="31"/>
  <c r="BF12" i="31"/>
  <c r="BE12" i="31"/>
  <c r="BD12" i="31"/>
  <c r="BA12" i="31"/>
  <c r="AZ12" i="31"/>
  <c r="AX12" i="31"/>
  <c r="AW12" i="31"/>
  <c r="AV12" i="31"/>
  <c r="AU12" i="31"/>
  <c r="AQ12" i="31"/>
  <c r="AO12" i="31"/>
  <c r="AN12" i="31"/>
  <c r="AM12" i="31"/>
  <c r="AL12" i="31"/>
  <c r="AI12" i="31"/>
  <c r="AF12" i="31"/>
  <c r="AE12" i="31"/>
  <c r="AD12" i="31"/>
  <c r="AC12" i="31"/>
  <c r="Z12" i="31"/>
  <c r="W12" i="31"/>
  <c r="V12" i="31"/>
  <c r="U12" i="31"/>
  <c r="T12" i="31"/>
  <c r="P12" i="31"/>
  <c r="N12" i="31"/>
  <c r="M12" i="31"/>
  <c r="L12" i="31"/>
  <c r="G12" i="31"/>
  <c r="DO11" i="31"/>
  <c r="DE11" i="31"/>
  <c r="DA11" i="31"/>
  <c r="CZ11" i="31"/>
  <c r="CY11" i="31"/>
  <c r="CW11" i="31"/>
  <c r="CV11" i="31"/>
  <c r="CQ11" i="31"/>
  <c r="CP11" i="31"/>
  <c r="CO11" i="31"/>
  <c r="CJ11" i="31"/>
  <c r="CH11" i="31"/>
  <c r="CG11" i="31"/>
  <c r="CF11" i="31"/>
  <c r="CE11" i="31"/>
  <c r="CA11" i="31"/>
  <c r="BY11" i="31"/>
  <c r="BX11" i="31"/>
  <c r="BW11" i="31"/>
  <c r="BV11" i="31"/>
  <c r="BR11" i="31"/>
  <c r="BP11" i="31"/>
  <c r="BO11" i="31"/>
  <c r="BN11" i="31"/>
  <c r="BM11" i="31"/>
  <c r="BI11" i="31"/>
  <c r="BG11" i="31"/>
  <c r="BF11" i="31"/>
  <c r="BE11" i="31"/>
  <c r="BD11" i="31"/>
  <c r="AZ11" i="31"/>
  <c r="AX11" i="31"/>
  <c r="AW11" i="31"/>
  <c r="AV11" i="31"/>
  <c r="AU11" i="31"/>
  <c r="AR11" i="31"/>
  <c r="AQ11" i="31"/>
  <c r="AO11" i="31"/>
  <c r="AN11" i="31"/>
  <c r="AM11" i="31"/>
  <c r="AL11" i="31"/>
  <c r="AH11" i="31"/>
  <c r="AF11" i="31"/>
  <c r="AE11" i="31"/>
  <c r="AD11" i="31"/>
  <c r="AC11" i="31"/>
  <c r="Y11" i="31"/>
  <c r="W11" i="31"/>
  <c r="V11" i="31"/>
  <c r="U11" i="31"/>
  <c r="T11" i="31"/>
  <c r="P11" i="31"/>
  <c r="N11" i="31"/>
  <c r="M11" i="31"/>
  <c r="L11" i="31"/>
  <c r="H11" i="31"/>
  <c r="G11" i="31"/>
  <c r="E11" i="31"/>
  <c r="CT65" i="31" s="1"/>
  <c r="DO10" i="31"/>
  <c r="DE10" i="31"/>
  <c r="DB10" i="31"/>
  <c r="CY10" i="31"/>
  <c r="CW10" i="31"/>
  <c r="CV10" i="31"/>
  <c r="CQ10" i="31"/>
  <c r="CP10" i="31"/>
  <c r="CO10" i="31"/>
  <c r="CK10" i="31"/>
  <c r="CH10" i="31"/>
  <c r="CG10" i="31"/>
  <c r="CF10" i="31"/>
  <c r="CE10" i="31"/>
  <c r="CA10" i="31"/>
  <c r="BY10" i="31"/>
  <c r="BX10" i="31"/>
  <c r="BW10" i="31"/>
  <c r="BV10" i="31"/>
  <c r="BR10" i="31"/>
  <c r="BP10" i="31"/>
  <c r="BO10" i="31"/>
  <c r="BN10" i="31"/>
  <c r="BM10" i="31"/>
  <c r="BI10" i="31"/>
  <c r="BG10" i="31"/>
  <c r="BF10" i="31"/>
  <c r="BE10" i="31"/>
  <c r="BD10" i="31"/>
  <c r="BA10" i="31"/>
  <c r="AX10" i="31"/>
  <c r="AW10" i="31"/>
  <c r="AV10" i="31"/>
  <c r="AU10" i="31"/>
  <c r="AT10" i="31"/>
  <c r="AO10" i="31"/>
  <c r="AN10" i="31"/>
  <c r="AM10" i="31"/>
  <c r="AL10" i="31"/>
  <c r="AH10" i="31"/>
  <c r="AF10" i="31"/>
  <c r="AE10" i="31"/>
  <c r="AD10" i="31"/>
  <c r="AC10" i="31"/>
  <c r="Y10" i="31"/>
  <c r="W10" i="31"/>
  <c r="V10" i="31"/>
  <c r="U10" i="31"/>
  <c r="T10" i="31"/>
  <c r="Q10" i="31"/>
  <c r="P10" i="31"/>
  <c r="N10" i="31"/>
  <c r="M10" i="31"/>
  <c r="L10" i="31"/>
  <c r="K10" i="31"/>
  <c r="H10" i="31"/>
  <c r="G10" i="31"/>
  <c r="E10" i="31"/>
  <c r="CT55" i="31" s="1"/>
  <c r="DO9" i="31"/>
  <c r="DE9" i="31"/>
  <c r="DB9" i="31"/>
  <c r="CY9" i="31"/>
  <c r="CW9" i="31"/>
  <c r="CV9" i="31"/>
  <c r="CQ9" i="31"/>
  <c r="CP9" i="31"/>
  <c r="CO9" i="31"/>
  <c r="CJ9" i="31"/>
  <c r="CH9" i="31"/>
  <c r="CG9" i="31"/>
  <c r="CF9" i="31"/>
  <c r="CE9" i="31"/>
  <c r="CA9" i="31"/>
  <c r="BY9" i="31"/>
  <c r="BX9" i="31"/>
  <c r="BW9" i="31"/>
  <c r="BV9" i="31"/>
  <c r="BR9" i="31"/>
  <c r="BP9" i="31"/>
  <c r="BO9" i="31"/>
  <c r="BN9" i="31"/>
  <c r="BM9" i="31"/>
  <c r="BI9" i="31"/>
  <c r="BG9" i="31"/>
  <c r="BF9" i="31"/>
  <c r="BE9" i="31"/>
  <c r="BD9" i="31"/>
  <c r="BA9" i="31"/>
  <c r="AX9" i="31"/>
  <c r="AW9" i="31"/>
  <c r="AV9" i="31"/>
  <c r="AU9" i="31"/>
  <c r="AR9" i="31"/>
  <c r="AQ9" i="31"/>
  <c r="AO9" i="31"/>
  <c r="AN9" i="31"/>
  <c r="AM9" i="31"/>
  <c r="AL9" i="31"/>
  <c r="AH9" i="31"/>
  <c r="AF9" i="31"/>
  <c r="AE9" i="31"/>
  <c r="AD9" i="31"/>
  <c r="AC9" i="31"/>
  <c r="Z9" i="31"/>
  <c r="Y9" i="31"/>
  <c r="W9" i="31"/>
  <c r="V9" i="31"/>
  <c r="U9" i="31"/>
  <c r="T9" i="31"/>
  <c r="S9" i="31"/>
  <c r="Q9" i="31"/>
  <c r="P9" i="31"/>
  <c r="N9" i="31"/>
  <c r="M9" i="31"/>
  <c r="L9" i="31"/>
  <c r="K9" i="31"/>
  <c r="G9" i="31"/>
  <c r="E9" i="31"/>
  <c r="CT45" i="31" s="1"/>
  <c r="DO8" i="31"/>
  <c r="DE8" i="31"/>
  <c r="DC8" i="31" s="1"/>
  <c r="DB8" i="31"/>
  <c r="DA8" i="31"/>
  <c r="CZ8" i="31"/>
  <c r="AI5" i="31" s="1"/>
  <c r="CY8" i="31"/>
  <c r="DD8" i="31" s="1"/>
  <c r="CW8" i="31"/>
  <c r="CV8" i="31"/>
  <c r="CQ8" i="31"/>
  <c r="CP8" i="31"/>
  <c r="CO8" i="31"/>
  <c r="CJ8" i="31"/>
  <c r="CH8" i="31"/>
  <c r="CG8" i="31"/>
  <c r="CF8" i="31"/>
  <c r="CE8" i="31"/>
  <c r="CA8" i="31"/>
  <c r="BY8" i="31"/>
  <c r="BX8" i="31"/>
  <c r="BW8" i="31"/>
  <c r="BV8" i="31"/>
  <c r="BS8" i="31"/>
  <c r="BR8" i="31"/>
  <c r="BP8" i="31"/>
  <c r="BO8" i="31"/>
  <c r="BN8" i="31"/>
  <c r="BM8" i="31"/>
  <c r="BI8" i="31"/>
  <c r="BG8" i="31"/>
  <c r="BF8" i="31"/>
  <c r="BE8" i="31"/>
  <c r="BD8" i="31"/>
  <c r="BA8" i="31"/>
  <c r="AZ8" i="31"/>
  <c r="AX8" i="31"/>
  <c r="AW8" i="31"/>
  <c r="AV8" i="31"/>
  <c r="AU8" i="31"/>
  <c r="AQ8" i="31"/>
  <c r="AO8" i="31"/>
  <c r="AN8" i="31"/>
  <c r="AM8" i="31"/>
  <c r="AL8" i="31"/>
  <c r="AI8" i="31"/>
  <c r="AH8" i="31"/>
  <c r="AF8" i="31"/>
  <c r="AE8" i="31"/>
  <c r="AD8" i="31"/>
  <c r="AC8" i="31"/>
  <c r="AB8" i="31"/>
  <c r="Y8" i="31"/>
  <c r="W8" i="31"/>
  <c r="V8" i="31"/>
  <c r="U8" i="31"/>
  <c r="T8" i="31"/>
  <c r="Q8" i="31"/>
  <c r="P8" i="31"/>
  <c r="N8" i="31"/>
  <c r="M8" i="31"/>
  <c r="L8" i="31"/>
  <c r="K8" i="31"/>
  <c r="G8" i="31"/>
  <c r="E8" i="31"/>
  <c r="CT35" i="31" s="1"/>
  <c r="DP7" i="31"/>
  <c r="DE72" i="31" s="1"/>
  <c r="BU11" i="31" s="1"/>
  <c r="DO7" i="31"/>
  <c r="DO6" i="31" s="1"/>
  <c r="DL7" i="31"/>
  <c r="DE7" i="31"/>
  <c r="DB7" i="31"/>
  <c r="DD7" i="31" s="1"/>
  <c r="DC7" i="31" s="1"/>
  <c r="CY7" i="31"/>
  <c r="CZ7" i="31" s="1"/>
  <c r="CW7" i="31"/>
  <c r="CV7" i="31"/>
  <c r="CQ7" i="31"/>
  <c r="CP7" i="31"/>
  <c r="CO7" i="31"/>
  <c r="CK7" i="31"/>
  <c r="CJ7" i="31"/>
  <c r="CH7" i="31"/>
  <c r="CG7" i="31"/>
  <c r="CF7" i="31"/>
  <c r="CE7" i="31"/>
  <c r="CA7" i="31"/>
  <c r="BY7" i="31"/>
  <c r="BX7" i="31"/>
  <c r="BW7" i="31"/>
  <c r="BV7" i="31"/>
  <c r="BR7" i="31"/>
  <c r="BP7" i="31"/>
  <c r="BO7" i="31"/>
  <c r="BN7" i="31"/>
  <c r="BM7" i="31"/>
  <c r="BJ7" i="31"/>
  <c r="BI7" i="31"/>
  <c r="BG7" i="31"/>
  <c r="BF7" i="31"/>
  <c r="BE7" i="31"/>
  <c r="BD7" i="31"/>
  <c r="AZ7" i="31"/>
  <c r="AX7" i="31"/>
  <c r="AW7" i="31"/>
  <c r="AV7" i="31"/>
  <c r="AU7" i="31"/>
  <c r="AT7" i="31"/>
  <c r="AQ7" i="31"/>
  <c r="AO7" i="31"/>
  <c r="AN7" i="31"/>
  <c r="AM7" i="31"/>
  <c r="AL7" i="31"/>
  <c r="AH7" i="31"/>
  <c r="AF7" i="31"/>
  <c r="AE7" i="31"/>
  <c r="AD7" i="31"/>
  <c r="AC7" i="31"/>
  <c r="AB7" i="31"/>
  <c r="Y7" i="31"/>
  <c r="W7" i="31"/>
  <c r="V7" i="31"/>
  <c r="U7" i="31"/>
  <c r="T7" i="31"/>
  <c r="S7" i="31"/>
  <c r="P7" i="31"/>
  <c r="N7" i="31"/>
  <c r="M7" i="31"/>
  <c r="L7" i="31"/>
  <c r="K7" i="31"/>
  <c r="G7" i="31"/>
  <c r="E7" i="31"/>
  <c r="CT25" i="31" s="1"/>
  <c r="DP6" i="31"/>
  <c r="DL6" i="31"/>
  <c r="DE6" i="31"/>
  <c r="DD6" i="31"/>
  <c r="DC6" i="31" s="1"/>
  <c r="R5" i="31" s="1"/>
  <c r="DB6" i="31"/>
  <c r="DA6" i="31"/>
  <c r="CY6" i="31"/>
  <c r="CZ6" i="31" s="1"/>
  <c r="Q5" i="31" s="1"/>
  <c r="CW6" i="31"/>
  <c r="CV6" i="31"/>
  <c r="CQ6" i="31"/>
  <c r="CP6" i="31"/>
  <c r="CO6" i="31"/>
  <c r="CJ6" i="31"/>
  <c r="CH6" i="31"/>
  <c r="CG6" i="31"/>
  <c r="CF6" i="31"/>
  <c r="CE6" i="31"/>
  <c r="CA6" i="31"/>
  <c r="BY6" i="31"/>
  <c r="BX6" i="31"/>
  <c r="BW6" i="31"/>
  <c r="BV6" i="31"/>
  <c r="BR6" i="31"/>
  <c r="BP6" i="31"/>
  <c r="BO6" i="31"/>
  <c r="BN6" i="31"/>
  <c r="BM6" i="31"/>
  <c r="BI6" i="31"/>
  <c r="BG6" i="31"/>
  <c r="BF6" i="31"/>
  <c r="BE6" i="31"/>
  <c r="BD6" i="31"/>
  <c r="AZ6" i="31"/>
  <c r="AX6" i="31"/>
  <c r="AW6" i="31"/>
  <c r="AV6" i="31"/>
  <c r="AU6" i="31"/>
  <c r="AR6" i="31"/>
  <c r="AQ6" i="31"/>
  <c r="AO6" i="31"/>
  <c r="AN6" i="31"/>
  <c r="AM6" i="31"/>
  <c r="AL6" i="31"/>
  <c r="AI6" i="31"/>
  <c r="AH6" i="31"/>
  <c r="AF6" i="31"/>
  <c r="AE6" i="31"/>
  <c r="AD6" i="31"/>
  <c r="AC6" i="31"/>
  <c r="Z6" i="31"/>
  <c r="Y6" i="31"/>
  <c r="W6" i="31"/>
  <c r="V6" i="31"/>
  <c r="U6" i="31"/>
  <c r="T6" i="31"/>
  <c r="P6" i="31"/>
  <c r="N6" i="31"/>
  <c r="M6" i="31"/>
  <c r="L6" i="31"/>
  <c r="K6" i="31"/>
  <c r="H6" i="31"/>
  <c r="G6" i="31"/>
  <c r="E6" i="31"/>
  <c r="CT15" i="31" s="1"/>
  <c r="DL5" i="31"/>
  <c r="DK5" i="31"/>
  <c r="DE5" i="31"/>
  <c r="J5" i="31" s="1"/>
  <c r="DB5" i="31"/>
  <c r="DA5" i="31"/>
  <c r="CY5" i="31"/>
  <c r="CW5" i="31"/>
  <c r="CV5" i="31"/>
  <c r="CQ5" i="31"/>
  <c r="CP5" i="31"/>
  <c r="CO5" i="31"/>
  <c r="CJ5" i="31"/>
  <c r="CH5" i="31"/>
  <c r="CG5" i="31"/>
  <c r="CF5" i="31"/>
  <c r="CE5" i="31"/>
  <c r="CC5" i="31"/>
  <c r="CB5" i="31"/>
  <c r="CA5" i="31"/>
  <c r="BY5" i="31"/>
  <c r="BX5" i="31"/>
  <c r="BW5" i="31"/>
  <c r="BV5" i="31"/>
  <c r="BR5" i="31"/>
  <c r="BP5" i="31"/>
  <c r="BO5" i="31"/>
  <c r="BN5" i="31"/>
  <c r="BM5" i="31"/>
  <c r="BL5" i="31"/>
  <c r="BJ5" i="31"/>
  <c r="BI5" i="31"/>
  <c r="BG5" i="31"/>
  <c r="BF5" i="31"/>
  <c r="BE5" i="31"/>
  <c r="BD5" i="31"/>
  <c r="BC5" i="31"/>
  <c r="AZ5" i="31"/>
  <c r="AX5" i="31"/>
  <c r="AW5" i="31"/>
  <c r="AV5" i="31"/>
  <c r="AU5" i="31"/>
  <c r="AT5" i="31"/>
  <c r="AQ5" i="31"/>
  <c r="AO5" i="31"/>
  <c r="AN5" i="31"/>
  <c r="AM5" i="31"/>
  <c r="AL5" i="31"/>
  <c r="AK5" i="31"/>
  <c r="AJ5" i="31"/>
  <c r="AH5" i="31"/>
  <c r="AF5" i="31"/>
  <c r="AE5" i="31"/>
  <c r="AD5" i="31"/>
  <c r="AC5" i="31"/>
  <c r="AB5" i="31"/>
  <c r="AA5" i="31"/>
  <c r="Y5" i="31"/>
  <c r="W5" i="31"/>
  <c r="V5" i="31"/>
  <c r="U5" i="31"/>
  <c r="T5" i="31"/>
  <c r="S5" i="31"/>
  <c r="P5" i="31"/>
  <c r="N5" i="31"/>
  <c r="M5" i="31"/>
  <c r="L5" i="31"/>
  <c r="K5" i="31"/>
  <c r="G5" i="31"/>
  <c r="E5" i="31"/>
  <c r="CT5" i="31" s="1"/>
  <c r="BH35" i="22"/>
  <c r="BH34" i="22"/>
  <c r="BH33" i="22"/>
  <c r="BH32" i="22"/>
  <c r="BK10" i="22" s="1"/>
  <c r="BH31" i="22"/>
  <c r="BH30" i="22"/>
  <c r="AY30" i="22"/>
  <c r="AX30" i="22"/>
  <c r="BH29" i="22"/>
  <c r="AY29" i="22"/>
  <c r="AX29" i="22"/>
  <c r="BH28" i="22"/>
  <c r="BK9" i="22" s="1"/>
  <c r="AY28" i="22"/>
  <c r="AX28" i="22"/>
  <c r="BH27" i="22"/>
  <c r="AY27" i="22"/>
  <c r="AX27" i="22"/>
  <c r="BH26" i="22"/>
  <c r="AY26" i="22"/>
  <c r="AX26" i="22"/>
  <c r="BH25" i="22"/>
  <c r="BK11" i="22" s="1"/>
  <c r="AY25" i="22"/>
  <c r="AX25" i="22"/>
  <c r="BH24" i="22"/>
  <c r="AY24" i="22"/>
  <c r="AX24" i="22"/>
  <c r="BH23" i="22"/>
  <c r="AY23" i="22"/>
  <c r="AX23" i="22"/>
  <c r="BH22" i="22"/>
  <c r="BK8" i="22" s="1"/>
  <c r="AY22" i="22"/>
  <c r="AX22" i="22"/>
  <c r="BH21" i="22"/>
  <c r="AY21" i="22"/>
  <c r="AX21" i="22"/>
  <c r="BH20" i="22"/>
  <c r="BK7" i="22" s="1"/>
  <c r="BH19" i="22"/>
  <c r="BH18" i="22"/>
  <c r="BH17" i="22"/>
  <c r="BA17" i="22"/>
  <c r="BH16" i="22"/>
  <c r="BA16" i="22"/>
  <c r="BH15" i="22"/>
  <c r="BA15" i="22"/>
  <c r="BH14" i="22"/>
  <c r="BA14" i="22"/>
  <c r="BH13" i="22"/>
  <c r="BA13" i="22"/>
  <c r="BH11" i="22"/>
  <c r="BA11" i="22"/>
  <c r="H11" i="22"/>
  <c r="BH10" i="22"/>
  <c r="BA10" i="22"/>
  <c r="AR10" i="22"/>
  <c r="AQ10" i="22"/>
  <c r="H10" i="22"/>
  <c r="BH9" i="22"/>
  <c r="BA9" i="22"/>
  <c r="AR9" i="22"/>
  <c r="AQ9" i="22"/>
  <c r="H9" i="22"/>
  <c r="BH8" i="22"/>
  <c r="BA8" i="22"/>
  <c r="O8" i="22"/>
  <c r="H8" i="22"/>
  <c r="BH7" i="22"/>
  <c r="BA7" i="22"/>
  <c r="O7" i="22"/>
  <c r="H7" i="22"/>
  <c r="BH6" i="22"/>
  <c r="BA6" i="22"/>
  <c r="O6" i="22"/>
  <c r="H6" i="22"/>
  <c r="BK5" i="22"/>
  <c r="BH5" i="22"/>
  <c r="BA5" i="22"/>
  <c r="O5" i="22"/>
  <c r="H5" i="22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Q7" i="48"/>
  <c r="V7" i="48" s="1"/>
  <c r="C7" i="48"/>
  <c r="B7" i="48"/>
  <c r="Q6" i="48"/>
  <c r="B6" i="48" s="1"/>
  <c r="C6" i="48"/>
  <c r="S5" i="48"/>
  <c r="D5" i="48" s="1"/>
  <c r="R5" i="48"/>
  <c r="C5" i="48" s="1"/>
  <c r="Q5" i="48"/>
  <c r="V5" i="48" s="1"/>
  <c r="U2" i="48"/>
  <c r="B10" i="52" l="1"/>
  <c r="B26" i="52"/>
  <c r="B8" i="52"/>
  <c r="B31" i="52"/>
  <c r="B19" i="52"/>
  <c r="B27" i="52"/>
  <c r="B32" i="52"/>
  <c r="B14" i="52"/>
  <c r="B22" i="52"/>
  <c r="B20" i="52"/>
  <c r="B28" i="52"/>
  <c r="B23" i="52"/>
  <c r="B16" i="52"/>
  <c r="B24" i="52"/>
  <c r="B18" i="52"/>
  <c r="B11" i="52"/>
  <c r="B12" i="52"/>
  <c r="B17" i="52"/>
  <c r="B30" i="52"/>
  <c r="B15" i="52"/>
  <c r="B13" i="52"/>
  <c r="B29" i="52"/>
  <c r="B9" i="52"/>
  <c r="B25" i="52"/>
  <c r="B21" i="52"/>
  <c r="BB16" i="22"/>
  <c r="BK6" i="22"/>
  <c r="T5" i="48"/>
  <c r="W5" i="48" s="1"/>
  <c r="F5" i="48" s="1"/>
  <c r="B5" i="48"/>
  <c r="S6" i="48"/>
  <c r="D6" i="48" s="1"/>
  <c r="Y5" i="48"/>
  <c r="V6" i="48"/>
  <c r="T6" i="48" s="1"/>
  <c r="W6" i="48" s="1"/>
  <c r="F6" i="48" s="1"/>
  <c r="S7" i="48"/>
  <c r="T7" i="48"/>
  <c r="W7" i="48" s="1"/>
  <c r="F7" i="48" s="1"/>
  <c r="Y6" i="48"/>
  <c r="U21" i="46"/>
  <c r="U22" i="46" s="1"/>
  <c r="U23" i="46" s="1"/>
  <c r="U24" i="46" s="1"/>
  <c r="BA6" i="31"/>
  <c r="DD20" i="31"/>
  <c r="Z21" i="49"/>
  <c r="U21" i="9"/>
  <c r="X21" i="24"/>
  <c r="AB21" i="25"/>
  <c r="AA30" i="25"/>
  <c r="DP30" i="31"/>
  <c r="DD26" i="31"/>
  <c r="DC26" i="31" s="1"/>
  <c r="R7" i="31" s="1"/>
  <c r="CZ26" i="31"/>
  <c r="Q7" i="31" s="1"/>
  <c r="DA26" i="31"/>
  <c r="T12" i="9"/>
  <c r="Y12" i="49"/>
  <c r="AA12" i="25"/>
  <c r="DO29" i="31"/>
  <c r="DO27" i="31"/>
  <c r="DO28" i="31"/>
  <c r="CZ51" i="31"/>
  <c r="BJ9" i="31" s="1"/>
  <c r="DA51" i="31"/>
  <c r="DC57" i="31"/>
  <c r="AA10" i="31" s="1"/>
  <c r="Y6" i="49"/>
  <c r="T6" i="9"/>
  <c r="AA6" i="25"/>
  <c r="W6" i="24"/>
  <c r="S38" i="24" s="1"/>
  <c r="L38" i="24" s="1"/>
  <c r="K38" i="24" s="1"/>
  <c r="F38" i="24" s="1"/>
  <c r="DD5" i="31"/>
  <c r="DC5" i="31" s="1"/>
  <c r="I5" i="31" s="1"/>
  <c r="CZ5" i="31"/>
  <c r="H5" i="31" s="1"/>
  <c r="Z20" i="49"/>
  <c r="U20" i="9"/>
  <c r="AB20" i="25"/>
  <c r="X20" i="24"/>
  <c r="DD37" i="31"/>
  <c r="DC37" i="31" s="1"/>
  <c r="AA8" i="31" s="1"/>
  <c r="CZ37" i="31"/>
  <c r="DA37" i="31"/>
  <c r="H7" i="31"/>
  <c r="CB8" i="31"/>
  <c r="DC60" i="31"/>
  <c r="BB10" i="31" s="1"/>
  <c r="CZ62" i="31"/>
  <c r="DD62" i="31"/>
  <c r="DC62" i="31" s="1"/>
  <c r="BT10" i="31" s="1"/>
  <c r="DA62" i="31"/>
  <c r="CZ71" i="31"/>
  <c r="DD71" i="31"/>
  <c r="DC71" i="31" s="1"/>
  <c r="BK11" i="31" s="1"/>
  <c r="DA71" i="31"/>
  <c r="DD33" i="31"/>
  <c r="CZ33" i="31"/>
  <c r="CB7" i="31" s="1"/>
  <c r="DA33" i="31"/>
  <c r="DC40" i="31"/>
  <c r="BB8" i="31" s="1"/>
  <c r="CB6" i="31"/>
  <c r="DD23" i="31"/>
  <c r="DC23" i="31" s="1"/>
  <c r="CC6" i="31" s="1"/>
  <c r="BS6" i="31"/>
  <c r="DD22" i="31"/>
  <c r="DC22" i="31" s="1"/>
  <c r="BT6" i="31" s="1"/>
  <c r="Z23" i="49"/>
  <c r="X23" i="24"/>
  <c r="U23" i="9"/>
  <c r="AB23" i="25"/>
  <c r="DD27" i="31"/>
  <c r="DC27" i="31" s="1"/>
  <c r="AA7" i="31" s="1"/>
  <c r="CZ27" i="31"/>
  <c r="DA27" i="31"/>
  <c r="DD9" i="31"/>
  <c r="DC9" i="31" s="1"/>
  <c r="AS5" i="31" s="1"/>
  <c r="CZ9" i="31"/>
  <c r="DA9" i="31"/>
  <c r="BJ6" i="31"/>
  <c r="DD21" i="31"/>
  <c r="U22" i="9"/>
  <c r="Z22" i="49"/>
  <c r="X22" i="24"/>
  <c r="AB22" i="25"/>
  <c r="S79" i="25"/>
  <c r="Q79" i="25"/>
  <c r="DC48" i="31"/>
  <c r="AJ9" i="31" s="1"/>
  <c r="CZ53" i="31"/>
  <c r="DD53" i="31"/>
  <c r="DA53" i="31"/>
  <c r="CZ10" i="31"/>
  <c r="BA5" i="31" s="1"/>
  <c r="DD10" i="31"/>
  <c r="DC10" i="31" s="1"/>
  <c r="BB5" i="31" s="1"/>
  <c r="Z13" i="49"/>
  <c r="AB13" i="25"/>
  <c r="U13" i="9"/>
  <c r="DP31" i="31"/>
  <c r="DO13" i="31"/>
  <c r="U16" i="9"/>
  <c r="Z16" i="49"/>
  <c r="AA16" i="49" s="1"/>
  <c r="AB16" i="25"/>
  <c r="DO16" i="31"/>
  <c r="X17" i="24"/>
  <c r="Z17" i="49"/>
  <c r="U17" i="9"/>
  <c r="AB17" i="25"/>
  <c r="U18" i="9"/>
  <c r="Z18" i="49"/>
  <c r="AA18" i="49" s="1"/>
  <c r="AB18" i="25"/>
  <c r="Z19" i="49"/>
  <c r="U19" i="9"/>
  <c r="X19" i="24"/>
  <c r="AB19" i="25"/>
  <c r="DE43" i="31"/>
  <c r="CD8" i="31" s="1"/>
  <c r="DD73" i="31"/>
  <c r="S55" i="25"/>
  <c r="Q55" i="25"/>
  <c r="Z6" i="49"/>
  <c r="AA6" i="49" s="1"/>
  <c r="U6" i="9"/>
  <c r="AB6" i="25"/>
  <c r="X6" i="24"/>
  <c r="DA10" i="31"/>
  <c r="U25" i="9"/>
  <c r="Z25" i="49"/>
  <c r="X25" i="24"/>
  <c r="AB25" i="25"/>
  <c r="DA32" i="31"/>
  <c r="BS7" i="31" s="1"/>
  <c r="DE74" i="31"/>
  <c r="CM11" i="31" s="1"/>
  <c r="Q28" i="46"/>
  <c r="T15" i="46"/>
  <c r="L33" i="46"/>
  <c r="R33" i="46"/>
  <c r="S32" i="46" s="1"/>
  <c r="M32" i="46"/>
  <c r="Y7" i="49"/>
  <c r="T7" i="9"/>
  <c r="AA7" i="25"/>
  <c r="T9" i="9"/>
  <c r="Y9" i="49"/>
  <c r="AA9" i="25"/>
  <c r="W9" i="24"/>
  <c r="DD35" i="31"/>
  <c r="CZ35" i="31"/>
  <c r="DA39" i="31"/>
  <c r="CZ39" i="31"/>
  <c r="DD39" i="31"/>
  <c r="DC39" i="31" s="1"/>
  <c r="AS8" i="31" s="1"/>
  <c r="CZ45" i="31"/>
  <c r="DD45" i="31"/>
  <c r="DA45" i="31"/>
  <c r="S40" i="25"/>
  <c r="X18" i="24"/>
  <c r="DD16" i="31"/>
  <c r="DC16" i="31" s="1"/>
  <c r="R6" i="31" s="1"/>
  <c r="CZ16" i="31"/>
  <c r="Q6" i="31" s="1"/>
  <c r="CZ24" i="31"/>
  <c r="DA35" i="31"/>
  <c r="DA54" i="31"/>
  <c r="CZ54" i="31"/>
  <c r="CK9" i="31" s="1"/>
  <c r="S47" i="25"/>
  <c r="Q47" i="25"/>
  <c r="Z5" i="31"/>
  <c r="DA7" i="31"/>
  <c r="DA16" i="31"/>
  <c r="DA24" i="31"/>
  <c r="DD29" i="31"/>
  <c r="DC29" i="31" s="1"/>
  <c r="AS7" i="31" s="1"/>
  <c r="CZ29" i="31"/>
  <c r="AR7" i="31" s="1"/>
  <c r="DD44" i="31"/>
  <c r="CZ44" i="31"/>
  <c r="CK8" i="31" s="1"/>
  <c r="DA79" i="31"/>
  <c r="CZ79" i="31"/>
  <c r="AR12" i="31" s="1"/>
  <c r="S87" i="25"/>
  <c r="Q87" i="25"/>
  <c r="DD11" i="31"/>
  <c r="DC11" i="31" s="1"/>
  <c r="BK5" i="31" s="1"/>
  <c r="DE12" i="31"/>
  <c r="BU5" i="31" s="1"/>
  <c r="DP14" i="31"/>
  <c r="DE17" i="31"/>
  <c r="AB6" i="31" s="1"/>
  <c r="DE21" i="31"/>
  <c r="BL6" i="31" s="1"/>
  <c r="Z24" i="49"/>
  <c r="X24" i="24"/>
  <c r="U24" i="9"/>
  <c r="DE30" i="31"/>
  <c r="DD34" i="31"/>
  <c r="DC34" i="31" s="1"/>
  <c r="CL7" i="31" s="1"/>
  <c r="DE38" i="31"/>
  <c r="AK8" i="31" s="1"/>
  <c r="DE47" i="31"/>
  <c r="AB9" i="31" s="1"/>
  <c r="DD52" i="31"/>
  <c r="DC52" i="31" s="1"/>
  <c r="BT9" i="31" s="1"/>
  <c r="DE58" i="31"/>
  <c r="AK10" i="31" s="1"/>
  <c r="S52" i="25"/>
  <c r="S67" i="25"/>
  <c r="Q67" i="25"/>
  <c r="S84" i="25"/>
  <c r="W10" i="24"/>
  <c r="AA10" i="25"/>
  <c r="Y10" i="49"/>
  <c r="Y11" i="49"/>
  <c r="T11" i="9"/>
  <c r="W11" i="24"/>
  <c r="DP12" i="31"/>
  <c r="DE14" i="31" s="1"/>
  <c r="CM5" i="31" s="1"/>
  <c r="DE15" i="31"/>
  <c r="J6" i="31" s="1"/>
  <c r="DE18" i="31"/>
  <c r="AK6" i="31" s="1"/>
  <c r="DE22" i="31"/>
  <c r="BU6" i="31" s="1"/>
  <c r="DE25" i="31"/>
  <c r="J7" i="31" s="1"/>
  <c r="DE28" i="31"/>
  <c r="AK7" i="31" s="1"/>
  <c r="DE31" i="31"/>
  <c r="BL7" i="31" s="1"/>
  <c r="DE40" i="31"/>
  <c r="BC8" i="31" s="1"/>
  <c r="DD41" i="31"/>
  <c r="DD49" i="31"/>
  <c r="DC49" i="31" s="1"/>
  <c r="AS9" i="31" s="1"/>
  <c r="DE56" i="31"/>
  <c r="S10" i="31" s="1"/>
  <c r="DA61" i="31"/>
  <c r="BJ10" i="31" s="1"/>
  <c r="DE79" i="31"/>
  <c r="AT12" i="31" s="1"/>
  <c r="DD80" i="31"/>
  <c r="DC80" i="31" s="1"/>
  <c r="BB12" i="31" s="1"/>
  <c r="S59" i="25"/>
  <c r="Q59" i="25"/>
  <c r="DE53" i="31"/>
  <c r="CD9" i="31" s="1"/>
  <c r="DE54" i="31"/>
  <c r="CM9" i="31" s="1"/>
  <c r="DE55" i="31"/>
  <c r="J10" i="31" s="1"/>
  <c r="DD65" i="31"/>
  <c r="DC65" i="31" s="1"/>
  <c r="I11" i="31" s="1"/>
  <c r="DE67" i="31"/>
  <c r="AB11" i="31" s="1"/>
  <c r="DD70" i="31"/>
  <c r="DA70" i="31"/>
  <c r="AA11" i="25"/>
  <c r="AB24" i="25"/>
  <c r="S39" i="25"/>
  <c r="Q39" i="25"/>
  <c r="S71" i="25"/>
  <c r="Q71" i="25"/>
  <c r="Z7" i="49"/>
  <c r="U7" i="9"/>
  <c r="DE84" i="31"/>
  <c r="CM12" i="31" s="1"/>
  <c r="DD78" i="31"/>
  <c r="DE77" i="31"/>
  <c r="AB12" i="31" s="1"/>
  <c r="DD72" i="31"/>
  <c r="DC72" i="31" s="1"/>
  <c r="BT11" i="31" s="1"/>
  <c r="DE71" i="31"/>
  <c r="BL11" i="31" s="1"/>
  <c r="DE64" i="31"/>
  <c r="CM10" i="31" s="1"/>
  <c r="DE57" i="31"/>
  <c r="AB10" i="31" s="1"/>
  <c r="DE83" i="31"/>
  <c r="CD12" i="31" s="1"/>
  <c r="DE75" i="31"/>
  <c r="J12" i="31" s="1"/>
  <c r="DE69" i="31"/>
  <c r="AT11" i="31" s="1"/>
  <c r="DE68" i="31"/>
  <c r="AK11" i="31" s="1"/>
  <c r="DE62" i="31"/>
  <c r="BU10" i="31" s="1"/>
  <c r="DE48" i="31"/>
  <c r="AK9" i="31" s="1"/>
  <c r="DE42" i="31"/>
  <c r="BU8" i="31" s="1"/>
  <c r="AB7" i="25"/>
  <c r="DE80" i="31"/>
  <c r="BC12" i="31" s="1"/>
  <c r="DE66" i="31"/>
  <c r="S11" i="31" s="1"/>
  <c r="DE60" i="31"/>
  <c r="BC10" i="31" s="1"/>
  <c r="DP15" i="31"/>
  <c r="DD54" i="31" s="1"/>
  <c r="DC54" i="31" s="1"/>
  <c r="CL9" i="31" s="1"/>
  <c r="DE19" i="31"/>
  <c r="AT6" i="31" s="1"/>
  <c r="DE23" i="31"/>
  <c r="CD6" i="31" s="1"/>
  <c r="CZ48" i="31"/>
  <c r="AI9" i="31" s="1"/>
  <c r="DE52" i="31"/>
  <c r="BU9" i="31" s="1"/>
  <c r="DD58" i="31"/>
  <c r="DC58" i="31" s="1"/>
  <c r="AJ10" i="31" s="1"/>
  <c r="DA59" i="31"/>
  <c r="AR10" i="31" s="1"/>
  <c r="DE63" i="31"/>
  <c r="CD10" i="31" s="1"/>
  <c r="DD64" i="31"/>
  <c r="DC64" i="31" s="1"/>
  <c r="CL10" i="31" s="1"/>
  <c r="DE65" i="31"/>
  <c r="J11" i="31" s="1"/>
  <c r="DD66" i="31"/>
  <c r="DD69" i="31"/>
  <c r="CZ70" i="31"/>
  <c r="DD76" i="31"/>
  <c r="DC76" i="31" s="1"/>
  <c r="R12" i="31" s="1"/>
  <c r="DA76" i="31"/>
  <c r="Q12" i="31" s="1"/>
  <c r="DE78" i="31"/>
  <c r="AK12" i="31" s="1"/>
  <c r="S51" i="25"/>
  <c r="Q51" i="25"/>
  <c r="S83" i="25"/>
  <c r="Q83" i="25"/>
  <c r="C7" i="9"/>
  <c r="P15" i="9"/>
  <c r="R5" i="9"/>
  <c r="DE35" i="31"/>
  <c r="J8" i="31" s="1"/>
  <c r="DD36" i="31"/>
  <c r="DE44" i="31"/>
  <c r="CM8" i="31" s="1"/>
  <c r="DD50" i="31"/>
  <c r="DC50" i="31" s="1"/>
  <c r="BB9" i="31" s="1"/>
  <c r="DD75" i="31"/>
  <c r="DC75" i="31" s="1"/>
  <c r="I12" i="31" s="1"/>
  <c r="DD77" i="31"/>
  <c r="DC77" i="31" s="1"/>
  <c r="AA12" i="31" s="1"/>
  <c r="DD84" i="31"/>
  <c r="S48" i="25"/>
  <c r="S63" i="25"/>
  <c r="Q63" i="25"/>
  <c r="S80" i="25"/>
  <c r="C7" i="24"/>
  <c r="T10" i="9"/>
  <c r="P17" i="9"/>
  <c r="Q38" i="46"/>
  <c r="Q39" i="46" s="1"/>
  <c r="Q40" i="46" s="1"/>
  <c r="T44" i="46"/>
  <c r="U44" i="46" s="1"/>
  <c r="Y8" i="49"/>
  <c r="T8" i="9"/>
  <c r="W8" i="24"/>
  <c r="DE20" i="31"/>
  <c r="BC6" i="31" s="1"/>
  <c r="U26" i="9"/>
  <c r="Z26" i="49"/>
  <c r="AA26" i="49" s="1"/>
  <c r="AB26" i="25"/>
  <c r="DE33" i="31"/>
  <c r="CD7" i="31" s="1"/>
  <c r="DE36" i="31"/>
  <c r="S8" i="31" s="1"/>
  <c r="DD43" i="31"/>
  <c r="DC43" i="31" s="1"/>
  <c r="CC8" i="31" s="1"/>
  <c r="DE45" i="31"/>
  <c r="J9" i="31" s="1"/>
  <c r="DD46" i="31"/>
  <c r="DC46" i="31" s="1"/>
  <c r="R9" i="31" s="1"/>
  <c r="DE50" i="31"/>
  <c r="BC9" i="31" s="1"/>
  <c r="DD55" i="31"/>
  <c r="DC55" i="31" s="1"/>
  <c r="I10" i="31" s="1"/>
  <c r="DA57" i="31"/>
  <c r="Z10" i="31" s="1"/>
  <c r="DD59" i="31"/>
  <c r="DC59" i="31" s="1"/>
  <c r="AS10" i="31" s="1"/>
  <c r="DE70" i="31"/>
  <c r="BC11" i="31" s="1"/>
  <c r="DA73" i="31"/>
  <c r="CZ73" i="31"/>
  <c r="CB11" i="31" s="1"/>
  <c r="S43" i="25"/>
  <c r="Q43" i="25"/>
  <c r="S75" i="25"/>
  <c r="Q75" i="25"/>
  <c r="Q7" i="24"/>
  <c r="Q40" i="24"/>
  <c r="X26" i="24"/>
  <c r="DD67" i="31"/>
  <c r="DC67" i="31" s="1"/>
  <c r="AA11" i="31" s="1"/>
  <c r="DD74" i="31"/>
  <c r="DD81" i="31"/>
  <c r="DC81" i="31" s="1"/>
  <c r="BK12" i="31" s="1"/>
  <c r="Q41" i="24"/>
  <c r="P40" i="24"/>
  <c r="C40" i="24" s="1"/>
  <c r="P33" i="24"/>
  <c r="P31" i="24"/>
  <c r="C31" i="24" s="1"/>
  <c r="P26" i="24"/>
  <c r="C26" i="24" s="1"/>
  <c r="P24" i="24"/>
  <c r="S20" i="24"/>
  <c r="L20" i="24" s="1"/>
  <c r="K20" i="24" s="1"/>
  <c r="F20" i="24" s="1"/>
  <c r="S18" i="24"/>
  <c r="L18" i="24" s="1"/>
  <c r="K18" i="24" s="1"/>
  <c r="F18" i="24" s="1"/>
  <c r="S16" i="24"/>
  <c r="L16" i="24" s="1"/>
  <c r="K16" i="24" s="1"/>
  <c r="S14" i="24"/>
  <c r="L14" i="24" s="1"/>
  <c r="Q42" i="24"/>
  <c r="P41" i="24"/>
  <c r="C41" i="24" s="1"/>
  <c r="Q35" i="24"/>
  <c r="Q28" i="24"/>
  <c r="Q22" i="24"/>
  <c r="C22" i="24" s="1"/>
  <c r="Q20" i="24"/>
  <c r="Q18" i="24"/>
  <c r="Q16" i="24"/>
  <c r="Q14" i="24"/>
  <c r="Q12" i="24"/>
  <c r="Q10" i="24"/>
  <c r="C10" i="24" s="1"/>
  <c r="Q8" i="24"/>
  <c r="Q43" i="24"/>
  <c r="P42" i="24"/>
  <c r="Q36" i="24"/>
  <c r="Q38" i="24"/>
  <c r="P37" i="24"/>
  <c r="C37" i="24" s="1"/>
  <c r="Q34" i="24"/>
  <c r="P32" i="24"/>
  <c r="P38" i="24"/>
  <c r="C38" i="24" s="1"/>
  <c r="P34" i="24"/>
  <c r="C34" i="24" s="1"/>
  <c r="Q39" i="24"/>
  <c r="S33" i="24"/>
  <c r="L33" i="24" s="1"/>
  <c r="K33" i="24" s="1"/>
  <c r="F33" i="24" s="1"/>
  <c r="Q29" i="24"/>
  <c r="Q21" i="24"/>
  <c r="P19" i="24"/>
  <c r="C19" i="24" s="1"/>
  <c r="P17" i="24"/>
  <c r="Q15" i="24"/>
  <c r="P11" i="24"/>
  <c r="C11" i="24" s="1"/>
  <c r="P9" i="24"/>
  <c r="Q5" i="24"/>
  <c r="P5" i="24"/>
  <c r="C5" i="24" s="1"/>
  <c r="P13" i="24"/>
  <c r="P15" i="24"/>
  <c r="Q23" i="24"/>
  <c r="C23" i="24" s="1"/>
  <c r="L12" i="9"/>
  <c r="W7" i="24"/>
  <c r="S37" i="24" s="1"/>
  <c r="L37" i="24" s="1"/>
  <c r="K37" i="24" s="1"/>
  <c r="F37" i="24" s="1"/>
  <c r="P12" i="24"/>
  <c r="Q13" i="24"/>
  <c r="P14" i="24"/>
  <c r="C14" i="24" s="1"/>
  <c r="P35" i="24"/>
  <c r="P39" i="24"/>
  <c r="C39" i="24" s="1"/>
  <c r="P43" i="24"/>
  <c r="P12" i="9"/>
  <c r="M8" i="42"/>
  <c r="B8" i="33"/>
  <c r="O6" i="46"/>
  <c r="T6" i="46" s="1"/>
  <c r="O24" i="46"/>
  <c r="T24" i="46" s="1"/>
  <c r="DA52" i="31"/>
  <c r="BS9" i="31" s="1"/>
  <c r="DA58" i="31"/>
  <c r="AI10" i="31" s="1"/>
  <c r="P6" i="24"/>
  <c r="C6" i="24" s="1"/>
  <c r="P8" i="24"/>
  <c r="S13" i="24"/>
  <c r="L13" i="24" s="1"/>
  <c r="Q17" i="24"/>
  <c r="Q24" i="24"/>
  <c r="P27" i="24"/>
  <c r="P29" i="24"/>
  <c r="C29" i="24" s="1"/>
  <c r="C5" i="9"/>
  <c r="P14" i="9"/>
  <c r="AA10" i="49"/>
  <c r="Q6" i="24"/>
  <c r="Q9" i="24"/>
  <c r="P16" i="24"/>
  <c r="S17" i="24"/>
  <c r="L17" i="24" s="1"/>
  <c r="K17" i="24" s="1"/>
  <c r="F17" i="24" s="1"/>
  <c r="P18" i="24"/>
  <c r="C18" i="24" s="1"/>
  <c r="Q19" i="24"/>
  <c r="AJ21" i="24"/>
  <c r="AM21" i="24" s="1"/>
  <c r="P25" i="24"/>
  <c r="C25" i="24" s="1"/>
  <c r="Q26" i="24"/>
  <c r="Q27" i="24"/>
  <c r="P28" i="24"/>
  <c r="C28" i="24" s="1"/>
  <c r="S34" i="24"/>
  <c r="L34" i="24" s="1"/>
  <c r="P36" i="24"/>
  <c r="C6" i="9"/>
  <c r="P16" i="9"/>
  <c r="T5" i="46"/>
  <c r="C20" i="24"/>
  <c r="P21" i="24"/>
  <c r="C21" i="24" s="1"/>
  <c r="Q25" i="24"/>
  <c r="P30" i="24"/>
  <c r="U4" i="46"/>
  <c r="U5" i="46" s="1"/>
  <c r="U6" i="46" s="1"/>
  <c r="U7" i="46" s="1"/>
  <c r="U8" i="46" s="1"/>
  <c r="U9" i="46" s="1"/>
  <c r="U10" i="46" s="1"/>
  <c r="U11" i="46" s="1"/>
  <c r="AJ22" i="24"/>
  <c r="AM22" i="24" s="1"/>
  <c r="Q30" i="24"/>
  <c r="Q32" i="24"/>
  <c r="Q33" i="24"/>
  <c r="Q37" i="24"/>
  <c r="P8" i="9"/>
  <c r="P13" i="9"/>
  <c r="P18" i="9"/>
  <c r="AA9" i="49"/>
  <c r="U5" i="49" s="1"/>
  <c r="M5" i="9"/>
  <c r="M7" i="9"/>
  <c r="M9" i="9"/>
  <c r="C9" i="9" s="1"/>
  <c r="P11" i="9"/>
  <c r="M12" i="9"/>
  <c r="M16" i="9"/>
  <c r="C16" i="9" s="1"/>
  <c r="P7" i="49"/>
  <c r="R26" i="46"/>
  <c r="S25" i="46" s="1"/>
  <c r="R30" i="46"/>
  <c r="S29" i="46" s="1"/>
  <c r="L13" i="9"/>
  <c r="L17" i="9"/>
  <c r="C17" i="9" s="1"/>
  <c r="R5" i="49"/>
  <c r="R6" i="49"/>
  <c r="R7" i="49"/>
  <c r="B9" i="33"/>
  <c r="P5" i="9"/>
  <c r="P7" i="9"/>
  <c r="P9" i="9"/>
  <c r="L10" i="9"/>
  <c r="C10" i="9" s="1"/>
  <c r="M13" i="9"/>
  <c r="M17" i="9"/>
  <c r="S5" i="49"/>
  <c r="S6" i="49"/>
  <c r="S7" i="49"/>
  <c r="C8" i="42"/>
  <c r="L8" i="9"/>
  <c r="M10" i="9"/>
  <c r="L14" i="9"/>
  <c r="C14" i="9" s="1"/>
  <c r="L18" i="9"/>
  <c r="H5" i="49"/>
  <c r="B5" i="49" s="1"/>
  <c r="H6" i="49"/>
  <c r="U6" i="49"/>
  <c r="H7" i="49"/>
  <c r="B11" i="33"/>
  <c r="M6" i="9"/>
  <c r="M8" i="9"/>
  <c r="M14" i="9"/>
  <c r="M18" i="9"/>
  <c r="I5" i="49"/>
  <c r="I6" i="49"/>
  <c r="I7" i="49"/>
  <c r="N22" i="46"/>
  <c r="T43" i="46" s="1"/>
  <c r="U43" i="46" s="1"/>
  <c r="P10" i="9"/>
  <c r="L11" i="9"/>
  <c r="C11" i="9" s="1"/>
  <c r="L15" i="9"/>
  <c r="C15" i="9" s="1"/>
  <c r="P6" i="9"/>
  <c r="M11" i="9"/>
  <c r="M5" i="49"/>
  <c r="M6" i="49"/>
  <c r="C18" i="9" l="1"/>
  <c r="C36" i="24"/>
  <c r="C8" i="24"/>
  <c r="C15" i="24"/>
  <c r="C17" i="24"/>
  <c r="S36" i="24"/>
  <c r="L36" i="24" s="1"/>
  <c r="K36" i="24" s="1"/>
  <c r="F36" i="24" s="1"/>
  <c r="BA11" i="31"/>
  <c r="DC78" i="31"/>
  <c r="AJ12" i="31" s="1"/>
  <c r="DD83" i="31"/>
  <c r="DC83" i="31" s="1"/>
  <c r="CC12" i="31" s="1"/>
  <c r="DD63" i="31"/>
  <c r="DC63" i="31" s="1"/>
  <c r="CC10" i="31" s="1"/>
  <c r="AR8" i="31"/>
  <c r="DC56" i="31"/>
  <c r="R10" i="31" s="1"/>
  <c r="DC79" i="31"/>
  <c r="AS12" i="31" s="1"/>
  <c r="DC42" i="31"/>
  <c r="BT8" i="31" s="1"/>
  <c r="AR5" i="31"/>
  <c r="AA23" i="49"/>
  <c r="BS10" i="31"/>
  <c r="U12" i="9"/>
  <c r="Z12" i="49"/>
  <c r="AA12" i="49" s="1"/>
  <c r="AB12" i="25"/>
  <c r="DE41" i="31"/>
  <c r="BL8" i="31" s="1"/>
  <c r="DD14" i="31"/>
  <c r="DC14" i="31" s="1"/>
  <c r="CL5" i="31" s="1"/>
  <c r="DE24" i="31"/>
  <c r="CM6" i="31" s="1"/>
  <c r="C12" i="24"/>
  <c r="DE61" i="31"/>
  <c r="BL10" i="31" s="1"/>
  <c r="DC66" i="31"/>
  <c r="R11" i="31" s="1"/>
  <c r="DE32" i="31"/>
  <c r="BU7" i="31" s="1"/>
  <c r="DE51" i="31"/>
  <c r="BL9" i="31" s="1"/>
  <c r="AA24" i="49"/>
  <c r="H8" i="31"/>
  <c r="DC47" i="31"/>
  <c r="AA9" i="31" s="1"/>
  <c r="AB31" i="25"/>
  <c r="DO31" i="31"/>
  <c r="AA31" i="25" s="1"/>
  <c r="DC53" i="31"/>
  <c r="CC9" i="31" s="1"/>
  <c r="DC33" i="31"/>
  <c r="CC7" i="31" s="1"/>
  <c r="DC19" i="31"/>
  <c r="AS6" i="31" s="1"/>
  <c r="DB30" i="31"/>
  <c r="BC7" i="31"/>
  <c r="C13" i="24"/>
  <c r="B7" i="49"/>
  <c r="C8" i="9"/>
  <c r="C13" i="9"/>
  <c r="C16" i="24"/>
  <c r="C43" i="24"/>
  <c r="W13" i="24"/>
  <c r="W16" i="24"/>
  <c r="W14" i="24"/>
  <c r="S19" i="24"/>
  <c r="L19" i="24" s="1"/>
  <c r="K19" i="24" s="1"/>
  <c r="F19" i="24" s="1"/>
  <c r="W15" i="24"/>
  <c r="X7" i="24"/>
  <c r="S41" i="24"/>
  <c r="L41" i="24" s="1"/>
  <c r="K41" i="24" s="1"/>
  <c r="F41" i="24" s="1"/>
  <c r="S32" i="24"/>
  <c r="L32" i="24" s="1"/>
  <c r="K32" i="24" s="1"/>
  <c r="F32" i="24" s="1"/>
  <c r="C42" i="24"/>
  <c r="S43" i="24"/>
  <c r="L43" i="24" s="1"/>
  <c r="K43" i="24" s="1"/>
  <c r="F43" i="24" s="1"/>
  <c r="C24" i="24"/>
  <c r="S42" i="24"/>
  <c r="L42" i="24" s="1"/>
  <c r="K42" i="24" s="1"/>
  <c r="F42" i="24" s="1"/>
  <c r="DC36" i="31"/>
  <c r="R8" i="31" s="1"/>
  <c r="AA8" i="49"/>
  <c r="AA7" i="49"/>
  <c r="AA5" i="49"/>
  <c r="AA11" i="49"/>
  <c r="DD61" i="31"/>
  <c r="DC61" i="31" s="1"/>
  <c r="BK10" i="31" s="1"/>
  <c r="DC68" i="31"/>
  <c r="AJ11" i="31" s="1"/>
  <c r="DC35" i="31"/>
  <c r="I8" i="31" s="1"/>
  <c r="AA17" i="49"/>
  <c r="CB9" i="31"/>
  <c r="AA22" i="49"/>
  <c r="Z7" i="31"/>
  <c r="DC28" i="31"/>
  <c r="AJ7" i="31" s="1"/>
  <c r="DC25" i="31"/>
  <c r="I7" i="31" s="1"/>
  <c r="AA20" i="49"/>
  <c r="DC18" i="31"/>
  <c r="AJ6" i="31" s="1"/>
  <c r="DD32" i="31"/>
  <c r="DC32" i="31" s="1"/>
  <c r="BT7" i="31" s="1"/>
  <c r="DC17" i="31"/>
  <c r="AA6" i="31" s="1"/>
  <c r="O7" i="46"/>
  <c r="O25" i="46"/>
  <c r="T25" i="46" s="1"/>
  <c r="C33" i="24"/>
  <c r="C27" i="24"/>
  <c r="B6" i="49"/>
  <c r="C35" i="24"/>
  <c r="C9" i="24"/>
  <c r="C32" i="24"/>
  <c r="DC74" i="31"/>
  <c r="CL11" i="31" s="1"/>
  <c r="Z15" i="49"/>
  <c r="AA15" i="49" s="1"/>
  <c r="U15" i="9"/>
  <c r="AB15" i="25"/>
  <c r="DP33" i="31"/>
  <c r="DO33" i="31" s="1"/>
  <c r="DE73" i="31"/>
  <c r="CD11" i="31" s="1"/>
  <c r="DD82" i="31"/>
  <c r="DC82" i="31" s="1"/>
  <c r="BT12" i="31" s="1"/>
  <c r="DO15" i="31"/>
  <c r="DC70" i="31"/>
  <c r="BB11" i="31" s="1"/>
  <c r="U14" i="9"/>
  <c r="Z14" i="49"/>
  <c r="AA14" i="49" s="1"/>
  <c r="AB14" i="25"/>
  <c r="DP32" i="31"/>
  <c r="DO14" i="31"/>
  <c r="DC44" i="31"/>
  <c r="CL8" i="31" s="1"/>
  <c r="CK6" i="31"/>
  <c r="DC45" i="31"/>
  <c r="I9" i="31" s="1"/>
  <c r="AA19" i="49"/>
  <c r="T16" i="9"/>
  <c r="Y16" i="49"/>
  <c r="AA16" i="25"/>
  <c r="AA13" i="49"/>
  <c r="DC12" i="31"/>
  <c r="BT5" i="31" s="1"/>
  <c r="DC21" i="31"/>
  <c r="BK6" i="31" s="1"/>
  <c r="BJ11" i="31"/>
  <c r="W28" i="24"/>
  <c r="AA28" i="25"/>
  <c r="DP28" i="31"/>
  <c r="AB30" i="25"/>
  <c r="AA21" i="49"/>
  <c r="F16" i="24"/>
  <c r="M16" i="24"/>
  <c r="DC41" i="31"/>
  <c r="BK8" i="31" s="1"/>
  <c r="W29" i="24"/>
  <c r="AA29" i="25"/>
  <c r="DP29" i="31"/>
  <c r="DC69" i="31"/>
  <c r="AS11" i="31" s="1"/>
  <c r="T13" i="9"/>
  <c r="Y13" i="49"/>
  <c r="AA13" i="25"/>
  <c r="C9" i="42"/>
  <c r="J9" i="42"/>
  <c r="M9" i="42" s="1"/>
  <c r="C30" i="24"/>
  <c r="C12" i="9"/>
  <c r="S31" i="24"/>
  <c r="L31" i="24" s="1"/>
  <c r="K31" i="24" s="1"/>
  <c r="F31" i="24" s="1"/>
  <c r="DC84" i="31"/>
  <c r="CL12" i="31" s="1"/>
  <c r="DE82" i="31"/>
  <c r="BU12" i="31" s="1"/>
  <c r="DC31" i="31"/>
  <c r="BK7" i="31" s="1"/>
  <c r="DD24" i="31"/>
  <c r="DC24" i="31" s="1"/>
  <c r="CL6" i="31" s="1"/>
  <c r="H9" i="31"/>
  <c r="L34" i="46"/>
  <c r="R34" i="46"/>
  <c r="S33" i="46" s="1"/>
  <c r="M33" i="46"/>
  <c r="AA25" i="49"/>
  <c r="DC15" i="31"/>
  <c r="I6" i="31" s="1"/>
  <c r="Z8" i="31"/>
  <c r="DC38" i="31"/>
  <c r="AJ8" i="31" s="1"/>
  <c r="DD51" i="31"/>
  <c r="DC51" i="31" s="1"/>
  <c r="BK9" i="31" s="1"/>
  <c r="Y27" i="49"/>
  <c r="T27" i="9"/>
  <c r="W27" i="24"/>
  <c r="AA27" i="25"/>
  <c r="DP27" i="31"/>
  <c r="DC20" i="31"/>
  <c r="BB6" i="31" s="1"/>
  <c r="U25" i="46"/>
  <c r="U26" i="46" s="1"/>
  <c r="U27" i="46" s="1"/>
  <c r="U28" i="46" s="1"/>
  <c r="U29" i="46" s="1"/>
  <c r="U30" i="46" s="1"/>
  <c r="U31" i="46" s="1"/>
  <c r="U32" i="46" s="1"/>
  <c r="U33" i="46" s="1"/>
  <c r="Q8" i="48"/>
  <c r="D7" i="48"/>
  <c r="AB32" i="25" l="1"/>
  <c r="DO32" i="31"/>
  <c r="AA32" i="25" s="1"/>
  <c r="DC73" i="31"/>
  <c r="CC11" i="31" s="1"/>
  <c r="U7" i="49"/>
  <c r="P6" i="49"/>
  <c r="P5" i="49"/>
  <c r="X28" i="24"/>
  <c r="AB28" i="25"/>
  <c r="Y15" i="49"/>
  <c r="T15" i="9"/>
  <c r="AA15" i="25"/>
  <c r="X13" i="24"/>
  <c r="W31" i="24"/>
  <c r="S8" i="24"/>
  <c r="L8" i="24" s="1"/>
  <c r="S24" i="24"/>
  <c r="L24" i="24" s="1"/>
  <c r="K5" i="49"/>
  <c r="K6" i="49"/>
  <c r="K7" i="49"/>
  <c r="W33" i="24"/>
  <c r="X15" i="24"/>
  <c r="S39" i="24"/>
  <c r="L39" i="24" s="1"/>
  <c r="S22" i="24"/>
  <c r="L22" i="24" s="1"/>
  <c r="S29" i="24"/>
  <c r="L29" i="24" s="1"/>
  <c r="S15" i="24"/>
  <c r="L15" i="24" s="1"/>
  <c r="S6" i="24"/>
  <c r="L6" i="24" s="1"/>
  <c r="S35" i="24"/>
  <c r="L35" i="24" s="1"/>
  <c r="AB29" i="25"/>
  <c r="X29" i="24"/>
  <c r="BA7" i="31"/>
  <c r="DD30" i="31"/>
  <c r="DC30" i="31" s="1"/>
  <c r="BB7" i="31" s="1"/>
  <c r="O8" i="46"/>
  <c r="O26" i="46"/>
  <c r="T26" i="46" s="1"/>
  <c r="T7" i="46"/>
  <c r="Z27" i="49"/>
  <c r="AA27" i="49" s="1"/>
  <c r="U27" i="9"/>
  <c r="X27" i="24"/>
  <c r="AB27" i="25"/>
  <c r="S34" i="46"/>
  <c r="U34" i="46" s="1"/>
  <c r="W32" i="24"/>
  <c r="X14" i="24"/>
  <c r="S30" i="24"/>
  <c r="L30" i="24" s="1"/>
  <c r="S23" i="24"/>
  <c r="L23" i="24" s="1"/>
  <c r="S40" i="24"/>
  <c r="L40" i="24" s="1"/>
  <c r="S7" i="24"/>
  <c r="L7" i="24" s="1"/>
  <c r="T14" i="9"/>
  <c r="Y14" i="49"/>
  <c r="AA14" i="25"/>
  <c r="S8" i="48"/>
  <c r="B8" i="48"/>
  <c r="V8" i="48"/>
  <c r="T8" i="48" s="1"/>
  <c r="W8" i="48" s="1"/>
  <c r="F8" i="48" s="1"/>
  <c r="R35" i="46"/>
  <c r="M34" i="46"/>
  <c r="L35" i="46"/>
  <c r="W34" i="24"/>
  <c r="X16" i="24"/>
  <c r="S5" i="24"/>
  <c r="L5" i="24" s="1"/>
  <c r="S21" i="24"/>
  <c r="L21" i="24" s="1"/>
  <c r="R36" i="46" l="1"/>
  <c r="M35" i="46"/>
  <c r="L36" i="46"/>
  <c r="X32" i="24"/>
  <c r="S11" i="24"/>
  <c r="L11" i="24" s="1"/>
  <c r="S27" i="24"/>
  <c r="L27" i="24" s="1"/>
  <c r="Q9" i="48"/>
  <c r="D8" i="48"/>
  <c r="X31" i="24"/>
  <c r="S28" i="24"/>
  <c r="L28" i="24" s="1"/>
  <c r="S12" i="24"/>
  <c r="L12" i="24" s="1"/>
  <c r="O9" i="46"/>
  <c r="O27" i="46"/>
  <c r="T27" i="46" s="1"/>
  <c r="T8" i="46"/>
  <c r="X34" i="24"/>
  <c r="S25" i="24"/>
  <c r="L25" i="24" s="1"/>
  <c r="S9" i="24"/>
  <c r="L9" i="24" s="1"/>
  <c r="X33" i="24"/>
  <c r="S26" i="24"/>
  <c r="L26" i="24" s="1"/>
  <c r="S10" i="24"/>
  <c r="L10" i="24" s="1"/>
  <c r="R37" i="46" l="1"/>
  <c r="M36" i="46"/>
  <c r="L37" i="46"/>
  <c r="O10" i="46"/>
  <c r="O28" i="46"/>
  <c r="T28" i="46" s="1"/>
  <c r="T9" i="46"/>
  <c r="T13" i="46" s="1"/>
  <c r="T16" i="46" s="1"/>
  <c r="S9" i="48"/>
  <c r="V9" i="48"/>
  <c r="T9" i="48" s="1"/>
  <c r="W9" i="48" s="1"/>
  <c r="F9" i="48" s="1"/>
  <c r="B9" i="48"/>
  <c r="O11" i="46" l="1"/>
  <c r="O29" i="46"/>
  <c r="T29" i="46" s="1"/>
  <c r="R38" i="46"/>
  <c r="M37" i="46"/>
  <c r="L38" i="46"/>
  <c r="Q10" i="48"/>
  <c r="D9" i="48"/>
  <c r="R39" i="46" l="1"/>
  <c r="M38" i="46"/>
  <c r="L39" i="46"/>
  <c r="B10" i="48"/>
  <c r="V10" i="48"/>
  <c r="T10" i="48" s="1"/>
  <c r="W10" i="48" s="1"/>
  <c r="F10" i="48" s="1"/>
  <c r="S10" i="48"/>
  <c r="O30" i="46"/>
  <c r="O12" i="46"/>
  <c r="D10" i="48" l="1"/>
  <c r="Q11" i="48"/>
  <c r="O31" i="46"/>
  <c r="T30" i="46"/>
  <c r="R40" i="46"/>
  <c r="M39" i="46"/>
  <c r="L40" i="46"/>
  <c r="M40" i="46" s="1"/>
  <c r="O32" i="46" l="1"/>
  <c r="T31" i="46"/>
  <c r="B11" i="48"/>
  <c r="V11" i="48"/>
  <c r="T11" i="48" s="1"/>
  <c r="W11" i="48" s="1"/>
  <c r="F11" i="48" s="1"/>
  <c r="S11" i="48"/>
  <c r="D11" i="48" l="1"/>
  <c r="Q12" i="48"/>
  <c r="O33" i="46"/>
  <c r="T32" i="46"/>
  <c r="V12" i="48" l="1"/>
  <c r="B12" i="48"/>
  <c r="S12" i="48"/>
  <c r="O34" i="46"/>
  <c r="T33" i="46"/>
  <c r="D12" i="48" l="1"/>
  <c r="Q13" i="48"/>
  <c r="O35" i="46"/>
  <c r="O36" i="46" s="1"/>
  <c r="O37" i="46" s="1"/>
  <c r="O38" i="46" s="1"/>
  <c r="O39" i="46" s="1"/>
  <c r="O40" i="46" s="1"/>
  <c r="T34" i="46"/>
  <c r="T42" i="46" s="1"/>
  <c r="T12" i="48"/>
  <c r="W12" i="48" s="1"/>
  <c r="F12" i="48" s="1"/>
  <c r="T45" i="46" l="1"/>
  <c r="U42" i="46"/>
  <c r="U45" i="46" s="1"/>
  <c r="V45" i="46" s="1"/>
  <c r="B13" i="48"/>
  <c r="V13" i="48"/>
  <c r="T13" i="48" s="1"/>
  <c r="W13" i="48" s="1"/>
  <c r="F13" i="48" s="1"/>
  <c r="S13" i="48"/>
  <c r="Q14" i="48" l="1"/>
  <c r="D13" i="48"/>
  <c r="B14" i="48" l="1"/>
  <c r="V14" i="48"/>
  <c r="T14" i="48" s="1"/>
  <c r="W14" i="48" s="1"/>
  <c r="F14" i="48" s="1"/>
  <c r="S14" i="48"/>
  <c r="Q15" i="48" l="1"/>
  <c r="D14" i="48"/>
  <c r="V15" i="48" l="1"/>
  <c r="S15" i="48"/>
  <c r="B15" i="48"/>
  <c r="Q16" i="48" l="1"/>
  <c r="D15" i="48"/>
  <c r="T15" i="48"/>
  <c r="W15" i="48" s="1"/>
  <c r="F15" i="48" s="1"/>
  <c r="S16" i="48" l="1"/>
  <c r="B16" i="48"/>
  <c r="V16" i="48"/>
  <c r="T16" i="48" s="1"/>
  <c r="W16" i="48" s="1"/>
  <c r="F16" i="48" s="1"/>
  <c r="Q17" i="48" l="1"/>
  <c r="D16" i="48"/>
  <c r="S17" i="48" l="1"/>
  <c r="V17" i="48"/>
  <c r="B17" i="48"/>
  <c r="T17" i="48"/>
  <c r="W17" i="48" s="1"/>
  <c r="F17" i="48" s="1"/>
  <c r="Q18" i="48" l="1"/>
  <c r="D17" i="48"/>
  <c r="B18" i="48" l="1"/>
  <c r="V18" i="48"/>
  <c r="T18" i="48" s="1"/>
  <c r="W18" i="48" s="1"/>
  <c r="F18" i="48" s="1"/>
  <c r="S18" i="48"/>
  <c r="D18" i="48" l="1"/>
  <c r="Q19" i="48"/>
  <c r="B19" i="48" l="1"/>
  <c r="S19" i="48"/>
  <c r="V19" i="48"/>
  <c r="T19" i="48"/>
  <c r="W19" i="48" s="1"/>
  <c r="F19" i="48" s="1"/>
  <c r="Q20" i="48" l="1"/>
  <c r="D19" i="48"/>
  <c r="B20" i="48" l="1"/>
  <c r="V20" i="48"/>
  <c r="S20" i="48"/>
  <c r="D20" i="48" l="1"/>
  <c r="Q21" i="48"/>
  <c r="T20" i="48"/>
  <c r="W20" i="48" s="1"/>
  <c r="F20" i="48" s="1"/>
  <c r="B21" i="48" l="1"/>
  <c r="V21" i="48"/>
  <c r="T21" i="48" s="1"/>
  <c r="W21" i="48" s="1"/>
  <c r="F21" i="48" s="1"/>
  <c r="S21" i="48"/>
  <c r="Q22" i="48" l="1"/>
  <c r="D21" i="48"/>
  <c r="B22" i="48" l="1"/>
  <c r="V22" i="48"/>
  <c r="S22" i="48"/>
  <c r="Q23" i="48" l="1"/>
  <c r="D22" i="48"/>
  <c r="T22" i="48"/>
  <c r="W22" i="48" s="1"/>
  <c r="F22" i="48" s="1"/>
  <c r="V23" i="48" l="1"/>
  <c r="S23" i="48"/>
  <c r="T23" i="48" s="1"/>
  <c r="W23" i="48" s="1"/>
  <c r="F23" i="48" s="1"/>
  <c r="B23" i="48"/>
  <c r="Q24" i="48" l="1"/>
  <c r="D23" i="48"/>
  <c r="S24" i="48" l="1"/>
  <c r="B24" i="48"/>
  <c r="V24" i="48"/>
  <c r="T24" i="48" s="1"/>
  <c r="W24" i="48" s="1"/>
  <c r="F24" i="48" s="1"/>
  <c r="Q25" i="48" l="1"/>
  <c r="D24" i="48"/>
  <c r="S25" i="48" l="1"/>
  <c r="V25" i="48"/>
  <c r="B25" i="48"/>
  <c r="T25" i="48"/>
  <c r="W25" i="48" s="1"/>
  <c r="F25" i="48" s="1"/>
  <c r="Q26" i="48" l="1"/>
  <c r="D25" i="48"/>
  <c r="B26" i="48" l="1"/>
  <c r="V26" i="48"/>
  <c r="T26" i="48" s="1"/>
  <c r="W26" i="48" s="1"/>
  <c r="F26" i="48" s="1"/>
  <c r="S26" i="48"/>
  <c r="D26" i="48" l="1"/>
  <c r="Q27" i="48"/>
  <c r="B27" i="48" l="1"/>
  <c r="S27" i="48"/>
  <c r="V27" i="48"/>
  <c r="T27" i="48" s="1"/>
  <c r="W27" i="48" s="1"/>
  <c r="F27" i="48" s="1"/>
  <c r="D27" i="48" l="1"/>
  <c r="Q28" i="48"/>
  <c r="B28" i="48" l="1"/>
  <c r="V28" i="48"/>
  <c r="T28" i="48" s="1"/>
  <c r="W28" i="48" s="1"/>
  <c r="F28" i="48" s="1"/>
  <c r="S28" i="48"/>
  <c r="D28" i="48" l="1"/>
  <c r="Q29" i="48"/>
  <c r="B29" i="48" l="1"/>
  <c r="V29" i="48"/>
  <c r="T29" i="48" s="1"/>
  <c r="W29" i="48" s="1"/>
  <c r="F29" i="48" s="1"/>
  <c r="S29" i="48"/>
  <c r="Q30" i="48" l="1"/>
  <c r="D29" i="48"/>
  <c r="B30" i="48" l="1"/>
  <c r="S30" i="48"/>
  <c r="V30" i="48"/>
  <c r="T30" i="48" s="1"/>
  <c r="W30" i="48" s="1"/>
  <c r="F30" i="48" s="1"/>
  <c r="D30" i="48" l="1"/>
  <c r="Q31" i="48"/>
  <c r="V31" i="48" l="1"/>
  <c r="T31" i="48" s="1"/>
  <c r="W31" i="48" s="1"/>
  <c r="F31" i="48" s="1"/>
  <c r="S31" i="48"/>
  <c r="B31" i="48"/>
  <c r="Q32" i="48" l="1"/>
  <c r="D31" i="48"/>
  <c r="S32" i="48" l="1"/>
  <c r="B32" i="48"/>
  <c r="V32" i="48"/>
  <c r="T32" i="48" s="1"/>
  <c r="W32" i="48" s="1"/>
  <c r="F32" i="48" s="1"/>
  <c r="Q33" i="48" l="1"/>
  <c r="D32" i="48"/>
  <c r="S33" i="48" l="1"/>
  <c r="V33" i="48"/>
  <c r="T33" i="48" s="1"/>
  <c r="W33" i="48" s="1"/>
  <c r="F33" i="48" s="1"/>
  <c r="B33" i="48"/>
  <c r="Q34" i="48" l="1"/>
  <c r="D33" i="48"/>
  <c r="B34" i="48" l="1"/>
  <c r="V34" i="48"/>
  <c r="T34" i="48" s="1"/>
  <c r="W34" i="48" s="1"/>
  <c r="F34" i="48" s="1"/>
  <c r="S34" i="48"/>
  <c r="D34" i="48" s="1"/>
</calcChain>
</file>

<file path=xl/comments1.xml><?xml version="1.0" encoding="utf-8"?>
<comments xmlns="http://schemas.openxmlformats.org/spreadsheetml/2006/main">
  <authors>
    <author>jianlong wo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实际金币需要*炮倍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百分比后保留一位小数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86177</author>
  </authors>
  <commentList>
    <comment ref="R4" authorId="0" shapeId="0">
      <text>
        <r>
          <rPr>
            <b/>
            <sz val="9"/>
            <rFont val="宋体"/>
            <family val="3"/>
            <charset val="134"/>
          </rPr>
          <t>阶段五结束条件</t>
        </r>
        <r>
          <rPr>
            <sz val="9"/>
            <rFont val="宋体"/>
            <family val="3"/>
            <charset val="134"/>
          </rPr>
          <t xml:space="preserve">
当玩家持有金币 - 房间最大炮倍*屏幕子弹最大数量20满足进入下一个高级房间金币范围</t>
        </r>
      </text>
    </comment>
    <comment ref="M7" authorId="1" shapeId="0">
      <text>
        <r>
          <rPr>
            <b/>
            <sz val="9"/>
            <rFont val="宋体"/>
            <family val="3"/>
            <charset val="134"/>
          </rPr>
          <t>修改前为:</t>
        </r>
        <r>
          <rPr>
            <sz val="9"/>
            <rFont val="宋体"/>
            <family val="3"/>
            <charset val="134"/>
          </rPr>
          <t xml:space="preserve">
3301,3302,3303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K2" authorId="0" shapeId="0">
      <text>
        <r>
          <rPr>
            <b/>
            <sz val="9"/>
            <rFont val="宋体"/>
            <family val="3"/>
            <charset val="134"/>
          </rPr>
          <t>1天按照4小时游戏时长计算</t>
        </r>
      </text>
    </comment>
  </commentList>
</comments>
</file>

<file path=xl/comments4.xml><?xml version="1.0" encoding="utf-8"?>
<comments xmlns="http://schemas.openxmlformats.org/spreadsheetml/2006/main">
  <authors>
    <author>user</author>
    <author>作者</author>
    <author>86177</author>
    <author>jianlong wo</author>
  </authors>
  <commentList>
    <comment ref="F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K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I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M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R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V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A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E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J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N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D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>
      <text>
        <r>
          <rPr>
            <b/>
            <sz val="9"/>
            <rFont val="宋体"/>
            <family val="3"/>
            <charset val="134"/>
          </rPr>
          <t>86177:</t>
        </r>
        <r>
          <rPr>
            <sz val="9"/>
            <rFont val="宋体"/>
            <family val="3"/>
            <charset val="134"/>
          </rPr>
          <t xml:space="preserve">
档位奖励需要有这个区间之外的最大值和最小值</t>
        </r>
      </text>
    </comment>
    <comment ref="DP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DO17" authorId="3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comments5.xml><?xml version="1.0" encoding="utf-8"?>
<comments xmlns="http://schemas.openxmlformats.org/spreadsheetml/2006/main">
  <authors>
    <author>user</author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根据鱼的分值分配掉落组
1200炮必掉一个道具</t>
        </r>
      </text>
    </comment>
  </commentList>
</comments>
</file>

<file path=xl/comments6.xml><?xml version="1.0" encoding="utf-8"?>
<comments xmlns="http://schemas.openxmlformats.org/spreadsheetml/2006/main">
  <authors>
    <author>jianlong wo</author>
    <author>user</author>
  </authors>
  <commentList>
    <comment ref="I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V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H2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H3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K6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小额话费券标准价值10～100之间
炮倍不同小额话费的金额不同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例如下面数据，表示话费赛开始后20s出现热气球track，90s后移除track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200次破罩子，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
按照当前等级得积分，然后升级</t>
        </r>
      </text>
    </comment>
  </commentList>
</comments>
</file>

<file path=xl/sharedStrings.xml><?xml version="1.0" encoding="utf-8"?>
<sst xmlns="http://schemas.openxmlformats.org/spreadsheetml/2006/main" count="2904" uniqueCount="909">
  <si>
    <t>cs</t>
  </si>
  <si>
    <t>s</t>
  </si>
  <si>
    <t>c</t>
  </si>
  <si>
    <t>成功概率、失败概率为计算值</t>
  </si>
  <si>
    <t>炮倍</t>
  </si>
  <si>
    <t>score</t>
  </si>
  <si>
    <t>基础金币</t>
  </si>
  <si>
    <t>int</t>
  </si>
  <si>
    <t>float</t>
  </si>
  <si>
    <t>string</t>
  </si>
  <si>
    <t>id</t>
  </si>
  <si>
    <t>G</t>
  </si>
  <si>
    <t>addGPer</t>
  </si>
  <si>
    <t>addG</t>
  </si>
  <si>
    <t>failGetPer</t>
  </si>
  <si>
    <t>failP</t>
  </si>
  <si>
    <t>failShowP</t>
  </si>
  <si>
    <t>colour</t>
  </si>
  <si>
    <t>tips</t>
  </si>
  <si>
    <t>分值调整后需要调整鱼属性表分值</t>
  </si>
  <si>
    <t>拿钱走人</t>
  </si>
  <si>
    <t>从有实际自爆率开始计算</t>
  </si>
  <si>
    <t>连击次数</t>
  </si>
  <si>
    <r>
      <rPr>
        <b/>
        <sz val="9"/>
        <color rgb="FF7030A0"/>
        <rFont val="微软雅黑"/>
        <family val="2"/>
        <charset val="134"/>
      </rPr>
      <t xml:space="preserve">每次成功金币加成%
</t>
    </r>
    <r>
      <rPr>
        <sz val="8"/>
        <color rgb="FF7030A0"/>
        <rFont val="微软雅黑"/>
        <family val="2"/>
        <charset val="134"/>
      </rPr>
      <t>超过连击次数的按照最后一次计算</t>
    </r>
  </si>
  <si>
    <t>点击成功后的金币</t>
  </si>
  <si>
    <t>失败后拿走
当前金币%
，50表示50%</t>
  </si>
  <si>
    <t>自爆概率
服务器计算用</t>
  </si>
  <si>
    <t>修正自暴率
客户端展示</t>
  </si>
  <si>
    <t>自暴率数字色值，不配置为白色</t>
  </si>
  <si>
    <t>气泡提示
连击之前的气泡提示
key1,key2，表示从两个里面随机一个</t>
  </si>
  <si>
    <t>初始金币</t>
  </si>
  <si>
    <t>每次成功金币加成%</t>
  </si>
  <si>
    <t>点击成功概率</t>
  </si>
  <si>
    <t>失败后拿走金币%</t>
  </si>
  <si>
    <t>自爆获得金币</t>
  </si>
  <si>
    <t>点击失败概率</t>
  </si>
  <si>
    <t>失败显示值</t>
  </si>
  <si>
    <t>本次行为的期望金币值</t>
  </si>
  <si>
    <t>hetun_click1</t>
  </si>
  <si>
    <t>hetun_click2</t>
  </si>
  <si>
    <t>hetun_click3</t>
  </si>
  <si>
    <t>hetun_click4</t>
  </si>
  <si>
    <t>hetun_click5</t>
  </si>
  <si>
    <t>hetun_click4,hetun_click5</t>
  </si>
  <si>
    <t>ff0000</t>
  </si>
  <si>
    <t>int[]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</si>
  <si>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</si>
  <si>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</si>
  <si>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</si>
  <si>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</si>
  <si>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</si>
  <si>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</si>
  <si>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</si>
  <si>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</si>
  <si>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</si>
  <si>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</si>
  <si>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</si>
  <si>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</si>
  <si>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</si>
  <si>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jbpBasicG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</si>
  <si>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</si>
  <si>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</si>
  <si>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</si>
  <si>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</si>
  <si>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</si>
  <si>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</si>
  <si>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</si>
  <si>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</si>
  <si>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</si>
  <si>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</si>
  <si>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</si>
  <si>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</si>
  <si>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</si>
  <si>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</si>
  <si>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</si>
  <si>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</si>
  <si>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</si>
  <si>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kuang</t>
  </si>
  <si>
    <t>dtSpineAnimation</t>
  </si>
  <si>
    <t>soffsit</t>
  </si>
  <si>
    <t>billNum</t>
  </si>
  <si>
    <t>peculiarity</t>
  </si>
  <si>
    <t>peculiarityBox</t>
  </si>
  <si>
    <t>peculiarityZh</t>
  </si>
  <si>
    <t>leaveUp</t>
  </si>
  <si>
    <t>ledG</t>
  </si>
  <si>
    <t>ledN</t>
  </si>
  <si>
    <t>ledRTime</t>
  </si>
  <si>
    <t>ReK2Glimit</t>
  </si>
  <si>
    <t>ReK2</t>
  </si>
  <si>
    <t>ReK2_0</t>
  </si>
  <si>
    <t>freeSeat</t>
  </si>
  <si>
    <t>reserveArea</t>
  </si>
  <si>
    <t>reserveRoom</t>
  </si>
  <si>
    <t>replenishArea</t>
  </si>
  <si>
    <t>通过全局表查看任务出现时机</t>
  </si>
  <si>
    <t>房间id
1新手,2初级
3中级,4高级,7顶级
5竞技场,6核弹专场</t>
  </si>
  <si>
    <t>是否作为快速开始选择房间
1表示是，
0表示否</t>
  </si>
  <si>
    <t>房间可以使用的最小炮倍率</t>
  </si>
  <si>
    <t xml:space="preserve">房间可以使用的最大炮倍率  </t>
  </si>
  <si>
    <t>进入房间最小金币数量</t>
  </si>
  <si>
    <t>进入房间最大金币数量
-1表示无穷大</t>
  </si>
  <si>
    <t>进入房间最小vip等级</t>
  </si>
  <si>
    <t>每日首次解锁
该房间奖励金币</t>
  </si>
  <si>
    <r>
      <rPr>
        <sz val="9"/>
        <color theme="1"/>
        <rFont val="微软雅黑"/>
        <family val="2"/>
        <charset val="134"/>
      </rPr>
      <t xml:space="preserve">悬赏任务出现时机：
1按照全局表房间时间间隔出现
2按照全局表房间总开火次数出现
3按照自己消耗参赛子弹个数
</t>
    </r>
    <r>
      <rPr>
        <sz val="9"/>
        <color rgb="FFFF0000"/>
        <rFont val="微软雅黑"/>
        <family val="2"/>
        <charset val="134"/>
      </rPr>
      <t>暂时废弃</t>
    </r>
  </si>
  <si>
    <t>小游戏卡牌类型：
-1表示该房间不掉小游戏卡牌
1寻宝鱼,2国王的悬赏
3开贝壳,4神龙聚首</t>
  </si>
  <si>
    <r>
      <rPr>
        <sz val="9"/>
        <color theme="1"/>
        <rFont val="微软雅黑"/>
        <family val="2"/>
        <charset val="134"/>
      </rPr>
      <t xml:space="preserve">悬赏任务从以下中随机一个
</t>
    </r>
    <r>
      <rPr>
        <sz val="9"/>
        <color rgb="FFFF0000"/>
        <rFont val="微软雅黑"/>
        <family val="2"/>
        <charset val="134"/>
      </rPr>
      <t>暂时废弃</t>
    </r>
  </si>
  <si>
    <t>聚宝盆在每个房间基础金币值</t>
  </si>
  <si>
    <r>
      <rPr>
        <sz val="9"/>
        <color theme="1"/>
        <rFont val="微软雅黑"/>
        <family val="2"/>
        <charset val="134"/>
      </rPr>
      <t xml:space="preserve">前期节奏，每个房间
开火次数上限
超过上限后该房间前期演出节奏结束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</si>
  <si>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该房间在前期节奏期间
演出金币小于某个值后必中
0表示无此限制
</t>
    </r>
    <r>
      <rPr>
        <sz val="9"/>
        <color rgb="FFFF0000"/>
        <rFont val="微软雅黑"/>
        <family val="2"/>
        <charset val="134"/>
      </rPr>
      <t>暂时废弃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</si>
  <si>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b/>
        <sz val="9"/>
        <color rgb="FFFF0000"/>
        <rFont val="微软雅黑"/>
        <family val="2"/>
        <charset val="134"/>
      </rPr>
      <t>经典场</t>
    </r>
    <r>
      <rPr>
        <sz val="9"/>
        <color theme="1"/>
        <rFont val="微软雅黑"/>
        <family val="2"/>
        <charset val="134"/>
      </rPr>
      <t xml:space="preserve">前期节奏期间
上一个房间是x时，返回该房间则新手能量为B计算方式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</si>
  <si>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新手、初级、中级房不破产礼包对应的1-4阶段金币池子，阶段5以玩家持有的金币数量达到进入下一房间要求为准
炮解锁表
</t>
    </r>
    <r>
      <rPr>
        <sz val="9"/>
        <color rgb="FFFF0000"/>
        <rFont val="微软雅黑"/>
        <family val="2"/>
        <charset val="134"/>
      </rPr>
      <t>废弃</t>
    </r>
  </si>
  <si>
    <r>
      <rPr>
        <sz val="9"/>
        <color theme="1"/>
        <rFont val="微软雅黑"/>
        <family val="2"/>
        <charset val="134"/>
      </rPr>
      <t xml:space="preserve">不破产阶段5也是
跳转房间需要持有的金币数量
以玩家持有的金币数量达到进入下一房间要求为准
</t>
    </r>
    <r>
      <rPr>
        <sz val="9"/>
        <color rgb="FFFF0000"/>
        <rFont val="微软雅黑"/>
        <family val="2"/>
        <charset val="134"/>
      </rPr>
      <t>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</si>
  <si>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每个房间对应的人民币掉落范围，前后都是闭区间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</si>
  <si>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掉落的情况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</si>
  <si>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话费券单位
</t>
    </r>
    <r>
      <rPr>
        <sz val="9"/>
        <color rgb="FFFF0000"/>
        <rFont val="微软雅黑"/>
        <family val="2"/>
        <charset val="134"/>
      </rPr>
      <t>实际除以10以人民币为单位掉落
暂时废弃</t>
    </r>
  </si>
  <si>
    <r>
      <rPr>
        <sz val="9"/>
        <color theme="1"/>
        <rFont val="微软雅黑"/>
        <family val="2"/>
        <charset val="134"/>
      </rPr>
      <t xml:space="preserve">玩家解锁当前房间时
话费券上限额外增加值
单位0.01
</t>
    </r>
    <r>
      <rPr>
        <sz val="9"/>
        <color rgb="FFFF0000"/>
        <rFont val="微软雅黑"/>
        <family val="2"/>
        <charset val="134"/>
      </rPr>
      <t>暂时废弃</t>
    </r>
  </si>
  <si>
    <t>loading的场景配图名字</t>
  </si>
  <si>
    <r>
      <rPr>
        <sz val="9"/>
        <color theme="1"/>
        <rFont val="微软雅黑"/>
        <family val="2"/>
        <charset val="134"/>
      </rPr>
      <t xml:space="preserve">loading的场景对应的特色玩家描述
icon、描述、框
框颜色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</si>
  <si>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对应的场景名称：
场景切换顺序
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</si>
  <si>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>对应的场景名称：
场景切换顺序，</t>
    </r>
    <r>
      <rPr>
        <sz val="9"/>
        <color rgb="FFFF0000"/>
        <rFont val="微软雅黑"/>
        <family val="2"/>
        <charset val="134"/>
      </rPr>
      <t>竞技场没有场景切换，金币场和弹头场有
bg_aisha,bg_binghai,bg_caishen,bg_longjing
暂时废弃</t>
    </r>
  </si>
  <si>
    <r>
      <rPr>
        <sz val="9"/>
        <color theme="1"/>
        <rFont val="微软雅黑"/>
        <family val="2"/>
        <charset val="134"/>
      </rPr>
      <t xml:space="preserve">场景切换时间间隔/分钟
3,5表示3～5之间随机一个时间，可能是3.5分钟
</t>
    </r>
    <r>
      <rPr>
        <sz val="9"/>
        <color rgb="FFFF0000"/>
        <rFont val="微软雅黑"/>
        <family val="2"/>
        <charset val="134"/>
      </rPr>
      <t>暂时废弃</t>
    </r>
  </si>
  <si>
    <t>对应的音效：</t>
  </si>
  <si>
    <r>
      <rPr>
        <sz val="9"/>
        <color theme="1"/>
        <rFont val="微软雅黑"/>
        <family val="2"/>
        <charset val="134"/>
      </rPr>
      <t xml:space="preserve">大厅动画
形象spine动画
</t>
    </r>
    <r>
      <rPr>
        <sz val="9"/>
        <color rgb="FFFF0000"/>
        <rFont val="微软雅黑"/>
        <family val="2"/>
        <charset val="134"/>
      </rPr>
      <t>(对应的每个房间入口显示表现)</t>
    </r>
  </si>
  <si>
    <t>渔场入口
进入房间提示
spine对应的皮肤</t>
  </si>
  <si>
    <t>经典场入口背景框</t>
  </si>
  <si>
    <t>大厅
spine对应的动作</t>
  </si>
  <si>
    <t>大厅动画偏移
x,y</t>
  </si>
  <si>
    <t>话费赛奖励数量，大厅显示用
-1表示无话费赛</t>
  </si>
  <si>
    <r>
      <rPr>
        <sz val="8"/>
        <color theme="1"/>
        <rFont val="微软雅黑"/>
        <family val="2"/>
        <charset val="134"/>
      </rPr>
      <t xml:space="preserve">房间下方特色玩法
1.龙舟赛 2.福卡来袭
3.小游戏卡牌
4.艾莎 5.财神
6.玄龙鲸 7.金蟾
8.冰海精灵 9.雷神锤
10.暴富鸭 11.蟹将军
12.爆爆河豚13.聚宝盆
19.暗影宝船20.浴火凤凰
21.噬魂鲨
</t>
    </r>
    <r>
      <rPr>
        <sz val="8"/>
        <color rgb="FFFF0000"/>
        <rFont val="微软雅黑"/>
        <family val="2"/>
        <charset val="134"/>
      </rPr>
      <t>废弃</t>
    </r>
  </si>
  <si>
    <r>
      <rPr>
        <sz val="8"/>
        <color theme="1"/>
        <rFont val="微软雅黑"/>
        <family val="2"/>
        <charset val="134"/>
      </rPr>
      <t xml:space="preserve">房间下方特色玩法的外框,注意与特色玩法的位置对应
1.最高级
2.中级
3.普通
</t>
    </r>
    <r>
      <rPr>
        <sz val="8"/>
        <color rgb="FFFF0000"/>
        <rFont val="微软雅黑"/>
        <family val="2"/>
        <charset val="134"/>
      </rPr>
      <t>废弃</t>
    </r>
    <r>
      <rPr>
        <sz val="8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</si>
  <si>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房间下方特色玩法的描述（多语言）
c：初级龙舟赛
z：中级龙舟赛
g：高级龙舟赛
2.福卡来袭 3.小游戏卡牌
4.艾莎 5.财神
6.玄龙鲸 7.金蟾
8.冰海精灵9.雷神锤
10.暴富鸭11.蟹将军
12.爆爆河豚13.聚宝盆
</t>
    </r>
    <r>
      <rPr>
        <sz val="9"/>
        <color rgb="FFFF0000"/>
        <rFont val="微软雅黑"/>
        <family val="2"/>
        <charset val="134"/>
      </rPr>
      <t>废弃</t>
    </r>
    <r>
      <rPr>
        <sz val="9"/>
        <color theme="1"/>
        <rFont val="微软雅黑"/>
        <family val="2"/>
        <charset val="134"/>
      </rPr>
      <t xml:space="preserve">
</t>
    </r>
  </si>
  <si>
    <t>离开此房间进入下一房间的飞升动画提示
1.升至下一渔场
2.傲视群雄前往高级渔场
3.突破啦！下个渔场见
4.天选之子已达高级渔场</t>
  </si>
  <si>
    <r>
      <rPr>
        <sz val="9"/>
        <color theme="1"/>
        <rFont val="微软雅黑"/>
        <family val="2"/>
        <charset val="134"/>
      </rPr>
      <t xml:space="preserve">捕获boss和特殊鱼的高级led
播放需求的金币
</t>
    </r>
    <r>
      <rPr>
        <b/>
        <sz val="9"/>
        <color rgb="FFFF0000"/>
        <rFont val="微软雅黑"/>
        <family val="2"/>
        <charset val="134"/>
      </rPr>
      <t>大于等于</t>
    </r>
  </si>
  <si>
    <r>
      <rPr>
        <sz val="9"/>
        <color theme="1"/>
        <rFont val="微软雅黑"/>
        <family val="2"/>
        <charset val="134"/>
      </rPr>
      <t xml:space="preserve">需要的鱼倍数
</t>
    </r>
    <r>
      <rPr>
        <b/>
        <sz val="9"/>
        <color rgb="FFFF0000"/>
        <rFont val="微软雅黑"/>
        <family val="2"/>
        <charset val="134"/>
      </rPr>
      <t>大于等于</t>
    </r>
  </si>
  <si>
    <t>假led随机播放的时间，如果不填写表示没有假led</t>
  </si>
  <si>
    <t>方案C
每天首次进入房间，
补充至库存需要玩家持有金币范围</t>
  </si>
  <si>
    <t>方案C
每天首次进入房间，
补充至库存范围,数组从V0到V10;
例如填写了5个表示，V4及后续都是按照第5个来</t>
  </si>
  <si>
    <t>方案C
首次进入该房间</t>
  </si>
  <si>
    <t>此主题是否带有自选房间功能
1.带
0.或不配为不带</t>
  </si>
  <si>
    <t>此主题预留多少个大区
注意，仅在配置有自选房间功能时才配置此列</t>
  </si>
  <si>
    <t>此主题预留多少个房间
注意，仅在配置有自选房间功能时才配置此列</t>
  </si>
  <si>
    <t>此主题空房间不足多少时，补充一个区</t>
  </si>
  <si>
    <t>对应loadingTS</t>
  </si>
  <si>
    <t>0</t>
  </si>
  <si>
    <t>3,4,5,6</t>
  </si>
  <si>
    <t>1000,1200,1000,1200</t>
  </si>
  <si>
    <t>0.05,0.15</t>
  </si>
  <si>
    <t>0.5,1,1.5</t>
  </si>
  <si>
    <t>tx_ld_hsbz</t>
  </si>
  <si>
    <t>[[ic_dcj_8,tx_ld_bhjl_01,ui_dcj_k_1],[ic_dcj_9,tx_ld_lsc_01,ui_dcj_k_3],[ic_dcj_17,tx_ld_bbht_01,ui_dcj_k_3],[ic_dcj_18,tx_ld_jbp_01,ui_dcj_k_3]]</t>
  </si>
  <si>
    <t>1|bg_aisha</t>
  </si>
  <si>
    <t>bg_aisha</t>
  </si>
  <si>
    <t>3,5</t>
  </si>
  <si>
    <t>yinxiao_rukou2</t>
  </si>
  <si>
    <t>zhangyu</t>
  </si>
  <si>
    <t>hengxingsihai</t>
  </si>
  <si>
    <t>ui_dcj_px</t>
  </si>
  <si>
    <t>animation</t>
  </si>
  <si>
    <t>16,3</t>
  </si>
  <si>
    <t>8,9,12,13</t>
  </si>
  <si>
    <t>1,3,3,3</t>
  </si>
  <si>
    <t>1,2,3,4</t>
  </si>
  <si>
    <t>[0,100000]</t>
  </si>
  <si>
    <t>[[0,0],[0,0],[0,0],[0,0],[0,0]]</t>
  </si>
  <si>
    <t>冰海精灵</t>
  </si>
  <si>
    <t>ic_dcj_8</t>
  </si>
  <si>
    <t>tx_ld_bhjl_01</t>
  </si>
  <si>
    <t>ui_dcj_k_1</t>
  </si>
  <si>
    <t>1,2</t>
  </si>
  <si>
    <t>3201,3202,3203</t>
  </si>
  <si>
    <t>10000,12000,10000,12000</t>
  </si>
  <si>
    <t>0.15,0.25</t>
  </si>
  <si>
    <t>1.5,2,2.5</t>
  </si>
  <si>
    <t>tx_ld_hxsh</t>
  </si>
  <si>
    <t>[[ic_dcj_4,tx_ld_as_01,ui_dcj_k_3],[ic_dcj_21,tx_ld_shs_01,ui_dcj_k_1],[ic_dcj_17,tx_ld_bbht_01,ui_dcj_k_3],[ic_dcj_3,tx_ld_xyxkp_01,ui_dcj_k_3]]</t>
  </si>
  <si>
    <t>1|bg_caishen</t>
  </si>
  <si>
    <t>bg_caishen</t>
  </si>
  <si>
    <t>yinxiao_rukou1</t>
  </si>
  <si>
    <t>pangxie</t>
  </si>
  <si>
    <t>shihunshenyuan</t>
  </si>
  <si>
    <t>ui_dcj_shs</t>
  </si>
  <si>
    <t>12,-8</t>
  </si>
  <si>
    <t>21,12,4,3</t>
  </si>
  <si>
    <t>30,60</t>
  </si>
  <si>
    <t>[0,500000]</t>
  </si>
  <si>
    <t>雷神锤</t>
  </si>
  <si>
    <t>ic_dcj_9</t>
  </si>
  <si>
    <t>tx_ld_lsc_01</t>
  </si>
  <si>
    <t>ui_dcj_k_3</t>
  </si>
  <si>
    <t>4,5,6</t>
  </si>
  <si>
    <t>100000,120000,100000,120000</t>
  </si>
  <si>
    <t>0.3,0.5</t>
  </si>
  <si>
    <t>3,4,5</t>
  </si>
  <si>
    <t>tx_ld_jcjb</t>
  </si>
  <si>
    <t>[[ic_dcj_5,tx_ld_cs_01,ui_dcj_k_3],[ic_dcj_7,tx_ld_jc_01,ui_dcj_k_1],[ic_dcj_19,tx_ld_aybc_01,ui_dcj_k_3],[ic_dcj_18,tx_ld_jbp_01,ui_dcj_k_3]]</t>
  </si>
  <si>
    <t>1|bg_binghai</t>
  </si>
  <si>
    <t>bg_binghai</t>
  </si>
  <si>
    <t>jinchan</t>
  </si>
  <si>
    <t>anyingbaochuan</t>
  </si>
  <si>
    <t>ui_dcj_ylq</t>
  </si>
  <si>
    <t>-8,-27</t>
  </si>
  <si>
    <t>7,19,13,5</t>
  </si>
  <si>
    <t>[0,4000000]</t>
  </si>
  <si>
    <t>爆爆河豚</t>
  </si>
  <si>
    <t>ic_dcj_17</t>
  </si>
  <si>
    <t>tx_ld_bbht_01</t>
  </si>
  <si>
    <r>
      <rPr>
        <sz val="11"/>
        <color theme="1"/>
        <rFont val="微软雅黑"/>
        <family val="2"/>
        <charset val="134"/>
      </rPr>
      <t>1</t>
    </r>
    <r>
      <rPr>
        <sz val="11"/>
        <color theme="1"/>
        <rFont val="微软雅黑"/>
        <family val="2"/>
        <charset val="134"/>
      </rPr>
      <t>,2,</t>
    </r>
    <r>
      <rPr>
        <sz val="11"/>
        <color theme="1"/>
        <rFont val="微软雅黑"/>
        <family val="2"/>
        <charset val="134"/>
      </rPr>
      <t>3,4,5,6</t>
    </r>
  </si>
  <si>
    <t>tx_ld_llxk</t>
  </si>
  <si>
    <t>[[ic_dcj_6,tx_ld_xlj_01,ui_dcj_k_3],[ic_dcj_7,tx_ld_jc_01,ui_dcj_k_1],[ic_dcj_20,tx_ld_yhjh_01,ui_dcj_k_3],[ic_dcj_5,tx_ld_cs_01,ui_dcj_k_3]]</t>
  </si>
  <si>
    <t>1|bg_longjing</t>
  </si>
  <si>
    <t>bg_longjing</t>
  </si>
  <si>
    <t>xuanlongjing</t>
  </si>
  <si>
    <t>yuhuofenghuang</t>
  </si>
  <si>
    <t>ui_dcj_fh</t>
  </si>
  <si>
    <t>35,15</t>
  </si>
  <si>
    <t>7,20,5,6</t>
  </si>
  <si>
    <t>[0,60000000]</t>
  </si>
  <si>
    <t>聚宝盆</t>
  </si>
  <si>
    <t>ic_dcj_18</t>
  </si>
  <si>
    <t>tx_ld_jbp_01</t>
  </si>
  <si>
    <t>tx_ld_jjc</t>
  </si>
  <si>
    <t>[[ic_dcj_15,tx_ld_pm_01,ui_dcj_k_1],[ic_dcj_14,tx_ld_zd_01,ui_dcj_k_3],[ic_dcj_16,tx_ld_xyjf_01,ui_dcj_k_3],[ic_dcj_12,tx_ld_pb_02,ui_dcj_k_3]]</t>
  </si>
  <si>
    <t>1|bg_jingji</t>
  </si>
  <si>
    <t>bg_jingji</t>
  </si>
  <si>
    <t>jingjichang</t>
  </si>
  <si>
    <t>0,0</t>
  </si>
  <si>
    <t>8,9,10,11</t>
  </si>
  <si>
    <t>tx_ld_hdzc</t>
  </si>
  <si>
    <t>1|bg_kongqi</t>
  </si>
  <si>
    <t>bg_kongqi</t>
  </si>
  <si>
    <t>anim_guoneilonggui</t>
  </si>
  <si>
    <t>longwangzhuanchang</t>
  </si>
  <si>
    <t>0,30</t>
  </si>
  <si>
    <t>艾莎</t>
  </si>
  <si>
    <t>ic_dcj_4</t>
  </si>
  <si>
    <t>tx_ld_as_01</t>
  </si>
  <si>
    <t>tx_ld_zysl</t>
  </si>
  <si>
    <t>1|bg_shenglong</t>
  </si>
  <si>
    <t>bg_shenglong</t>
  </si>
  <si>
    <t>panlongshenyu</t>
  </si>
  <si>
    <t>ui_dcj_jl</t>
  </si>
  <si>
    <t>噬魂鲨</t>
  </si>
  <si>
    <t>ic_dcj_21</t>
  </si>
  <si>
    <t>tx_ld_shs_01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</si>
  <si>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</si>
  <si>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</si>
  <si>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</si>
  <si>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</si>
  <si>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</si>
  <si>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</si>
  <si>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</si>
  <si>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</si>
  <si>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</si>
  <si>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暗影宝船</t>
  </si>
  <si>
    <t>ic_dcj_19</t>
  </si>
  <si>
    <t>tx_ld_aybc_01</t>
  </si>
  <si>
    <t>福卡来袭</t>
  </si>
  <si>
    <t>ic_dcj_2_1</t>
  </si>
  <si>
    <t>tx_ld_fklx_01</t>
  </si>
  <si>
    <t>玄龙鲸</t>
  </si>
  <si>
    <t>ic_dcj_6</t>
  </si>
  <si>
    <t>tx_ld_xlj_01</t>
  </si>
  <si>
    <t>浴火金凰</t>
  </si>
  <si>
    <t>ic_dcj_20</t>
  </si>
  <si>
    <t>tx_ld_yhjh_01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</si>
  <si>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</si>
  <si>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</si>
  <si>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</si>
  <si>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</si>
  <si>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</si>
  <si>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</si>
  <si>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</si>
  <si>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</si>
  <si>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</si>
  <si>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ic_dcj_12</t>
  </si>
  <si>
    <t>tx_ld_pb_02</t>
  </si>
  <si>
    <t>核弹形象</t>
  </si>
  <si>
    <t>ic_dcj_13</t>
  </si>
  <si>
    <t>tx_ld_hjyhzz_01</t>
  </si>
  <si>
    <t>通用炮形象</t>
  </si>
  <si>
    <t>tx_ld_pb_01</t>
  </si>
  <si>
    <t>key</t>
  </si>
  <si>
    <t>time</t>
  </si>
  <si>
    <t>roomtype</t>
  </si>
  <si>
    <t>supplement</t>
  </si>
  <si>
    <t>supplySeat</t>
  </si>
  <si>
    <t>room1</t>
  </si>
  <si>
    <t>roomfor1</t>
  </si>
  <si>
    <t>room2</t>
  </si>
  <si>
    <t>roomfor2</t>
  </si>
  <si>
    <t>room3</t>
  </si>
  <si>
    <t>roomfor3</t>
  </si>
  <si>
    <t>room4</t>
  </si>
  <si>
    <t>roomfor4</t>
  </si>
  <si>
    <t>room5</t>
  </si>
  <si>
    <t>roomfor5</t>
  </si>
  <si>
    <t>room6</t>
  </si>
  <si>
    <t>roomfor6</t>
  </si>
  <si>
    <t>room7</t>
  </si>
  <si>
    <t>roomfor7</t>
  </si>
  <si>
    <t>room8</t>
  </si>
  <si>
    <t>roomfor8</t>
  </si>
  <si>
    <t>room9</t>
  </si>
  <si>
    <t>roomfor9</t>
  </si>
  <si>
    <t>room10</t>
  </si>
  <si>
    <t>roomfor10</t>
  </si>
  <si>
    <t>序号</t>
  </si>
  <si>
    <t>时间类型
一般白天：早上8点至凌晨2点
一般晚上：凌晨2点至早8点
x，y格式为x点到y点
左闭右开</t>
  </si>
  <si>
    <t>主题房间编号</t>
  </si>
  <si>
    <t>空闲房间在什么范围时进行补充
区间：
240以上
160~240
0~160</t>
  </si>
  <si>
    <t>补充多少个房间
左闭右开</t>
  </si>
  <si>
    <t>第1区分配多少房间</t>
  </si>
  <si>
    <t>第1区前8个房间随机补充数量</t>
  </si>
  <si>
    <t>第2区分配多少房间</t>
  </si>
  <si>
    <t>第2区前8个房间随机补充数量</t>
  </si>
  <si>
    <t>第3区分配多少房间</t>
  </si>
  <si>
    <t>第3区前八个房间随机补充数量</t>
  </si>
  <si>
    <t>第4区分配多少房间</t>
  </si>
  <si>
    <t>第4区前八个房间随机补充数量</t>
  </si>
  <si>
    <t>第5区分配多少房间</t>
  </si>
  <si>
    <t>第5区前八个房间随机补充数量</t>
  </si>
  <si>
    <t>第6区分配多少房间</t>
  </si>
  <si>
    <t>第6区前八个房间随机补充数量</t>
  </si>
  <si>
    <t>第7区分配多少房间</t>
  </si>
  <si>
    <t>第7区前八个房间随机补充数量</t>
  </si>
  <si>
    <t>第8区分配多少房间</t>
  </si>
  <si>
    <t>第8区前八个房间随机补充数量</t>
  </si>
  <si>
    <t>第9区分配多少房间</t>
  </si>
  <si>
    <t>第9区前八个房间随机补充数量</t>
  </si>
  <si>
    <t>第10区分配多少房间</t>
  </si>
  <si>
    <t>第10区前八个房间随机补充数量</t>
  </si>
  <si>
    <t>8,2</t>
  </si>
  <si>
    <t>60,90</t>
  </si>
  <si>
    <t>12,17</t>
  </si>
  <si>
    <t>4,7</t>
  </si>
  <si>
    <t>10,15</t>
  </si>
  <si>
    <t>4,5</t>
  </si>
  <si>
    <t>10,13</t>
  </si>
  <si>
    <t>4,6</t>
  </si>
  <si>
    <t>8,11</t>
  </si>
  <si>
    <t>6,10</t>
  </si>
  <si>
    <t>3,6</t>
  </si>
  <si>
    <t>4,9</t>
  </si>
  <si>
    <t>2,5</t>
  </si>
  <si>
    <t>1,3</t>
  </si>
  <si>
    <t>0,1</t>
  </si>
  <si>
    <t>20,60</t>
  </si>
  <si>
    <t>8,14</t>
  </si>
  <si>
    <t>6,12</t>
  </si>
  <si>
    <t>4,8</t>
  </si>
  <si>
    <t>1,5</t>
  </si>
  <si>
    <t>2,4</t>
  </si>
  <si>
    <t>2,8</t>
  </si>
  <si>
    <t>40,50</t>
  </si>
  <si>
    <t>8,12</t>
  </si>
  <si>
    <t>25,40</t>
  </si>
  <si>
    <t>8,10</t>
  </si>
  <si>
    <t>15,45</t>
  </si>
  <si>
    <t>4,10</t>
  </si>
  <si>
    <t>钻石</t>
  </si>
  <si>
    <t>超级武器4</t>
  </si>
  <si>
    <t>String</t>
  </si>
  <si>
    <t>超级武器2</t>
  </si>
  <si>
    <t>福卡</t>
  </si>
  <si>
    <t>level</t>
  </si>
  <si>
    <t>exp</t>
  </si>
  <si>
    <t>growUp</t>
  </si>
  <si>
    <t>buyGrowup</t>
  </si>
  <si>
    <t>ReK3</t>
  </si>
  <si>
    <t>开炮次数/s</t>
  </si>
  <si>
    <t>奖励1</t>
  </si>
  <si>
    <t>奖励2</t>
  </si>
  <si>
    <t>奖励3</t>
  </si>
  <si>
    <t>超级武器3</t>
  </si>
  <si>
    <t>金币</t>
  </si>
  <si>
    <t>系统馈赠的福卡金币价值按照500金币=1福卡</t>
  </si>
  <si>
    <t>用户等级</t>
  </si>
  <si>
    <r>
      <rPr>
        <sz val="8"/>
        <color theme="1"/>
        <rFont val="微软雅黑"/>
        <family val="2"/>
        <charset val="134"/>
      </rPr>
      <t xml:space="preserve">当前级升级到下一等级所需经验值
</t>
    </r>
    <r>
      <rPr>
        <b/>
        <sz val="8"/>
        <color rgb="FF7030A0"/>
        <rFont val="微软雅黑"/>
        <family val="2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</si>
  <si>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</si>
  <si>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福利
成长奖励</t>
  </si>
  <si>
    <t>福利
基金奖励</t>
  </si>
  <si>
    <t>方案C
用户升级后会增加库存</t>
  </si>
  <si>
    <t>当前等级规划的
停留时间/分钟</t>
  </si>
  <si>
    <t>游戏总时长/分钟
未考虑演出阶段</t>
  </si>
  <si>
    <t>天数：
1天按照4小时考虑</t>
  </si>
  <si>
    <t>能量E</t>
  </si>
  <si>
    <t>获得经验
/分钟</t>
  </si>
  <si>
    <t>当前等级
经验</t>
  </si>
  <si>
    <t>物品名称</t>
  </si>
  <si>
    <t>物品类型</t>
  </si>
  <si>
    <t>物品id</t>
  </si>
  <si>
    <t>数量</t>
  </si>
  <si>
    <r>
      <rPr>
        <b/>
        <sz val="11"/>
        <color theme="1"/>
        <rFont val="微软雅黑"/>
        <family val="2"/>
        <charset val="134"/>
      </rPr>
      <t>成长基金
成长奖励</t>
    </r>
    <r>
      <rPr>
        <sz val="11"/>
        <color theme="1"/>
        <rFont val="微软雅黑"/>
        <family val="2"/>
        <charset val="134"/>
      </rPr>
      <t xml:space="preserve">
物品名称</t>
    </r>
  </si>
  <si>
    <t>金币价值</t>
  </si>
  <si>
    <t>成长基金
基金奖励
物品名称</t>
  </si>
  <si>
    <t>8.21等级停留时间重新验算</t>
  </si>
  <si>
    <t>锁定</t>
  </si>
  <si>
    <t>冰冻</t>
  </si>
  <si>
    <t/>
  </si>
  <si>
    <t>按照演出金币计算玩家节奏</t>
  </si>
  <si>
    <t>召唤</t>
  </si>
  <si>
    <t>狂暴</t>
  </si>
  <si>
    <t>7.14奖品区间也需要重新调整</t>
  </si>
  <si>
    <t>最新备注</t>
  </si>
  <si>
    <t>暂时没做验算，初级赐福物品搭配一些没有实际金币价值的物品</t>
  </si>
  <si>
    <t>抽奖等获得的福卡按照5000金币=1福卡</t>
  </si>
  <si>
    <t>fileLocation</t>
  </si>
  <si>
    <t>roomjump</t>
  </si>
  <si>
    <t>name</t>
  </si>
  <si>
    <t>downLimit</t>
  </si>
  <si>
    <t>upLimit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</si>
  <si>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</si>
  <si>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</si>
  <si>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</si>
  <si>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</si>
  <si>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</si>
  <si>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</si>
  <si>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</si>
  <si>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</si>
  <si>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</si>
  <si>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</si>
  <si>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</si>
  <si>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</si>
  <si>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</si>
  <si>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</si>
  <si>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</si>
  <si>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</si>
  <si>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</si>
  <si>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</si>
  <si>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</si>
  <si>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</si>
  <si>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</si>
  <si>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</si>
  <si>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</si>
  <si>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</si>
  <si>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</si>
  <si>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</si>
  <si>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</si>
  <si>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</si>
  <si>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</si>
  <si>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</si>
  <si>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</si>
  <si>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</si>
  <si>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</si>
  <si>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</si>
  <si>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</si>
  <si>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</si>
  <si>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</si>
  <si>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</si>
  <si>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</si>
  <si>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</si>
  <si>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</si>
  <si>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</si>
  <si>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</si>
  <si>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</si>
  <si>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</si>
  <si>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</si>
  <si>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</si>
  <si>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</si>
  <si>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</si>
  <si>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</si>
  <si>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</si>
  <si>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</si>
  <si>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</si>
  <si>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</si>
  <si>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</si>
  <si>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</si>
  <si>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</si>
  <si>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</si>
  <si>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</si>
  <si>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</si>
  <si>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</si>
  <si>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</si>
  <si>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</si>
  <si>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</si>
  <si>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</si>
  <si>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</si>
  <si>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</si>
  <si>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</si>
  <si>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</si>
  <si>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</si>
  <si>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</si>
  <si>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</si>
  <si>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</si>
  <si>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</si>
  <si>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</si>
  <si>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</si>
  <si>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</si>
  <si>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</si>
  <si>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</si>
  <si>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</si>
  <si>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</si>
  <si>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</si>
  <si>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</si>
  <si>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</si>
  <si>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</si>
  <si>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</si>
  <si>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</si>
  <si>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</si>
  <si>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</si>
  <si>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</si>
  <si>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</si>
  <si>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</si>
  <si>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额外奖励</t>
  </si>
  <si>
    <t>兑出按照1000福卡=15万金币，狂暴等道具按照金币价值来</t>
  </si>
  <si>
    <t>1000福卡=1元</t>
  </si>
  <si>
    <t>档位
1,普通抽奖；2白银抽奖；
3黄金抽奖；4铂金抽奖；
5钻石抽奖；6水晶抽奖；
7.玉石抽奖；8.至尊抽奖;</t>
  </si>
  <si>
    <r>
      <rPr>
        <sz val="9"/>
        <color theme="1"/>
        <rFont val="微软雅黑"/>
        <family val="2"/>
        <charset val="134"/>
      </rPr>
      <t>解锁档位需要进入的房间，及跳转
1新手,2初级
3中级,4高级</t>
    </r>
    <r>
      <rPr>
        <sz val="9"/>
        <color rgb="FFFF0000"/>
        <rFont val="微软雅黑"/>
        <family val="2"/>
        <charset val="134"/>
      </rPr>
      <t>,7顶级</t>
    </r>
    <r>
      <rPr>
        <sz val="9"/>
        <color theme="1"/>
        <rFont val="微软雅黑"/>
        <family val="2"/>
        <charset val="134"/>
      </rPr>
      <t xml:space="preserve">
5竞技场,6弹头场
（空为都有，不需要跳转房间）（多个房间时，优先跳低倍房间）（客户端和服务端相反描述，客户端在前，服务端在后，两个数组）</t>
    </r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</si>
  <si>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</si>
  <si>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</si>
  <si>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</si>
  <si>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</si>
  <si>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</si>
  <si>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</si>
  <si>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</si>
  <si>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</si>
  <si>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</si>
  <si>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</si>
  <si>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</si>
  <si>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</si>
  <si>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x为外置led，y为内置led；y只能配置0或3</t>
  </si>
  <si>
    <t>2
看广告能额外奖励
对应的金币价值</t>
  </si>
  <si>
    <t xml:space="preserve">2物品触发看广告的概率
</t>
  </si>
  <si>
    <t>3
看广告能额外奖励
对应的金币价值</t>
  </si>
  <si>
    <t>是否进入led播放：
0不进入
1进入B类led
2进入B+类led
3进入内置led播放；
注意，格式为x，y
x为外置led，y为内置led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</si>
  <si>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</si>
  <si>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</si>
  <si>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</si>
  <si>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</si>
  <si>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</si>
  <si>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</si>
  <si>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</si>
  <si>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</si>
  <si>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</si>
  <si>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</si>
  <si>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否进入led播放：
0不进入
1进入B类led
2进入B+类led
3进入内置led播放；
注意，格式为x，y
x为外置led，y为内置led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</si>
  <si>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</si>
  <si>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</si>
  <si>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</si>
  <si>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</si>
  <si>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</si>
  <si>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</si>
  <si>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</si>
  <si>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</si>
  <si>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</si>
  <si>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</si>
  <si>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family val="2"/>
        <charset val="134"/>
      </rPr>
      <t>本次看广告
能额外奖励时</t>
    </r>
    <r>
      <rPr>
        <sz val="10"/>
        <color theme="1"/>
        <rFont val="微软雅黑"/>
        <family val="2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</si>
  <si>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</si>
  <si>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family val="2"/>
        <charset val="134"/>
      </rPr>
      <t>标准金币价值</t>
    </r>
    <r>
      <rPr>
        <sz val="8"/>
        <color theme="1"/>
        <rFont val="微软雅黑"/>
        <family val="2"/>
        <charset val="134"/>
      </rPr>
      <t xml:space="preserve">
（本次看广告
不能额外奖励时
金币价值）</t>
    </r>
  </si>
  <si>
    <r>
      <rPr>
        <sz val="10"/>
        <color theme="1"/>
        <rFont val="微软雅黑"/>
        <family val="2"/>
        <charset val="134"/>
      </rPr>
      <t xml:space="preserve">是否重要
</t>
    </r>
    <r>
      <rPr>
        <sz val="10"/>
        <color rgb="FFFF0000"/>
        <rFont val="微软雅黑"/>
        <family val="2"/>
        <charset val="134"/>
      </rPr>
      <t>0不重要
1重要</t>
    </r>
  </si>
  <si>
    <t>获得额外
奖励的概率</t>
  </si>
  <si>
    <t>物品展示位置
左侧中间高档奖品为1号位，顺时针顺位</t>
  </si>
  <si>
    <t>人民币价值</t>
  </si>
  <si>
    <t>价值
钻石价值</t>
  </si>
  <si>
    <t>价值加成</t>
  </si>
  <si>
    <t>[[],[2,3,4,6,7]]</t>
  </si>
  <si>
    <t>choujiang_lv1</t>
  </si>
  <si>
    <t>0,3</t>
  </si>
  <si>
    <t>人民币</t>
  </si>
  <si>
    <t>choujiang_lv2</t>
  </si>
  <si>
    <t>choujiang_lv3</t>
  </si>
  <si>
    <t>2,3</t>
  </si>
  <si>
    <t>choujiang_lv4</t>
  </si>
  <si>
    <t>choujiang_lv5</t>
  </si>
  <si>
    <t>choujiang_lv6</t>
  </si>
  <si>
    <t>[[4,6,7],[4,6,7]]</t>
  </si>
  <si>
    <t>choujiang_lv7</t>
  </si>
  <si>
    <t>[[6],[6]]</t>
  </si>
  <si>
    <t>choujiang_lv8</t>
  </si>
  <si>
    <t>超级武器1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</si>
  <si>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</si>
  <si>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</si>
  <si>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</si>
  <si>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</si>
  <si>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</si>
  <si>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</si>
  <si>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</si>
  <si>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</si>
  <si>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</si>
  <si>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</si>
  <si>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</si>
  <si>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</si>
  <si>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</si>
  <si>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买单券</t>
  </si>
  <si>
    <t>超级武器碎片1</t>
  </si>
  <si>
    <t>超级武器碎片2</t>
  </si>
  <si>
    <t>超级武器碎片3</t>
  </si>
  <si>
    <t>超级武器碎片4</t>
  </si>
  <si>
    <t>金币价值（原）</t>
  </si>
  <si>
    <t>reward</t>
  </si>
  <si>
    <t>goldValue</t>
  </si>
  <si>
    <t>breakDropRoom</t>
  </si>
  <si>
    <t>catchDropRoom</t>
  </si>
  <si>
    <t>奖品编号</t>
  </si>
  <si>
    <t>奖励</t>
  </si>
  <si>
    <t>击破掉落房间</t>
  </si>
  <si>
    <t>捕获掉落房间</t>
  </si>
  <si>
    <t>道具名称</t>
  </si>
  <si>
    <t>类型</t>
  </si>
  <si>
    <t>ID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</si>
  <si>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</si>
  <si>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</si>
  <si>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</si>
  <si>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</si>
  <si>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</si>
  <si>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</si>
  <si>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</si>
  <si>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</si>
  <si>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</si>
  <si>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</si>
  <si>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</si>
  <si>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</si>
  <si>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</si>
  <si>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</si>
  <si>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</si>
  <si>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</si>
  <si>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</si>
  <si>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</si>
  <si>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</si>
  <si>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</si>
  <si>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</si>
  <si>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</si>
  <si>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family val="2"/>
        <charset val="134"/>
      </rPr>
      <t>掉落权重/概率
如果dropType是1类型是</t>
    </r>
    <r>
      <rPr>
        <sz val="8"/>
        <color rgb="FFFF0000"/>
        <rFont val="微软雅黑"/>
        <family val="2"/>
        <charset val="134"/>
      </rPr>
      <t>概率，划分每个物品的区间</t>
    </r>
    <r>
      <rPr>
        <sz val="8"/>
        <color theme="1"/>
        <rFont val="微软雅黑"/>
        <family val="2"/>
        <charset val="134"/>
      </rPr>
      <t xml:space="preserve">
如果dropType是2类型则对应真实的概率</t>
    </r>
  </si>
  <si>
    <r>
      <rPr>
        <sz val="11"/>
        <color theme="1"/>
        <rFont val="微软雅黑"/>
        <family val="2"/>
        <charset val="134"/>
      </rPr>
      <t xml:space="preserve">互斥概率验算
</t>
    </r>
    <r>
      <rPr>
        <sz val="9"/>
        <color theme="1"/>
        <rFont val="微软雅黑"/>
        <family val="2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</si>
  <si>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</si>
  <si>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</si>
  <si>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</si>
  <si>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</si>
  <si>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</si>
  <si>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</si>
  <si>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</si>
  <si>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</si>
  <si>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</si>
  <si>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</si>
  <si>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</si>
  <si>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</si>
  <si>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1|1|20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</si>
  <si>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</si>
  <si>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</si>
  <si>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</si>
  <si>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</si>
  <si>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</si>
  <si>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</si>
  <si>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</si>
  <si>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</si>
  <si>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</si>
  <si>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</si>
  <si>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</si>
  <si>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</si>
  <si>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</si>
  <si>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</si>
  <si>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</si>
  <si>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</si>
  <si>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活跃度抽奖宝箱</t>
  </si>
  <si>
    <t>1|2|288888</t>
  </si>
  <si>
    <t>2|1001|5</t>
  </si>
  <si>
    <t>2|1004|5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</si>
  <si>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</si>
  <si>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</si>
  <si>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</si>
  <si>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</si>
  <si>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</si>
  <si>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</si>
  <si>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</si>
  <si>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</si>
  <si>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</si>
  <si>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</si>
  <si>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</si>
  <si>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</si>
  <si>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</si>
  <si>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</si>
  <si>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</si>
  <si>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</si>
  <si>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</si>
  <si>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</si>
  <si>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</si>
  <si>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</si>
  <si>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</si>
  <si>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</si>
  <si>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</si>
  <si>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</si>
  <si>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</si>
  <si>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</si>
  <si>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</si>
  <si>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</si>
  <si>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</si>
  <si>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</si>
  <si>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</si>
  <si>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</si>
  <si>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</si>
  <si>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</si>
  <si>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</si>
  <si>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</si>
  <si>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</si>
  <si>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能量</t>
  </si>
  <si>
    <t>2|1001|3</t>
  </si>
  <si>
    <t>2|1004|3</t>
  </si>
  <si>
    <t>2|1002|4</t>
  </si>
  <si>
    <t>2|1204|20</t>
  </si>
  <si>
    <t>2|1204|10</t>
  </si>
  <si>
    <t>存钱罐抽取掉落</t>
  </si>
  <si>
    <t>兑出按照1000福卡=15万金币（即150金币=1福卡），狂暴等道具按照金币价值来</t>
  </si>
  <si>
    <t>exchangeType</t>
  </si>
  <si>
    <t>item</t>
  </si>
  <si>
    <t>shopType</t>
  </si>
  <si>
    <t>group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</si>
  <si>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</si>
  <si>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</si>
  <si>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</si>
  <si>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</si>
  <si>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</si>
  <si>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</si>
  <si>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</si>
  <si>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</si>
  <si>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</si>
  <si>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</si>
  <si>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 xml:space="preserve">兑换物品所在组
组1，没有话费直冲卡的兑换物品组  、组2，有50、30元话费直冲卡的组
组3，提审状态下的兑换组
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</si>
  <si>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</si>
  <si>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</si>
  <si>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</si>
  <si>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</si>
  <si>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</si>
  <si>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</si>
  <si>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</si>
  <si>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</si>
  <si>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区分第一个30天和第二个30天</t>
  </si>
  <si>
    <t>times</t>
  </si>
  <si>
    <t>type</t>
  </si>
  <si>
    <t>itemId</t>
  </si>
  <si>
    <t>novice</t>
  </si>
  <si>
    <t>vip</t>
  </si>
  <si>
    <t>ReK4</t>
  </si>
  <si>
    <t>第n次</t>
  </si>
  <si>
    <t>所属周期
1表示第1个周期
2表示第2个周期
最后一个周期做循环</t>
  </si>
  <si>
    <r>
      <rPr>
        <sz val="8"/>
        <color theme="1"/>
        <rFont val="微软雅黑"/>
        <family val="2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family val="2"/>
        <charset val="134"/>
      </rPr>
      <t>1~9</t>
    </r>
  </si>
  <si>
    <t xml:space="preserve">不同VIP等级在每天翻的倍数
数组格式：[x,y]中，x表示VIP等级，y表示翻的倍数
</t>
  </si>
  <si>
    <t>签到增加库存</t>
  </si>
  <si>
    <t>贵重物品标识
旧版</t>
  </si>
  <si>
    <t>翻倍平均值</t>
  </si>
  <si>
    <t>新手翻倍
期望值</t>
  </si>
  <si>
    <t>[[2,2],[5,3],[7,4],[10,5]]</t>
  </si>
  <si>
    <t>[100000,300000]</t>
  </si>
  <si>
    <t>金币总量</t>
  </si>
  <si>
    <t>钻石总量</t>
  </si>
  <si>
    <t>3,7</t>
  </si>
  <si>
    <t>锁定总量</t>
  </si>
  <si>
    <t>狂暴总量</t>
  </si>
  <si>
    <t>2,6</t>
  </si>
  <si>
    <t>items</t>
  </si>
  <si>
    <t>第n天</t>
  </si>
  <si>
    <t>达到vipx后可再领取一份</t>
  </si>
  <si>
    <t>金币
价值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</si>
  <si>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</si>
  <si>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</si>
  <si>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</si>
  <si>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</si>
  <si>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</si>
  <si>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family val="2"/>
        <charset val="134"/>
      </rPr>
      <t xml:space="preserve">房间最大排名
</t>
    </r>
    <r>
      <rPr>
        <sz val="9"/>
        <color rgb="FFFF0000"/>
        <rFont val="微软雅黑"/>
        <family val="2"/>
        <charset val="134"/>
      </rPr>
      <t>-1表示额外奖励</t>
    </r>
  </si>
  <si>
    <t>房间id
1新手,2初级
3中级,4高级
5竞技场,6核弹专场</t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</si>
  <si>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</si>
  <si>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</si>
  <si>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</si>
  <si>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</si>
  <si>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</si>
  <si>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</si>
  <si>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1</t>
  </si>
  <si>
    <t>2|1204|6000</t>
  </si>
  <si>
    <t>Billfangshi30</t>
  </si>
  <si>
    <t>填写在第1档奖励对应的行</t>
  </si>
  <si>
    <t>2</t>
  </si>
  <si>
    <t>1|2|200000</t>
  </si>
  <si>
    <t>3</t>
  </si>
  <si>
    <t>4</t>
  </si>
  <si>
    <t>5</t>
  </si>
  <si>
    <t>1|2|50000</t>
  </si>
  <si>
    <t>6</t>
  </si>
  <si>
    <t>1|2|25000</t>
  </si>
  <si>
    <t>2|1007|1</t>
  </si>
  <si>
    <t>2|1204|15000</t>
  </si>
  <si>
    <t>Billfangshi300</t>
  </si>
  <si>
    <t>1|2|300000</t>
  </si>
  <si>
    <t>7</t>
  </si>
  <si>
    <t>10</t>
  </si>
  <si>
    <t>1|2|20000</t>
  </si>
  <si>
    <t>2|1008|1</t>
  </si>
  <si>
    <t>2|1204|30000</t>
  </si>
  <si>
    <t>1|2|750000</t>
  </si>
  <si>
    <t>1|2|500000</t>
  </si>
  <si>
    <t>1|2|350000</t>
  </si>
  <si>
    <t>1|2|250000</t>
  </si>
  <si>
    <t>1|2|60000</t>
  </si>
  <si>
    <t>捕获boss后翻N倍奖励的玩法</t>
  </si>
  <si>
    <t>基础值</t>
  </si>
  <si>
    <t>gold</t>
  </si>
  <si>
    <t>pro</t>
  </si>
  <si>
    <t>rechargeHit</t>
  </si>
  <si>
    <t>期望值</t>
  </si>
  <si>
    <t>档位</t>
  </si>
  <si>
    <t>捕获获得金币</t>
  </si>
  <si>
    <t>该档位对应的概率</t>
  </si>
  <si>
    <t>充值体验阶段不破产必中
0不可以必中
1可必中</t>
  </si>
  <si>
    <t>倍率</t>
  </si>
  <si>
    <t>权重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</si>
  <si>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</si>
  <si>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</si>
  <si>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</si>
  <si>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</si>
  <si>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</si>
  <si>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</si>
  <si>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</si>
  <si>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</si>
  <si>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</si>
  <si>
    <t>1话费对应的金币价值鱼玩家持有话费券关系</t>
  </si>
  <si>
    <t>billRange</t>
  </si>
  <si>
    <t>value</t>
  </si>
  <si>
    <r>
      <rPr>
        <sz val="8"/>
        <color theme="1"/>
        <rFont val="微软雅黑"/>
        <family val="2"/>
        <charset val="134"/>
      </rPr>
      <t>玩家持有话费券数量</t>
    </r>
    <r>
      <rPr>
        <sz val="8"/>
        <color rgb="FFFF0000"/>
        <rFont val="微软雅黑"/>
        <family val="2"/>
        <charset val="134"/>
      </rPr>
      <t>(兑换商城显示数量)</t>
    </r>
    <r>
      <rPr>
        <sz val="8"/>
        <color theme="1"/>
        <rFont val="微软雅黑"/>
        <family val="2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</si>
  <si>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</si>
  <si>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</si>
  <si>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</si>
  <si>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</si>
  <si>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</si>
  <si>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</si>
  <si>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</si>
  <si>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</si>
  <si>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</si>
  <si>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</si>
  <si>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</si>
  <si>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</si>
  <si>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</si>
  <si>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</si>
  <si>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</si>
  <si>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</si>
  <si>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</si>
  <si>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</si>
  <si>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</si>
  <si>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</si>
  <si>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</si>
  <si>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family val="2"/>
        <charset val="134"/>
      </rPr>
      <t xml:space="preserve">占领期间奖励频率/毫秒
</t>
    </r>
    <r>
      <rPr>
        <b/>
        <sz val="8"/>
        <color rgb="FFFF0000"/>
        <rFont val="微软雅黑"/>
        <family val="2"/>
        <charset val="134"/>
      </rPr>
      <t>废弃</t>
    </r>
  </si>
  <si>
    <t>占领期间单次奖励积分数量
废弃</t>
  </si>
  <si>
    <r>
      <rPr>
        <sz val="8"/>
        <color rgb="FFFF0000"/>
        <rFont val="微软雅黑"/>
        <family val="2"/>
        <charset val="134"/>
      </rPr>
      <t xml:space="preserve">护航奖励
话费赛积分
</t>
    </r>
    <r>
      <rPr>
        <b/>
        <sz val="8"/>
        <color rgb="FFFF0000"/>
        <rFont val="微软雅黑"/>
        <family val="2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</si>
  <si>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</si>
  <si>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</si>
  <si>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</si>
  <si>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</si>
  <si>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</si>
  <si>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</si>
  <si>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</si>
  <si>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</si>
  <si>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</si>
  <si>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family val="2"/>
        <charset val="134"/>
      </rPr>
      <t>人民币价值</t>
    </r>
    <r>
      <rPr>
        <sz val="10"/>
        <color rgb="FFFF0000"/>
        <rFont val="微软雅黑"/>
        <family val="2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</si>
  <si>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</si>
  <si>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</si>
  <si>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</si>
  <si>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</si>
  <si>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</si>
  <si>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</si>
  <si>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</si>
  <si>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</si>
  <si>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</si>
  <si>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</si>
  <si>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</si>
  <si>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</si>
  <si>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</si>
  <si>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</si>
  <si>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</si>
  <si>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</si>
  <si>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</si>
  <si>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</si>
  <si>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t>3,4,7</t>
  </si>
  <si>
    <t>4,7</t>
    <phoneticPr fontId="40" type="noConversion"/>
  </si>
  <si>
    <t>4,7</t>
    <phoneticPr fontId="40" type="noConversion"/>
  </si>
  <si>
    <t>4,7</t>
    <phoneticPr fontId="40" type="noConversion"/>
  </si>
  <si>
    <t>4,7</t>
    <phoneticPr fontId="40" type="noConversion"/>
  </si>
  <si>
    <t>4,7</t>
    <phoneticPr fontId="40" type="noConversion"/>
  </si>
  <si>
    <t>召唤(房间2击破）</t>
    <phoneticPr fontId="40" type="noConversion"/>
  </si>
  <si>
    <t>锁定(房间2击破）</t>
    <phoneticPr fontId="40" type="noConversion"/>
  </si>
  <si>
    <t>冰冻(房间2击破）</t>
    <phoneticPr fontId="40" type="noConversion"/>
  </si>
  <si>
    <t>击破道具单次价值</t>
    <phoneticPr fontId="40" type="noConversion"/>
  </si>
  <si>
    <t>捕获道具单次价值</t>
    <phoneticPr fontId="40" type="noConversion"/>
  </si>
  <si>
    <t>房间1</t>
    <phoneticPr fontId="40" type="noConversion"/>
  </si>
  <si>
    <t>房间2</t>
    <phoneticPr fontId="40" type="noConversion"/>
  </si>
  <si>
    <t>房间3</t>
    <phoneticPr fontId="40" type="noConversion"/>
  </si>
  <si>
    <t>房间4,房间7</t>
    <phoneticPr fontId="40" type="noConversion"/>
  </si>
  <si>
    <t>击破平均分值</t>
    <phoneticPr fontId="40" type="noConversion"/>
  </si>
  <si>
    <t>击破道具价值</t>
    <phoneticPr fontId="40" type="noConversion"/>
  </si>
  <si>
    <t>捕获平均分值</t>
    <phoneticPr fontId="40" type="noConversion"/>
  </si>
  <si>
    <t>捕获道具价值占比</t>
    <phoneticPr fontId="40" type="noConversion"/>
  </si>
  <si>
    <t>抽奖次数</t>
    <phoneticPr fontId="40" type="noConversion"/>
  </si>
  <si>
    <r>
      <t>2~</t>
    </r>
    <r>
      <rPr>
        <sz val="11"/>
        <color theme="1"/>
        <rFont val="宋体"/>
        <family val="3"/>
        <charset val="134"/>
        <scheme val="minor"/>
      </rPr>
      <t>4</t>
    </r>
    <phoneticPr fontId="40" type="noConversion"/>
  </si>
  <si>
    <t>击破价值不够，额外配置了价格低的道具</t>
    <phoneticPr fontId="40" type="noConversion"/>
  </si>
  <si>
    <t>2,3</t>
    <phoneticPr fontId="40" type="noConversion"/>
  </si>
  <si>
    <t>3,4,7</t>
    <phoneticPr fontId="40" type="noConversion"/>
  </si>
  <si>
    <t>进入房间默认炮倍
后续保存玩家使用炮倍</t>
    <phoneticPr fontId="40" type="noConversion"/>
  </si>
  <si>
    <t>morenPao</t>
    <phoneticPr fontId="40" type="noConversion"/>
  </si>
  <si>
    <t>[[-1,20]]</t>
    <phoneticPr fontId="40" type="noConversion"/>
  </si>
  <si>
    <t>进入房间默认炮倍，在当前房间允许的炮倍档位下：
，[g,A],表示金币小于g的选取A炮倍，g=-1表示不受房间限制</t>
    <phoneticPr fontId="40" type="noConversion"/>
  </si>
  <si>
    <t>[[-1,200]]</t>
    <phoneticPr fontId="40" type="noConversion"/>
  </si>
  <si>
    <t>[[50000000,10000],[150000000,20000],[200000000,40000],[250000000,60000],[300000000,80000],[350000000,100000],[500000000,150000],[650000000,200000],[800000000,250000],[950000000,300000],[1050000000,350000],[1200000000,400000],[1350000000,450000]]</t>
    <phoneticPr fontId="40" type="noConversion"/>
  </si>
  <si>
    <t>[[150000000,20000],[200000000,40000],[250000000,60000],[300000000,80000],[350000000,100000],[500000000,150000],[650000000,200000],[800000000,250000],[950000000,300000],[1050000000,350000],[1200000000,400000],[1350000000,450000]]</t>
    <phoneticPr fontId="40" type="noConversion"/>
  </si>
  <si>
    <t>[[-1,2000]]</t>
    <phoneticPr fontId="40" type="noConversion"/>
  </si>
  <si>
    <t>1,3,4</t>
    <phoneticPr fontId="40" type="noConversion"/>
  </si>
  <si>
    <t>1,3,4</t>
    <phoneticPr fontId="40" type="noConversion"/>
  </si>
  <si>
    <t>1,3,4</t>
    <phoneticPr fontId="40" type="noConversion"/>
  </si>
  <si>
    <t>1|1|50</t>
    <phoneticPr fontId="40" type="noConversion"/>
  </si>
  <si>
    <t>60,80</t>
    <phoneticPr fontId="40" type="noConversion"/>
  </si>
  <si>
    <t>reward</t>
    <phoneticPr fontId="40" type="noConversion"/>
  </si>
  <si>
    <t>[[ic_dcj_6,tx_ld_xlj_01,ui_dcj_k_3],[ic_dcj_7,tx_ld_jc_01,ui_dcj_k_1],[ic_dcj_20,tx_ld_yhjh_01,ui_dcj_k_3],[ic_dcj_5,tx_ld_cs_01,ui_dcj_k_3]]</t>
    <phoneticPr fontId="40" type="noConversion"/>
  </si>
  <si>
    <t>[[ic_dcj_13,tx_ld_hjyhzz_01,ui_dcj_k_1],[ic_dcj_12,tx_ld_pb_01,ui_dcj_k_3],[ic_dcj_7,tx_ld_jc_01,ui_dcj_k_1],[ic_dcj_18,tx_ld_jbp_01,ui_dcj_k_3]]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</si>
</sst>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00_);[Red]\(0.0000\)"/>
    <numFmt numFmtId="177" formatCode="0.000"/>
    <numFmt numFmtId="178" formatCode="0.0%"/>
    <numFmt numFmtId="179" formatCode="0.000000000"/>
    <numFmt numFmtId="180" formatCode="0.000%"/>
    <numFmt numFmtId="181" formatCode="0.000000000_ "/>
    <numFmt numFmtId="182" formatCode="0.0000%"/>
    <numFmt numFmtId="183" formatCode="0_);[Red]\(0\)"/>
    <numFmt numFmtId="184" formatCode="0.0000000"/>
  </numFmts>
  <fonts count="4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rgb="FF000000"/>
      <name val="等线"/>
      <family val="3"/>
      <charset val="134"/>
    </font>
    <font>
      <u/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i/>
      <sz val="10.5"/>
      <color rgb="FF00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0"/>
      <color rgb="FF7030A0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66490676595355"/>
        <bgColor indexed="64"/>
      </patternFill>
    </fill>
    <fill>
      <patternFill patternType="solid">
        <fgColor theme="3" tint="0.396649067659535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7015289773247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664906765953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703817865535448"/>
        <bgColor indexed="64"/>
      </patternFill>
    </fill>
    <fill>
      <patternFill patternType="solid">
        <fgColor theme="9" tint="0.397106845301675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7991882076479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</cellStyleXfs>
  <cellXfs count="36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 wrapText="1"/>
    </xf>
    <xf numFmtId="0" fontId="6" fillId="0" borderId="0" xfId="0" applyFont="1"/>
    <xf numFmtId="10" fontId="1" fillId="0" borderId="0" xfId="1" applyNumberFormat="1" applyFont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0" fillId="7" borderId="0" xfId="0" applyFont="1" applyFill="1"/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7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1" fillId="7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0" applyFont="1" applyFill="1"/>
    <xf numFmtId="0" fontId="1" fillId="11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2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14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178" fontId="6" fillId="0" borderId="0" xfId="1" applyNumberFormat="1" applyFont="1" applyFill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3" borderId="1" xfId="0" applyNumberFormat="1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19" fillId="15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1" fillId="15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/>
    </xf>
    <xf numFmtId="0" fontId="1" fillId="0" borderId="17" xfId="0" applyNumberFormat="1" applyFont="1" applyFill="1" applyBorder="1" applyAlignment="1">
      <alignment horizontal="left" vertical="center"/>
    </xf>
    <xf numFmtId="0" fontId="1" fillId="15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15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1" fillId="0" borderId="20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15" borderId="1" xfId="0" applyNumberFormat="1" applyFont="1" applyFill="1" applyBorder="1" applyAlignment="1">
      <alignment horizontal="left"/>
    </xf>
    <xf numFmtId="0" fontId="19" fillId="15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76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181" fontId="1" fillId="0" borderId="0" xfId="0" applyNumberFormat="1" applyFont="1" applyAlignment="1">
      <alignment horizontal="left" vertical="center"/>
    </xf>
    <xf numFmtId="178" fontId="1" fillId="0" borderId="0" xfId="1" applyNumberFormat="1" applyFont="1" applyAlignment="1">
      <alignment horizontal="left" vertical="center"/>
    </xf>
    <xf numFmtId="0" fontId="1" fillId="17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2" fillId="20" borderId="1" xfId="0" applyFont="1" applyFill="1" applyBorder="1" applyAlignment="1">
      <alignment horizontal="left" wrapText="1"/>
    </xf>
    <xf numFmtId="0" fontId="2" fillId="19" borderId="1" xfId="0" applyFont="1" applyFill="1" applyBorder="1" applyAlignment="1">
      <alignment horizontal="left" wrapText="1"/>
    </xf>
    <xf numFmtId="0" fontId="4" fillId="2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" fillId="19" borderId="0" xfId="0" applyFont="1" applyFill="1" applyAlignment="1">
      <alignment horizontal="left"/>
    </xf>
    <xf numFmtId="0" fontId="2" fillId="15" borderId="1" xfId="0" applyFont="1" applyFill="1" applyBorder="1" applyAlignment="1">
      <alignment horizontal="left" wrapText="1"/>
    </xf>
    <xf numFmtId="0" fontId="4" fillId="19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7" fillId="7" borderId="22" xfId="0" applyFont="1" applyFill="1" applyBorder="1" applyAlignment="1">
      <alignment horizontal="left" vertical="center"/>
    </xf>
    <xf numFmtId="0" fontId="2" fillId="22" borderId="2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3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horizontal="left" vertical="center" wrapText="1"/>
    </xf>
    <xf numFmtId="0" fontId="2" fillId="23" borderId="0" xfId="0" applyFont="1" applyFill="1" applyAlignment="1">
      <alignment horizontal="left" vertical="center" wrapText="1"/>
    </xf>
    <xf numFmtId="0" fontId="2" fillId="23" borderId="24" xfId="0" applyFont="1" applyFill="1" applyBorder="1" applyAlignment="1">
      <alignment horizontal="left" vertical="center" wrapText="1"/>
    </xf>
    <xf numFmtId="0" fontId="2" fillId="23" borderId="2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0" fontId="2" fillId="7" borderId="17" xfId="1" applyNumberFormat="1" applyFont="1" applyFill="1" applyBorder="1" applyAlignment="1">
      <alignment horizontal="left" vertical="center"/>
    </xf>
    <xf numFmtId="10" fontId="2" fillId="7" borderId="0" xfId="1" applyNumberFormat="1" applyFont="1" applyFill="1" applyBorder="1" applyAlignment="1">
      <alignment horizontal="left" vertical="center"/>
    </xf>
    <xf numFmtId="180" fontId="2" fillId="7" borderId="0" xfId="1" applyNumberFormat="1" applyFont="1" applyFill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7" borderId="2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3" fillId="25" borderId="1" xfId="0" applyFont="1" applyFill="1" applyBorder="1" applyAlignment="1">
      <alignment horizontal="left" vertical="top" wrapText="1"/>
    </xf>
    <xf numFmtId="0" fontId="3" fillId="2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2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177" fontId="1" fillId="0" borderId="0" xfId="0" applyNumberFormat="1" applyFont="1" applyAlignment="1">
      <alignment horizontal="left" vertical="center"/>
    </xf>
    <xf numFmtId="0" fontId="1" fillId="26" borderId="0" xfId="0" applyFont="1" applyFill="1" applyAlignment="1">
      <alignment horizontal="left" vertical="center"/>
    </xf>
    <xf numFmtId="0" fontId="2" fillId="27" borderId="25" xfId="0" applyFont="1" applyFill="1" applyBorder="1" applyAlignment="1">
      <alignment horizontal="left" vertical="center"/>
    </xf>
    <xf numFmtId="0" fontId="2" fillId="27" borderId="26" xfId="0" applyFont="1" applyFill="1" applyBorder="1" applyAlignment="1">
      <alignment horizontal="left" vertical="center"/>
    </xf>
    <xf numFmtId="0" fontId="2" fillId="27" borderId="2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5" fillId="28" borderId="25" xfId="0" applyFont="1" applyFill="1" applyBorder="1" applyAlignment="1">
      <alignment horizontal="left" vertical="center"/>
    </xf>
    <xf numFmtId="0" fontId="25" fillId="28" borderId="26" xfId="0" applyFont="1" applyFill="1" applyBorder="1" applyAlignment="1">
      <alignment horizontal="left" vertical="center"/>
    </xf>
    <xf numFmtId="0" fontId="25" fillId="28" borderId="27" xfId="0" applyFont="1" applyFill="1" applyBorder="1" applyAlignment="1">
      <alignment horizontal="left" vertical="center"/>
    </xf>
    <xf numFmtId="0" fontId="4" fillId="25" borderId="28" xfId="0" applyFont="1" applyFill="1" applyBorder="1" applyAlignment="1">
      <alignment horizontal="left" vertical="center"/>
    </xf>
    <xf numFmtId="0" fontId="4" fillId="25" borderId="29" xfId="0" applyFont="1" applyFill="1" applyBorder="1" applyAlignment="1">
      <alignment horizontal="left" vertical="center"/>
    </xf>
    <xf numFmtId="0" fontId="4" fillId="25" borderId="30" xfId="0" applyFont="1" applyFill="1" applyBorder="1" applyAlignment="1">
      <alignment horizontal="left" vertical="center"/>
    </xf>
    <xf numFmtId="0" fontId="4" fillId="25" borderId="31" xfId="0" applyFont="1" applyFill="1" applyBorder="1" applyAlignment="1">
      <alignment horizontal="left" vertical="center"/>
    </xf>
    <xf numFmtId="0" fontId="4" fillId="22" borderId="28" xfId="0" applyFont="1" applyFill="1" applyBorder="1" applyAlignment="1">
      <alignment horizontal="left" vertical="center"/>
    </xf>
    <xf numFmtId="0" fontId="4" fillId="22" borderId="29" xfId="0" applyFont="1" applyFill="1" applyBorder="1" applyAlignment="1">
      <alignment horizontal="left" vertical="center"/>
    </xf>
    <xf numFmtId="0" fontId="4" fillId="25" borderId="32" xfId="0" applyFont="1" applyFill="1" applyBorder="1" applyAlignment="1">
      <alignment horizontal="left" vertical="center"/>
    </xf>
    <xf numFmtId="0" fontId="4" fillId="25" borderId="33" xfId="0" applyFont="1" applyFill="1" applyBorder="1" applyAlignment="1">
      <alignment horizontal="left" vertical="center"/>
    </xf>
    <xf numFmtId="0" fontId="4" fillId="25" borderId="34" xfId="0" applyFont="1" applyFill="1" applyBorder="1" applyAlignment="1">
      <alignment horizontal="left" vertical="center"/>
    </xf>
    <xf numFmtId="0" fontId="4" fillId="25" borderId="35" xfId="0" applyFont="1" applyFill="1" applyBorder="1" applyAlignment="1">
      <alignment horizontal="left" vertical="center"/>
    </xf>
    <xf numFmtId="0" fontId="4" fillId="22" borderId="32" xfId="0" applyFont="1" applyFill="1" applyBorder="1" applyAlignment="1">
      <alignment horizontal="left" vertical="center"/>
    </xf>
    <xf numFmtId="0" fontId="4" fillId="22" borderId="33" xfId="0" applyFont="1" applyFill="1" applyBorder="1" applyAlignment="1">
      <alignment horizontal="left" vertical="center"/>
    </xf>
    <xf numFmtId="0" fontId="4" fillId="25" borderId="36" xfId="0" applyFont="1" applyFill="1" applyBorder="1" applyAlignment="1">
      <alignment horizontal="left" vertical="center"/>
    </xf>
    <xf numFmtId="0" fontId="4" fillId="25" borderId="37" xfId="0" applyFont="1" applyFill="1" applyBorder="1" applyAlignment="1">
      <alignment horizontal="left" vertical="center"/>
    </xf>
    <xf numFmtId="0" fontId="4" fillId="25" borderId="38" xfId="0" applyFont="1" applyFill="1" applyBorder="1" applyAlignment="1">
      <alignment horizontal="left" vertical="center"/>
    </xf>
    <xf numFmtId="0" fontId="4" fillId="25" borderId="39" xfId="0" applyFont="1" applyFill="1" applyBorder="1" applyAlignment="1">
      <alignment horizontal="left" vertical="center"/>
    </xf>
    <xf numFmtId="0" fontId="4" fillId="22" borderId="36" xfId="0" applyFont="1" applyFill="1" applyBorder="1" applyAlignment="1">
      <alignment horizontal="left" vertical="center"/>
    </xf>
    <xf numFmtId="0" fontId="4" fillId="22" borderId="37" xfId="0" applyFont="1" applyFill="1" applyBorder="1" applyAlignment="1">
      <alignment horizontal="left" vertical="center"/>
    </xf>
    <xf numFmtId="0" fontId="1" fillId="25" borderId="25" xfId="0" applyFont="1" applyFill="1" applyBorder="1" applyAlignment="1">
      <alignment horizontal="left" vertical="center" wrapText="1"/>
    </xf>
    <xf numFmtId="0" fontId="1" fillId="25" borderId="26" xfId="0" applyFont="1" applyFill="1" applyBorder="1" applyAlignment="1">
      <alignment horizontal="left" vertical="center"/>
    </xf>
    <xf numFmtId="0" fontId="1" fillId="22" borderId="25" xfId="0" applyFont="1" applyFill="1" applyBorder="1" applyAlignment="1">
      <alignment horizontal="left" vertical="center" wrapText="1"/>
    </xf>
    <xf numFmtId="0" fontId="1" fillId="22" borderId="26" xfId="0" applyFont="1" applyFill="1" applyBorder="1" applyAlignment="1">
      <alignment horizontal="left" vertical="center"/>
    </xf>
    <xf numFmtId="0" fontId="4" fillId="22" borderId="30" xfId="0" applyFont="1" applyFill="1" applyBorder="1" applyAlignment="1">
      <alignment horizontal="left" vertical="center"/>
    </xf>
    <xf numFmtId="0" fontId="4" fillId="22" borderId="0" xfId="0" applyFont="1" applyFill="1" applyBorder="1" applyAlignment="1">
      <alignment horizontal="left" vertical="center"/>
    </xf>
    <xf numFmtId="0" fontId="4" fillId="22" borderId="34" xfId="0" applyFont="1" applyFill="1" applyBorder="1" applyAlignment="1">
      <alignment horizontal="left" vertical="center"/>
    </xf>
    <xf numFmtId="0" fontId="4" fillId="22" borderId="38" xfId="0" applyFont="1" applyFill="1" applyBorder="1" applyAlignment="1">
      <alignment horizontal="left" vertical="center"/>
    </xf>
    <xf numFmtId="0" fontId="1" fillId="22" borderId="27" xfId="0" applyFont="1" applyFill="1" applyBorder="1" applyAlignment="1">
      <alignment horizontal="left" vertical="center"/>
    </xf>
    <xf numFmtId="0" fontId="1" fillId="22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7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3" fontId="0" fillId="0" borderId="0" xfId="0" applyNumberFormat="1"/>
    <xf numFmtId="0" fontId="4" fillId="0" borderId="0" xfId="0" applyFont="1"/>
    <xf numFmtId="0" fontId="1" fillId="0" borderId="0" xfId="0" applyFont="1"/>
    <xf numFmtId="0" fontId="2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27" fillId="2" borderId="1" xfId="0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Fill="1" applyAlignment="1"/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4" fillId="2" borderId="40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/>
    </xf>
    <xf numFmtId="0" fontId="1" fillId="7" borderId="0" xfId="0" applyFont="1" applyFill="1"/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3" fillId="0" borderId="0" xfId="0" applyFont="1"/>
    <xf numFmtId="0" fontId="1" fillId="29" borderId="0" xfId="0" applyFont="1" applyFill="1" applyAlignment="1">
      <alignment horizontal="left"/>
    </xf>
    <xf numFmtId="0" fontId="2" fillId="0" borderId="0" xfId="0" applyFont="1"/>
    <xf numFmtId="0" fontId="29" fillId="29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182" fontId="0" fillId="0" borderId="0" xfId="0" applyNumberFormat="1" applyAlignment="1">
      <alignment horizontal="left"/>
    </xf>
    <xf numFmtId="183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0" fontId="30" fillId="7" borderId="0" xfId="1" applyNumberFormat="1" applyFont="1" applyFill="1" applyAlignment="1">
      <alignment horizontal="left"/>
    </xf>
    <xf numFmtId="0" fontId="0" fillId="0" borderId="0" xfId="1" applyNumberFormat="1" applyFont="1" applyAlignment="1">
      <alignment horizontal="left"/>
    </xf>
    <xf numFmtId="10" fontId="0" fillId="7" borderId="0" xfId="1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10" fontId="31" fillId="0" borderId="0" xfId="0" applyNumberFormat="1" applyFont="1" applyAlignment="1">
      <alignment horizontal="left"/>
    </xf>
    <xf numFmtId="183" fontId="31" fillId="0" borderId="0" xfId="0" applyNumberFormat="1" applyFont="1" applyAlignment="1">
      <alignment horizontal="left"/>
    </xf>
    <xf numFmtId="0" fontId="31" fillId="0" borderId="0" xfId="0" applyNumberFormat="1" applyFont="1" applyAlignment="1">
      <alignment horizontal="left"/>
    </xf>
    <xf numFmtId="10" fontId="31" fillId="7" borderId="0" xfId="1" applyNumberFormat="1" applyFont="1" applyFill="1" applyAlignment="1">
      <alignment horizontal="left"/>
    </xf>
    <xf numFmtId="0" fontId="31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177" fontId="0" fillId="0" borderId="0" xfId="0" applyNumberFormat="1" applyAlignment="1">
      <alignment horizontal="left"/>
    </xf>
    <xf numFmtId="180" fontId="0" fillId="0" borderId="0" xfId="0" applyNumberFormat="1" applyAlignment="1">
      <alignment horizontal="left"/>
    </xf>
    <xf numFmtId="0" fontId="31" fillId="0" borderId="0" xfId="0" applyFont="1"/>
    <xf numFmtId="184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30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ont="1"/>
    <xf numFmtId="0" fontId="0" fillId="21" borderId="0" xfId="0" applyFill="1"/>
    <xf numFmtId="0" fontId="0" fillId="16" borderId="0" xfId="0" applyFont="1" applyFill="1"/>
    <xf numFmtId="182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178" fontId="0" fillId="0" borderId="0" xfId="0" applyNumberFormat="1" applyAlignment="1">
      <alignment horizontal="left"/>
    </xf>
    <xf numFmtId="10" fontId="0" fillId="7" borderId="0" xfId="0" applyNumberFormat="1" applyFill="1" applyAlignment="1">
      <alignment horizontal="left"/>
    </xf>
    <xf numFmtId="9" fontId="0" fillId="0" borderId="0" xfId="0" applyNumberFormat="1" applyFill="1" applyAlignment="1">
      <alignment horizontal="left"/>
    </xf>
    <xf numFmtId="178" fontId="0" fillId="0" borderId="0" xfId="0" applyNumberFormat="1" applyFill="1" applyAlignment="1">
      <alignment horizontal="left"/>
    </xf>
    <xf numFmtId="0" fontId="0" fillId="7" borderId="0" xfId="0" applyFill="1"/>
    <xf numFmtId="0" fontId="32" fillId="0" borderId="1" xfId="2" applyBorder="1" applyAlignment="1">
      <alignment wrapText="1"/>
    </xf>
    <xf numFmtId="0" fontId="32" fillId="0" borderId="1" xfId="2" applyFont="1" applyBorder="1" applyAlignment="1">
      <alignment wrapText="1"/>
    </xf>
    <xf numFmtId="0" fontId="1" fillId="0" borderId="1" xfId="2" applyFont="1" applyFill="1" applyBorder="1" applyAlignment="1">
      <alignment horizontal="left"/>
    </xf>
    <xf numFmtId="0" fontId="41" fillId="30" borderId="1" xfId="3" applyBorder="1" applyAlignment="1"/>
    <xf numFmtId="0" fontId="32" fillId="0" borderId="1" xfId="2" applyBorder="1"/>
    <xf numFmtId="0" fontId="32" fillId="0" borderId="0" xfId="2"/>
    <xf numFmtId="9" fontId="32" fillId="0" borderId="1" xfId="2" applyNumberFormat="1" applyBorder="1"/>
    <xf numFmtId="58" fontId="32" fillId="0" borderId="1" xfId="2" applyNumberFormat="1" applyFont="1" applyBorder="1"/>
    <xf numFmtId="0" fontId="32" fillId="0" borderId="0" xfId="2" applyFont="1" applyAlignment="1">
      <alignment vertical="center"/>
    </xf>
    <xf numFmtId="0" fontId="32" fillId="0" borderId="0" xfId="2" applyFont="1"/>
    <xf numFmtId="0" fontId="32" fillId="0" borderId="0" xfId="2" applyAlignment="1">
      <alignment vertical="center"/>
    </xf>
    <xf numFmtId="0" fontId="32" fillId="0" borderId="0" xfId="2" applyFont="1" applyAlignment="1"/>
    <xf numFmtId="0" fontId="32" fillId="0" borderId="0" xfId="2" applyBorder="1"/>
    <xf numFmtId="0" fontId="1" fillId="0" borderId="0" xfId="2" applyFont="1" applyAlignment="1">
      <alignment horizontal="left" vertical="center"/>
    </xf>
    <xf numFmtId="0" fontId="42" fillId="31" borderId="1" xfId="4" applyBorder="1" applyAlignment="1"/>
    <xf numFmtId="0" fontId="36" fillId="0" borderId="0" xfId="0" applyFont="1" applyAlignment="1">
      <alignment horizontal="left"/>
    </xf>
    <xf numFmtId="0" fontId="9" fillId="21" borderId="16" xfId="0" applyFont="1" applyFill="1" applyBorder="1" applyAlignment="1">
      <alignment horizontal="left" vertical="center" wrapText="1"/>
    </xf>
    <xf numFmtId="0" fontId="9" fillId="21" borderId="17" xfId="0" applyFont="1" applyFill="1" applyBorder="1" applyAlignment="1">
      <alignment horizontal="left" vertical="center" wrapText="1"/>
    </xf>
    <xf numFmtId="0" fontId="9" fillId="21" borderId="21" xfId="0" applyFont="1" applyFill="1" applyBorder="1" applyAlignment="1">
      <alignment horizontal="left" vertical="center" wrapText="1"/>
    </xf>
    <xf numFmtId="0" fontId="9" fillId="15" borderId="16" xfId="0" applyFont="1" applyFill="1" applyBorder="1" applyAlignment="1">
      <alignment horizontal="left" vertical="center" wrapText="1"/>
    </xf>
    <xf numFmtId="0" fontId="9" fillId="15" borderId="17" xfId="0" applyFont="1" applyFill="1" applyBorder="1" applyAlignment="1">
      <alignment horizontal="left" vertical="center" wrapText="1"/>
    </xf>
    <xf numFmtId="0" fontId="9" fillId="15" borderId="21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2" fillId="0" borderId="1" xfId="2" applyFont="1" applyBorder="1" applyAlignment="1">
      <alignment horizontal="center"/>
    </xf>
    <xf numFmtId="0" fontId="32" fillId="0" borderId="1" xfId="2" applyBorder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5">
    <cellStyle name="百分比" xfId="1" builtinId="5"/>
    <cellStyle name="差" xfId="3" builtinId="27"/>
    <cellStyle name="常规" xfId="0" builtinId="0"/>
    <cellStyle name="常规 2" xfId="2"/>
    <cellStyle name="适中" xfId="4" builtinId="28"/>
  </cellStyles>
  <dxfs count="98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167640</xdr:colOff>
      <xdr:row>13</xdr:row>
      <xdr:rowOff>45720</xdr:rowOff>
    </xdr:from>
    <xdr:to>
      <xdr:col>29</xdr:col>
      <xdr:colOff>277685</xdr:colOff>
      <xdr:row>32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0460" y="2758440"/>
          <a:ext cx="4483735" cy="3596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68036</xdr:colOff>
      <xdr:row>40</xdr:row>
      <xdr:rowOff>197704</xdr:rowOff>
    </xdr:from>
    <xdr:to>
      <xdr:col>124</xdr:col>
      <xdr:colOff>123937</xdr:colOff>
      <xdr:row>59</xdr:row>
      <xdr:rowOff>55434</xdr:rowOff>
    </xdr:to>
    <xdr:pic>
      <xdr:nvPicPr>
        <xdr:cNvPr id="3" name="图片 2" descr="C:\Users\81937\AppData\Local\Temp\企业微信截图_1615519806424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0385" y="9930130"/>
          <a:ext cx="5664200" cy="364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198120</xdr:colOff>
      <xdr:row>27</xdr:row>
      <xdr:rowOff>129540</xdr:rowOff>
    </xdr:from>
    <xdr:to>
      <xdr:col>29</xdr:col>
      <xdr:colOff>453178</xdr:colOff>
      <xdr:row>43</xdr:row>
      <xdr:rowOff>138645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92160" y="6294120"/>
          <a:ext cx="1489075" cy="3178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480" y="1432560"/>
          <a:ext cx="4945380" cy="4970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06"/>
  <sheetViews>
    <sheetView workbookViewId="0">
      <selection activeCell="M27" sqref="M27"/>
    </sheetView>
  </sheetViews>
  <sheetFormatPr defaultColWidth="8.88671875" defaultRowHeight="14.4" x14ac:dyDescent="0.25"/>
  <cols>
    <col min="1" max="1" width="8.88671875" style="5"/>
    <col min="2" max="2" width="12.77734375" style="5" customWidth="1"/>
    <col min="3" max="4" width="16" style="5" customWidth="1"/>
    <col min="5" max="5" width="12.44140625" style="5" customWidth="1"/>
    <col min="6" max="6" width="12.88671875" style="5" customWidth="1"/>
    <col min="7" max="7" width="9.88671875" style="5" customWidth="1"/>
    <col min="8" max="8" width="12.21875" style="5" customWidth="1"/>
    <col min="9" max="9" width="28.109375" style="5" customWidth="1"/>
    <col min="10" max="10" width="8.88671875" style="5"/>
    <col min="11" max="11" width="8.21875" style="5" customWidth="1"/>
    <col min="12" max="12" width="10.44140625" style="5" customWidth="1"/>
    <col min="13" max="13" width="12.77734375" style="5" customWidth="1"/>
    <col min="14" max="14" width="8.88671875" style="5"/>
    <col min="15" max="15" width="12.77734375" style="5" customWidth="1"/>
    <col min="16" max="16" width="16.44140625" style="5" customWidth="1"/>
    <col min="17" max="17" width="13.109375" style="5" customWidth="1"/>
    <col min="18" max="18" width="19.33203125" style="301" customWidth="1"/>
    <col min="19" max="19" width="18.33203125" style="5" customWidth="1"/>
    <col min="20" max="20" width="13.88671875" style="5" customWidth="1"/>
    <col min="21" max="21" width="17.21875" style="301" customWidth="1"/>
    <col min="22" max="23" width="13.88671875" style="5" customWidth="1"/>
    <col min="24" max="24" width="11.6640625" style="5" customWidth="1"/>
    <col min="25" max="25" width="22.6640625" style="5" customWidth="1"/>
    <col min="26" max="26" width="13.88671875" style="5" customWidth="1"/>
    <col min="27" max="27" width="9.44140625" style="5" customWidth="1"/>
    <col min="28" max="16384" width="8.88671875" style="5"/>
  </cols>
  <sheetData>
    <row r="1" spans="1:25" ht="15.6" x14ac:dyDescent="0.35">
      <c r="A1" s="2" t="s">
        <v>0</v>
      </c>
      <c r="B1" s="2" t="s">
        <v>1</v>
      </c>
      <c r="C1" s="2" t="s">
        <v>0</v>
      </c>
      <c r="D1" s="2" t="s">
        <v>0</v>
      </c>
      <c r="E1" s="2" t="s">
        <v>1</v>
      </c>
      <c r="F1" s="2" t="s">
        <v>1</v>
      </c>
      <c r="G1" s="2" t="s">
        <v>1</v>
      </c>
      <c r="H1" s="2" t="s">
        <v>2</v>
      </c>
      <c r="I1" s="2" t="s">
        <v>2</v>
      </c>
      <c r="J1" s="316"/>
      <c r="K1" s="317" t="s">
        <v>3</v>
      </c>
      <c r="S1" s="5" t="s">
        <v>4</v>
      </c>
      <c r="T1" s="5" t="s">
        <v>5</v>
      </c>
      <c r="U1" s="301" t="s">
        <v>6</v>
      </c>
    </row>
    <row r="2" spans="1:25" ht="15.6" x14ac:dyDescent="0.35">
      <c r="A2" s="2" t="s">
        <v>7</v>
      </c>
      <c r="B2" s="2" t="s">
        <v>7</v>
      </c>
      <c r="C2" s="2" t="s">
        <v>8</v>
      </c>
      <c r="D2" s="2" t="s">
        <v>7</v>
      </c>
      <c r="E2" s="2" t="s">
        <v>7</v>
      </c>
      <c r="F2" s="2" t="s">
        <v>8</v>
      </c>
      <c r="G2" s="2" t="s">
        <v>8</v>
      </c>
      <c r="H2" s="2" t="s">
        <v>9</v>
      </c>
      <c r="I2" s="2" t="s">
        <v>9</v>
      </c>
      <c r="J2" s="316"/>
      <c r="S2" s="5">
        <v>1</v>
      </c>
      <c r="T2" s="5">
        <v>200</v>
      </c>
      <c r="U2" s="301">
        <f>T2*S2</f>
        <v>200</v>
      </c>
      <c r="W2" s="323"/>
      <c r="X2" s="323"/>
      <c r="Y2" s="323"/>
    </row>
    <row r="3" spans="1:25" ht="15" x14ac:dyDescent="0.3">
      <c r="A3" s="278" t="s">
        <v>10</v>
      </c>
      <c r="B3" s="278" t="s">
        <v>11</v>
      </c>
      <c r="C3" s="227" t="s">
        <v>12</v>
      </c>
      <c r="D3" s="227" t="s">
        <v>13</v>
      </c>
      <c r="E3" s="227" t="s">
        <v>14</v>
      </c>
      <c r="F3" s="227" t="s">
        <v>15</v>
      </c>
      <c r="G3" s="227" t="s">
        <v>16</v>
      </c>
      <c r="H3" s="227" t="s">
        <v>17</v>
      </c>
      <c r="I3" s="227" t="s">
        <v>18</v>
      </c>
      <c r="J3" s="316"/>
      <c r="K3" s="75" t="s">
        <v>19</v>
      </c>
      <c r="Q3" s="5" t="s">
        <v>20</v>
      </c>
      <c r="T3" s="317" t="s">
        <v>21</v>
      </c>
      <c r="U3" s="324"/>
    </row>
    <row r="4" spans="1:25" ht="40.200000000000003" x14ac:dyDescent="0.35">
      <c r="A4" s="72" t="s">
        <v>22</v>
      </c>
      <c r="B4" s="72" t="s">
        <v>6</v>
      </c>
      <c r="C4" s="281" t="s">
        <v>23</v>
      </c>
      <c r="D4" s="281" t="s">
        <v>24</v>
      </c>
      <c r="E4" s="227" t="s">
        <v>25</v>
      </c>
      <c r="F4" s="227" t="s">
        <v>26</v>
      </c>
      <c r="G4" s="227" t="s">
        <v>27</v>
      </c>
      <c r="H4" s="302" t="s">
        <v>28</v>
      </c>
      <c r="I4" s="302" t="s">
        <v>29</v>
      </c>
      <c r="L4" s="318"/>
      <c r="Q4" s="5" t="s">
        <v>30</v>
      </c>
      <c r="R4" s="325" t="s">
        <v>31</v>
      </c>
      <c r="S4" s="326" t="s">
        <v>24</v>
      </c>
      <c r="T4" s="327" t="s">
        <v>32</v>
      </c>
      <c r="U4" s="325" t="s">
        <v>33</v>
      </c>
      <c r="V4" s="5" t="s">
        <v>34</v>
      </c>
      <c r="W4" s="328" t="s">
        <v>35</v>
      </c>
      <c r="X4" s="317" t="s">
        <v>36</v>
      </c>
      <c r="Y4" s="335" t="s">
        <v>37</v>
      </c>
    </row>
    <row r="5" spans="1:25" x14ac:dyDescent="0.25">
      <c r="A5" s="5">
        <v>1</v>
      </c>
      <c r="B5" s="5">
        <f>Q5</f>
        <v>194</v>
      </c>
      <c r="C5" s="303">
        <f t="shared" ref="C5:C34" si="0">R5</f>
        <v>1.0309278350515427E-2</v>
      </c>
      <c r="D5" s="304">
        <f>S5</f>
        <v>196</v>
      </c>
      <c r="E5" s="305">
        <v>50</v>
      </c>
      <c r="F5" s="306">
        <f>W5</f>
        <v>0</v>
      </c>
      <c r="G5" s="307">
        <v>0</v>
      </c>
      <c r="H5" s="308"/>
      <c r="I5" t="s">
        <v>38</v>
      </c>
      <c r="K5" s="306"/>
      <c r="L5" s="306"/>
      <c r="M5" s="304"/>
      <c r="N5" s="306"/>
      <c r="P5" s="319"/>
      <c r="Q5" s="317">
        <f>194*S2</f>
        <v>194</v>
      </c>
      <c r="R5" s="329">
        <f>Q6/Q5-1</f>
        <v>1.0309278350515427E-2</v>
      </c>
      <c r="S5" s="330">
        <f>Q6</f>
        <v>196</v>
      </c>
      <c r="T5" s="331">
        <f t="shared" ref="T5:T7" si="1">(Q5-V5+Y5)/(S5-V5)</f>
        <v>1</v>
      </c>
      <c r="U5" s="332">
        <v>0.5</v>
      </c>
      <c r="V5" s="5">
        <f t="shared" ref="V5:V7" si="2">ROUND(Q5*U5,0)</f>
        <v>97</v>
      </c>
      <c r="W5" s="306">
        <f t="shared" ref="W5:W34" si="3">1-T5</f>
        <v>0</v>
      </c>
      <c r="X5" s="306">
        <v>0</v>
      </c>
      <c r="Y5" s="304">
        <f>Q6-Q5</f>
        <v>2</v>
      </c>
    </row>
    <row r="6" spans="1:25" x14ac:dyDescent="0.25">
      <c r="A6" s="5">
        <v>2</v>
      </c>
      <c r="B6" s="5">
        <f t="shared" ref="B6:B34" si="4">Q6</f>
        <v>196</v>
      </c>
      <c r="C6" s="306">
        <f t="shared" si="0"/>
        <v>0.02</v>
      </c>
      <c r="D6" s="304">
        <f t="shared" ref="D6:D34" si="5">S6</f>
        <v>200</v>
      </c>
      <c r="E6" s="305">
        <v>50</v>
      </c>
      <c r="F6" s="306">
        <f t="shared" ref="F6:F34" si="6">W6</f>
        <v>0</v>
      </c>
      <c r="G6" s="307">
        <v>0.03</v>
      </c>
      <c r="H6" s="308"/>
      <c r="I6" t="s">
        <v>39</v>
      </c>
      <c r="K6" s="306"/>
      <c r="L6" s="320"/>
      <c r="M6" s="304"/>
      <c r="N6" s="306"/>
      <c r="Q6" s="317">
        <f>196*S2</f>
        <v>196</v>
      </c>
      <c r="R6" s="329">
        <v>0.02</v>
      </c>
      <c r="S6" s="330">
        <f>Q7</f>
        <v>200</v>
      </c>
      <c r="T6" s="331">
        <f t="shared" si="1"/>
        <v>1</v>
      </c>
      <c r="U6" s="332">
        <v>0.5</v>
      </c>
      <c r="V6" s="5">
        <f t="shared" si="2"/>
        <v>98</v>
      </c>
      <c r="W6" s="306">
        <f t="shared" si="3"/>
        <v>0</v>
      </c>
      <c r="X6" s="306">
        <v>0.02</v>
      </c>
      <c r="Y6" s="304">
        <f>Q7-Q6</f>
        <v>4</v>
      </c>
    </row>
    <row r="7" spans="1:25" x14ac:dyDescent="0.25">
      <c r="A7" s="5">
        <v>3</v>
      </c>
      <c r="B7" s="5">
        <f t="shared" si="4"/>
        <v>200</v>
      </c>
      <c r="C7" s="306">
        <f t="shared" si="0"/>
        <v>0.03</v>
      </c>
      <c r="D7" s="304">
        <f t="shared" si="5"/>
        <v>206</v>
      </c>
      <c r="E7" s="305">
        <v>50</v>
      </c>
      <c r="F7" s="306">
        <f t="shared" si="6"/>
        <v>5.6603773584905648E-2</v>
      </c>
      <c r="G7" s="309">
        <v>0.05</v>
      </c>
      <c r="H7" s="308"/>
      <c r="I7" t="s">
        <v>40</v>
      </c>
      <c r="K7" s="306"/>
      <c r="L7" s="320"/>
      <c r="M7" s="304"/>
      <c r="N7" s="306"/>
      <c r="Q7" s="5">
        <f>U2</f>
        <v>200</v>
      </c>
      <c r="R7" s="329">
        <v>0.03</v>
      </c>
      <c r="S7" s="5">
        <f t="shared" ref="S7" si="7">ROUND(Q7*(1+R7),0)</f>
        <v>206</v>
      </c>
      <c r="T7" s="331">
        <f t="shared" si="1"/>
        <v>0.94339622641509435</v>
      </c>
      <c r="U7" s="332">
        <v>0.5</v>
      </c>
      <c r="V7" s="5">
        <f t="shared" si="2"/>
        <v>100</v>
      </c>
      <c r="W7" s="306">
        <f t="shared" si="3"/>
        <v>5.6603773584905648E-2</v>
      </c>
      <c r="X7" s="306">
        <v>0.05</v>
      </c>
      <c r="Y7" s="304">
        <v>0</v>
      </c>
    </row>
    <row r="8" spans="1:25" x14ac:dyDescent="0.25">
      <c r="A8" s="5">
        <v>4</v>
      </c>
      <c r="B8" s="5">
        <f t="shared" si="4"/>
        <v>206</v>
      </c>
      <c r="C8" s="306">
        <f t="shared" si="0"/>
        <v>0.04</v>
      </c>
      <c r="D8" s="304">
        <f t="shared" si="5"/>
        <v>214</v>
      </c>
      <c r="E8" s="305">
        <v>50</v>
      </c>
      <c r="F8" s="306">
        <f t="shared" si="6"/>
        <v>7.2072072072072113E-2</v>
      </c>
      <c r="G8" s="309">
        <v>0.06</v>
      </c>
      <c r="H8" s="308"/>
      <c r="I8" t="s">
        <v>41</v>
      </c>
      <c r="K8" s="306"/>
      <c r="L8" s="320"/>
      <c r="M8" s="304"/>
      <c r="N8" s="306"/>
      <c r="Q8" s="5">
        <f>S7</f>
        <v>206</v>
      </c>
      <c r="R8" s="329">
        <v>0.04</v>
      </c>
      <c r="S8" s="5">
        <f t="shared" ref="S8:S34" si="8">ROUND(Q8*(1+R8),0)</f>
        <v>214</v>
      </c>
      <c r="T8" s="331">
        <f t="shared" ref="T8:T34" si="9">(Q8-V8+Y8)/(S8-V8)</f>
        <v>0.92792792792792789</v>
      </c>
      <c r="U8" s="332">
        <v>0.5</v>
      </c>
      <c r="V8" s="5">
        <f t="shared" ref="V8:V34" si="10">ROUND(Q8*U8,0)</f>
        <v>103</v>
      </c>
      <c r="W8" s="306">
        <f t="shared" si="3"/>
        <v>7.2072072072072113E-2</v>
      </c>
      <c r="X8" s="306">
        <v>0.1</v>
      </c>
      <c r="Y8" s="304">
        <v>0</v>
      </c>
    </row>
    <row r="9" spans="1:25" x14ac:dyDescent="0.25">
      <c r="A9" s="5">
        <v>5</v>
      </c>
      <c r="B9" s="5">
        <f t="shared" si="4"/>
        <v>214</v>
      </c>
      <c r="C9" s="306">
        <f t="shared" si="0"/>
        <v>0.05</v>
      </c>
      <c r="D9" s="304">
        <f t="shared" si="5"/>
        <v>225</v>
      </c>
      <c r="E9" s="305">
        <v>50</v>
      </c>
      <c r="F9" s="306">
        <f t="shared" si="6"/>
        <v>9.3220338983050821E-2</v>
      </c>
      <c r="G9" s="309">
        <v>7.0000000000000007E-2</v>
      </c>
      <c r="H9" s="308"/>
      <c r="I9" t="s">
        <v>41</v>
      </c>
      <c r="K9" s="306"/>
      <c r="L9" s="320"/>
      <c r="M9" s="304"/>
      <c r="N9" s="306"/>
      <c r="Q9" s="5">
        <f t="shared" ref="Q9:Q34" si="11">S8</f>
        <v>214</v>
      </c>
      <c r="R9" s="329">
        <v>0.05</v>
      </c>
      <c r="S9" s="5">
        <f t="shared" si="8"/>
        <v>225</v>
      </c>
      <c r="T9" s="331">
        <f t="shared" si="9"/>
        <v>0.90677966101694918</v>
      </c>
      <c r="U9" s="332">
        <v>0.5</v>
      </c>
      <c r="V9" s="5">
        <f t="shared" si="10"/>
        <v>107</v>
      </c>
      <c r="W9" s="306">
        <f t="shared" si="3"/>
        <v>9.3220338983050821E-2</v>
      </c>
      <c r="X9" s="306">
        <v>0.15</v>
      </c>
      <c r="Y9" s="304">
        <v>0</v>
      </c>
    </row>
    <row r="10" spans="1:25" x14ac:dyDescent="0.25">
      <c r="A10" s="5">
        <v>6</v>
      </c>
      <c r="B10" s="5">
        <f t="shared" si="4"/>
        <v>225</v>
      </c>
      <c r="C10" s="306">
        <f t="shared" si="0"/>
        <v>0.06</v>
      </c>
      <c r="D10" s="304">
        <f t="shared" si="5"/>
        <v>239</v>
      </c>
      <c r="E10" s="305">
        <v>50</v>
      </c>
      <c r="F10" s="306">
        <f t="shared" si="6"/>
        <v>0.11111111111111116</v>
      </c>
      <c r="G10" s="309">
        <v>0.08</v>
      </c>
      <c r="H10" s="308"/>
      <c r="I10" t="s">
        <v>42</v>
      </c>
      <c r="K10" s="306"/>
      <c r="L10" s="320"/>
      <c r="M10" s="304"/>
      <c r="N10" s="306"/>
      <c r="Q10" s="5">
        <f t="shared" si="11"/>
        <v>225</v>
      </c>
      <c r="R10" s="329">
        <v>0.06</v>
      </c>
      <c r="S10" s="5">
        <f t="shared" si="8"/>
        <v>239</v>
      </c>
      <c r="T10" s="331">
        <f t="shared" si="9"/>
        <v>0.88888888888888884</v>
      </c>
      <c r="U10" s="332">
        <v>0.5</v>
      </c>
      <c r="V10" s="5">
        <f t="shared" si="10"/>
        <v>113</v>
      </c>
      <c r="W10" s="306">
        <f t="shared" si="3"/>
        <v>0.11111111111111116</v>
      </c>
      <c r="X10" s="306">
        <v>0.2</v>
      </c>
      <c r="Y10" s="304">
        <v>0</v>
      </c>
    </row>
    <row r="11" spans="1:25" x14ac:dyDescent="0.25">
      <c r="A11" s="5">
        <v>7</v>
      </c>
      <c r="B11" s="5">
        <f t="shared" si="4"/>
        <v>239</v>
      </c>
      <c r="C11" s="306">
        <f t="shared" si="0"/>
        <v>7.0000000000000007E-2</v>
      </c>
      <c r="D11" s="304">
        <f t="shared" si="5"/>
        <v>256</v>
      </c>
      <c r="E11" s="305">
        <v>50</v>
      </c>
      <c r="F11" s="306">
        <f t="shared" si="6"/>
        <v>0.125</v>
      </c>
      <c r="G11" s="309">
        <v>0.09</v>
      </c>
      <c r="H11" s="308"/>
      <c r="I11" t="s">
        <v>42</v>
      </c>
      <c r="K11" s="306"/>
      <c r="L11" s="320"/>
      <c r="M11" s="304"/>
      <c r="N11" s="306"/>
      <c r="Q11" s="5">
        <f t="shared" si="11"/>
        <v>239</v>
      </c>
      <c r="R11" s="329">
        <v>7.0000000000000007E-2</v>
      </c>
      <c r="S11" s="5">
        <f t="shared" si="8"/>
        <v>256</v>
      </c>
      <c r="T11" s="331">
        <f t="shared" si="9"/>
        <v>0.875</v>
      </c>
      <c r="U11" s="332">
        <v>0.5</v>
      </c>
      <c r="V11" s="5">
        <f t="shared" si="10"/>
        <v>120</v>
      </c>
      <c r="W11" s="306">
        <f t="shared" si="3"/>
        <v>0.125</v>
      </c>
      <c r="X11" s="306">
        <v>0.25</v>
      </c>
      <c r="Y11" s="304">
        <v>0</v>
      </c>
    </row>
    <row r="12" spans="1:25" x14ac:dyDescent="0.25">
      <c r="A12" s="5">
        <v>8</v>
      </c>
      <c r="B12" s="5">
        <f t="shared" si="4"/>
        <v>256</v>
      </c>
      <c r="C12" s="306">
        <f t="shared" si="0"/>
        <v>0.08</v>
      </c>
      <c r="D12" s="304">
        <f t="shared" si="5"/>
        <v>276</v>
      </c>
      <c r="E12" s="305">
        <v>50</v>
      </c>
      <c r="F12" s="306">
        <f t="shared" si="6"/>
        <v>0.13513513513513509</v>
      </c>
      <c r="G12" s="309">
        <v>0.1</v>
      </c>
      <c r="H12" s="308"/>
      <c r="I12" t="s">
        <v>43</v>
      </c>
      <c r="K12" s="306"/>
      <c r="L12" s="320"/>
      <c r="M12" s="304"/>
      <c r="N12" s="306"/>
      <c r="Q12" s="5">
        <f t="shared" si="11"/>
        <v>256</v>
      </c>
      <c r="R12" s="329">
        <v>0.08</v>
      </c>
      <c r="S12" s="5">
        <f t="shared" si="8"/>
        <v>276</v>
      </c>
      <c r="T12" s="331">
        <f t="shared" si="9"/>
        <v>0.86486486486486491</v>
      </c>
      <c r="U12" s="332">
        <v>0.5</v>
      </c>
      <c r="V12" s="5">
        <f t="shared" si="10"/>
        <v>128</v>
      </c>
      <c r="W12" s="306">
        <f t="shared" si="3"/>
        <v>0.13513513513513509</v>
      </c>
      <c r="X12" s="306">
        <v>0.3</v>
      </c>
      <c r="Y12" s="304">
        <v>0</v>
      </c>
    </row>
    <row r="13" spans="1:25" x14ac:dyDescent="0.25">
      <c r="A13" s="5">
        <v>9</v>
      </c>
      <c r="B13" s="5">
        <f t="shared" si="4"/>
        <v>276</v>
      </c>
      <c r="C13" s="306">
        <f t="shared" si="0"/>
        <v>0.09</v>
      </c>
      <c r="D13" s="304">
        <f t="shared" si="5"/>
        <v>301</v>
      </c>
      <c r="E13" s="305">
        <v>50</v>
      </c>
      <c r="F13" s="306">
        <f t="shared" si="6"/>
        <v>0.15337423312883436</v>
      </c>
      <c r="G13" s="309">
        <v>0.11</v>
      </c>
      <c r="H13" s="308" t="s">
        <v>44</v>
      </c>
      <c r="I13" t="s">
        <v>43</v>
      </c>
      <c r="K13" s="306"/>
      <c r="L13" s="320"/>
      <c r="M13" s="304"/>
      <c r="N13" s="306"/>
      <c r="Q13" s="5">
        <f t="shared" si="11"/>
        <v>276</v>
      </c>
      <c r="R13" s="329">
        <v>0.09</v>
      </c>
      <c r="S13" s="5">
        <f t="shared" si="8"/>
        <v>301</v>
      </c>
      <c r="T13" s="331">
        <f t="shared" si="9"/>
        <v>0.84662576687116564</v>
      </c>
      <c r="U13" s="332">
        <v>0.5</v>
      </c>
      <c r="V13" s="5">
        <f t="shared" si="10"/>
        <v>138</v>
      </c>
      <c r="W13" s="306">
        <f t="shared" si="3"/>
        <v>0.15337423312883436</v>
      </c>
      <c r="X13" s="306">
        <v>0.35</v>
      </c>
      <c r="Y13" s="304">
        <v>0</v>
      </c>
    </row>
    <row r="14" spans="1:25" x14ac:dyDescent="0.25">
      <c r="A14" s="5">
        <v>10</v>
      </c>
      <c r="B14" s="5">
        <f t="shared" si="4"/>
        <v>301</v>
      </c>
      <c r="C14" s="306">
        <f t="shared" si="0"/>
        <v>0.1</v>
      </c>
      <c r="D14" s="304">
        <f t="shared" si="5"/>
        <v>331</v>
      </c>
      <c r="E14" s="305">
        <v>50</v>
      </c>
      <c r="F14" s="306">
        <f t="shared" si="6"/>
        <v>0.16666666666666663</v>
      </c>
      <c r="G14" s="309">
        <v>0.12</v>
      </c>
      <c r="H14" s="308" t="s">
        <v>44</v>
      </c>
      <c r="I14" t="s">
        <v>43</v>
      </c>
      <c r="K14" s="306"/>
      <c r="L14" s="320"/>
      <c r="M14" s="304"/>
      <c r="N14" s="306"/>
      <c r="Q14" s="5">
        <f t="shared" si="11"/>
        <v>301</v>
      </c>
      <c r="R14" s="329">
        <v>0.1</v>
      </c>
      <c r="S14" s="5">
        <f t="shared" si="8"/>
        <v>331</v>
      </c>
      <c r="T14" s="331">
        <f t="shared" si="9"/>
        <v>0.83333333333333337</v>
      </c>
      <c r="U14" s="332">
        <v>0.5</v>
      </c>
      <c r="V14" s="5">
        <f t="shared" si="10"/>
        <v>151</v>
      </c>
      <c r="W14" s="306">
        <f t="shared" si="3"/>
        <v>0.16666666666666663</v>
      </c>
      <c r="X14" s="306">
        <v>0.45</v>
      </c>
      <c r="Y14" s="304">
        <v>0</v>
      </c>
    </row>
    <row r="15" spans="1:25" x14ac:dyDescent="0.25">
      <c r="A15" s="5">
        <v>11</v>
      </c>
      <c r="B15" s="5">
        <f t="shared" si="4"/>
        <v>331</v>
      </c>
      <c r="C15" s="306">
        <f t="shared" si="0"/>
        <v>0.11</v>
      </c>
      <c r="D15" s="304">
        <f t="shared" si="5"/>
        <v>367</v>
      </c>
      <c r="E15" s="305">
        <v>50</v>
      </c>
      <c r="F15" s="306">
        <f t="shared" si="6"/>
        <v>0.17910447761194026</v>
      </c>
      <c r="G15" s="309">
        <v>0.13</v>
      </c>
      <c r="H15" s="308" t="s">
        <v>44</v>
      </c>
      <c r="I15" t="s">
        <v>43</v>
      </c>
      <c r="K15" s="306"/>
      <c r="L15" s="320"/>
      <c r="M15" s="304"/>
      <c r="N15" s="306"/>
      <c r="Q15" s="5">
        <f t="shared" si="11"/>
        <v>331</v>
      </c>
      <c r="R15" s="329">
        <v>0.11</v>
      </c>
      <c r="S15" s="5">
        <f t="shared" si="8"/>
        <v>367</v>
      </c>
      <c r="T15" s="331">
        <f t="shared" si="9"/>
        <v>0.82089552238805974</v>
      </c>
      <c r="U15" s="332">
        <v>0.5</v>
      </c>
      <c r="V15" s="5">
        <f t="shared" si="10"/>
        <v>166</v>
      </c>
      <c r="W15" s="306">
        <f t="shared" si="3"/>
        <v>0.17910447761194026</v>
      </c>
      <c r="X15" s="306">
        <v>0.5</v>
      </c>
      <c r="Y15" s="304">
        <v>0</v>
      </c>
    </row>
    <row r="16" spans="1:25" x14ac:dyDescent="0.25">
      <c r="A16" s="5">
        <v>12</v>
      </c>
      <c r="B16" s="5">
        <f t="shared" si="4"/>
        <v>367</v>
      </c>
      <c r="C16" s="306">
        <f t="shared" si="0"/>
        <v>0.12</v>
      </c>
      <c r="D16" s="304">
        <f t="shared" si="5"/>
        <v>411</v>
      </c>
      <c r="E16" s="305">
        <v>50</v>
      </c>
      <c r="F16" s="306">
        <f t="shared" si="6"/>
        <v>0.19383259911894268</v>
      </c>
      <c r="G16" s="309">
        <v>0.14000000000000001</v>
      </c>
      <c r="H16" s="308" t="s">
        <v>44</v>
      </c>
      <c r="I16" t="s">
        <v>43</v>
      </c>
      <c r="K16" s="306"/>
      <c r="L16" s="320"/>
      <c r="M16" s="304"/>
      <c r="N16" s="306"/>
      <c r="Q16" s="5">
        <f t="shared" si="11"/>
        <v>367</v>
      </c>
      <c r="R16" s="329">
        <v>0.12</v>
      </c>
      <c r="S16" s="5">
        <f t="shared" si="8"/>
        <v>411</v>
      </c>
      <c r="T16" s="331">
        <f t="shared" si="9"/>
        <v>0.80616740088105732</v>
      </c>
      <c r="U16" s="332">
        <v>0.5</v>
      </c>
      <c r="V16" s="5">
        <f t="shared" si="10"/>
        <v>184</v>
      </c>
      <c r="W16" s="306">
        <f t="shared" si="3"/>
        <v>0.19383259911894268</v>
      </c>
      <c r="X16" s="306">
        <v>0.5</v>
      </c>
      <c r="Y16" s="304">
        <v>0</v>
      </c>
    </row>
    <row r="17" spans="1:25" x14ac:dyDescent="0.25">
      <c r="A17" s="5">
        <v>13</v>
      </c>
      <c r="B17" s="5">
        <f t="shared" si="4"/>
        <v>411</v>
      </c>
      <c r="C17" s="306">
        <f t="shared" si="0"/>
        <v>0.13</v>
      </c>
      <c r="D17" s="304">
        <f t="shared" si="5"/>
        <v>464</v>
      </c>
      <c r="E17" s="305">
        <v>50</v>
      </c>
      <c r="F17" s="306">
        <f t="shared" si="6"/>
        <v>0.20542635658914732</v>
      </c>
      <c r="G17" s="309">
        <v>0.15</v>
      </c>
      <c r="H17" s="308" t="s">
        <v>44</v>
      </c>
      <c r="I17" t="s">
        <v>43</v>
      </c>
      <c r="K17" s="306"/>
      <c r="L17" s="320"/>
      <c r="M17" s="304"/>
      <c r="N17" s="306"/>
      <c r="Q17" s="5">
        <f t="shared" si="11"/>
        <v>411</v>
      </c>
      <c r="R17" s="329">
        <v>0.13</v>
      </c>
      <c r="S17" s="5">
        <f t="shared" si="8"/>
        <v>464</v>
      </c>
      <c r="T17" s="331">
        <f t="shared" si="9"/>
        <v>0.79457364341085268</v>
      </c>
      <c r="U17" s="332">
        <v>0.5</v>
      </c>
      <c r="V17" s="5">
        <f t="shared" si="10"/>
        <v>206</v>
      </c>
      <c r="W17" s="306">
        <f t="shared" si="3"/>
        <v>0.20542635658914732</v>
      </c>
      <c r="X17" s="306">
        <v>0.5</v>
      </c>
      <c r="Y17" s="304">
        <v>0</v>
      </c>
    </row>
    <row r="18" spans="1:25" x14ac:dyDescent="0.25">
      <c r="A18" s="5">
        <v>14</v>
      </c>
      <c r="B18" s="5">
        <f t="shared" si="4"/>
        <v>464</v>
      </c>
      <c r="C18" s="306">
        <f t="shared" si="0"/>
        <v>0.14000000000000001</v>
      </c>
      <c r="D18" s="304">
        <f t="shared" si="5"/>
        <v>529</v>
      </c>
      <c r="E18" s="305">
        <v>50</v>
      </c>
      <c r="F18" s="306">
        <f t="shared" si="6"/>
        <v>0.21885521885521886</v>
      </c>
      <c r="G18" s="309">
        <v>0.16</v>
      </c>
      <c r="H18" s="308" t="s">
        <v>44</v>
      </c>
      <c r="I18" t="s">
        <v>43</v>
      </c>
      <c r="K18" s="306"/>
      <c r="L18" s="320"/>
      <c r="M18" s="304"/>
      <c r="N18" s="306"/>
      <c r="Q18" s="5">
        <f t="shared" si="11"/>
        <v>464</v>
      </c>
      <c r="R18" s="329">
        <v>0.14000000000000001</v>
      </c>
      <c r="S18" s="5">
        <f t="shared" si="8"/>
        <v>529</v>
      </c>
      <c r="T18" s="331">
        <f t="shared" si="9"/>
        <v>0.78114478114478114</v>
      </c>
      <c r="U18" s="332">
        <v>0.5</v>
      </c>
      <c r="V18" s="5">
        <f t="shared" si="10"/>
        <v>232</v>
      </c>
      <c r="W18" s="306">
        <f t="shared" si="3"/>
        <v>0.21885521885521886</v>
      </c>
      <c r="X18" s="306">
        <v>0.5</v>
      </c>
      <c r="Y18" s="304">
        <v>0</v>
      </c>
    </row>
    <row r="19" spans="1:25" x14ac:dyDescent="0.25">
      <c r="A19" s="5">
        <v>15</v>
      </c>
      <c r="B19" s="5">
        <f t="shared" si="4"/>
        <v>529</v>
      </c>
      <c r="C19" s="306">
        <f t="shared" si="0"/>
        <v>0.15</v>
      </c>
      <c r="D19" s="304">
        <f t="shared" si="5"/>
        <v>608</v>
      </c>
      <c r="E19" s="305">
        <v>50</v>
      </c>
      <c r="F19" s="306">
        <f t="shared" si="6"/>
        <v>0.23032069970845481</v>
      </c>
      <c r="G19" s="309">
        <v>0.17</v>
      </c>
      <c r="H19" s="308" t="s">
        <v>44</v>
      </c>
      <c r="I19" t="s">
        <v>43</v>
      </c>
      <c r="K19" s="306"/>
      <c r="L19" s="320"/>
      <c r="M19" s="304"/>
      <c r="N19" s="306"/>
      <c r="Q19" s="5">
        <f t="shared" si="11"/>
        <v>529</v>
      </c>
      <c r="R19" s="329">
        <v>0.15</v>
      </c>
      <c r="S19" s="5">
        <f t="shared" si="8"/>
        <v>608</v>
      </c>
      <c r="T19" s="331">
        <f t="shared" si="9"/>
        <v>0.76967930029154519</v>
      </c>
      <c r="U19" s="332">
        <v>0.5</v>
      </c>
      <c r="V19" s="5">
        <f t="shared" si="10"/>
        <v>265</v>
      </c>
      <c r="W19" s="306">
        <f t="shared" si="3"/>
        <v>0.23032069970845481</v>
      </c>
      <c r="X19" s="306">
        <v>0.5</v>
      </c>
      <c r="Y19" s="304">
        <v>0</v>
      </c>
    </row>
    <row r="20" spans="1:25" x14ac:dyDescent="0.25">
      <c r="A20" s="5">
        <v>16</v>
      </c>
      <c r="B20" s="5">
        <f t="shared" si="4"/>
        <v>608</v>
      </c>
      <c r="C20" s="306">
        <f t="shared" si="0"/>
        <v>0.16</v>
      </c>
      <c r="D20" s="304">
        <f t="shared" si="5"/>
        <v>705</v>
      </c>
      <c r="E20" s="305">
        <v>50</v>
      </c>
      <c r="F20" s="306">
        <f t="shared" si="6"/>
        <v>0.24189526184538657</v>
      </c>
      <c r="G20" s="309">
        <v>0.18</v>
      </c>
      <c r="H20" s="308" t="s">
        <v>44</v>
      </c>
      <c r="I20" t="s">
        <v>43</v>
      </c>
      <c r="K20" s="306"/>
      <c r="L20" s="320"/>
      <c r="M20" s="304"/>
      <c r="N20" s="306"/>
      <c r="Q20" s="5">
        <f t="shared" si="11"/>
        <v>608</v>
      </c>
      <c r="R20" s="329">
        <v>0.16</v>
      </c>
      <c r="S20" s="5">
        <f t="shared" si="8"/>
        <v>705</v>
      </c>
      <c r="T20" s="331">
        <f t="shared" si="9"/>
        <v>0.75810473815461343</v>
      </c>
      <c r="U20" s="332">
        <v>0.5</v>
      </c>
      <c r="V20" s="5">
        <f t="shared" si="10"/>
        <v>304</v>
      </c>
      <c r="W20" s="306">
        <f t="shared" si="3"/>
        <v>0.24189526184538657</v>
      </c>
      <c r="X20" s="306">
        <v>0.5</v>
      </c>
      <c r="Y20" s="304">
        <v>0</v>
      </c>
    </row>
    <row r="21" spans="1:25" x14ac:dyDescent="0.25">
      <c r="A21" s="5">
        <v>17</v>
      </c>
      <c r="B21" s="5">
        <f t="shared" si="4"/>
        <v>705</v>
      </c>
      <c r="C21" s="306">
        <f t="shared" si="0"/>
        <v>0.17</v>
      </c>
      <c r="D21" s="304">
        <f t="shared" si="5"/>
        <v>825</v>
      </c>
      <c r="E21" s="305">
        <v>50</v>
      </c>
      <c r="F21" s="306">
        <f t="shared" si="6"/>
        <v>0.25423728813559321</v>
      </c>
      <c r="G21" s="309">
        <v>0.19</v>
      </c>
      <c r="H21" s="308" t="s">
        <v>44</v>
      </c>
      <c r="I21" t="s">
        <v>43</v>
      </c>
      <c r="K21" s="306"/>
      <c r="L21" s="320"/>
      <c r="M21" s="304"/>
      <c r="N21" s="306"/>
      <c r="Q21" s="5">
        <f t="shared" si="11"/>
        <v>705</v>
      </c>
      <c r="R21" s="329">
        <v>0.17</v>
      </c>
      <c r="S21" s="5">
        <f t="shared" si="8"/>
        <v>825</v>
      </c>
      <c r="T21" s="331">
        <f t="shared" si="9"/>
        <v>0.74576271186440679</v>
      </c>
      <c r="U21" s="332">
        <v>0.5</v>
      </c>
      <c r="V21" s="5">
        <f t="shared" si="10"/>
        <v>353</v>
      </c>
      <c r="W21" s="306">
        <f t="shared" si="3"/>
        <v>0.25423728813559321</v>
      </c>
      <c r="X21" s="306">
        <v>0.5</v>
      </c>
      <c r="Y21" s="304">
        <v>0</v>
      </c>
    </row>
    <row r="22" spans="1:25" x14ac:dyDescent="0.25">
      <c r="A22" s="5">
        <v>18</v>
      </c>
      <c r="B22" s="5">
        <f t="shared" si="4"/>
        <v>825</v>
      </c>
      <c r="C22" s="306">
        <f t="shared" si="0"/>
        <v>0.18</v>
      </c>
      <c r="D22" s="304">
        <f t="shared" si="5"/>
        <v>974</v>
      </c>
      <c r="E22" s="305">
        <v>50</v>
      </c>
      <c r="F22" s="306">
        <f t="shared" si="6"/>
        <v>0.26559714795008915</v>
      </c>
      <c r="G22" s="309">
        <v>0.2</v>
      </c>
      <c r="H22" s="308" t="s">
        <v>44</v>
      </c>
      <c r="I22" t="s">
        <v>43</v>
      </c>
      <c r="K22" s="306"/>
      <c r="L22" s="320"/>
      <c r="M22" s="304"/>
      <c r="N22" s="306"/>
      <c r="Q22" s="5">
        <f t="shared" si="11"/>
        <v>825</v>
      </c>
      <c r="R22" s="329">
        <v>0.18</v>
      </c>
      <c r="S22" s="5">
        <f t="shared" si="8"/>
        <v>974</v>
      </c>
      <c r="T22" s="331">
        <f t="shared" si="9"/>
        <v>0.73440285204991085</v>
      </c>
      <c r="U22" s="332">
        <v>0.5</v>
      </c>
      <c r="V22" s="5">
        <f t="shared" si="10"/>
        <v>413</v>
      </c>
      <c r="W22" s="306">
        <f t="shared" si="3"/>
        <v>0.26559714795008915</v>
      </c>
      <c r="X22" s="306">
        <v>0.5</v>
      </c>
      <c r="Y22" s="304">
        <v>0</v>
      </c>
    </row>
    <row r="23" spans="1:25" x14ac:dyDescent="0.25">
      <c r="A23" s="5">
        <v>19</v>
      </c>
      <c r="B23" s="5">
        <f t="shared" si="4"/>
        <v>974</v>
      </c>
      <c r="C23" s="306">
        <f t="shared" si="0"/>
        <v>0.19</v>
      </c>
      <c r="D23" s="304">
        <f t="shared" si="5"/>
        <v>1159</v>
      </c>
      <c r="E23" s="305">
        <v>50</v>
      </c>
      <c r="F23" s="306">
        <f t="shared" si="6"/>
        <v>0.27529761904761907</v>
      </c>
      <c r="G23" s="309">
        <v>0.21</v>
      </c>
      <c r="H23" s="308" t="s">
        <v>44</v>
      </c>
      <c r="I23" t="s">
        <v>43</v>
      </c>
      <c r="K23" s="306"/>
      <c r="L23" s="320"/>
      <c r="M23" s="304"/>
      <c r="N23" s="306"/>
      <c r="Q23" s="5">
        <f t="shared" si="11"/>
        <v>974</v>
      </c>
      <c r="R23" s="329">
        <v>0.19</v>
      </c>
      <c r="S23" s="5">
        <f t="shared" si="8"/>
        <v>1159</v>
      </c>
      <c r="T23" s="331">
        <f t="shared" si="9"/>
        <v>0.72470238095238093</v>
      </c>
      <c r="U23" s="332">
        <v>0.5</v>
      </c>
      <c r="V23" s="5">
        <f t="shared" si="10"/>
        <v>487</v>
      </c>
      <c r="W23" s="306">
        <f t="shared" si="3"/>
        <v>0.27529761904761907</v>
      </c>
      <c r="X23" s="306">
        <v>0.5</v>
      </c>
      <c r="Y23" s="304">
        <v>0</v>
      </c>
    </row>
    <row r="24" spans="1:25" x14ac:dyDescent="0.25">
      <c r="A24" s="5">
        <v>20</v>
      </c>
      <c r="B24" s="5">
        <f t="shared" si="4"/>
        <v>1159</v>
      </c>
      <c r="C24" s="306">
        <f t="shared" si="0"/>
        <v>0.2</v>
      </c>
      <c r="D24" s="304">
        <f t="shared" si="5"/>
        <v>1391</v>
      </c>
      <c r="E24" s="305">
        <v>50</v>
      </c>
      <c r="F24" s="306">
        <f t="shared" si="6"/>
        <v>0.28606658446362521</v>
      </c>
      <c r="G24" s="309">
        <v>0.22</v>
      </c>
      <c r="H24" s="308" t="s">
        <v>44</v>
      </c>
      <c r="I24" t="s">
        <v>43</v>
      </c>
      <c r="K24" s="306"/>
      <c r="L24" s="320"/>
      <c r="M24" s="304"/>
      <c r="N24" s="306"/>
      <c r="Q24" s="5">
        <f t="shared" si="11"/>
        <v>1159</v>
      </c>
      <c r="R24" s="329">
        <v>0.2</v>
      </c>
      <c r="S24" s="5">
        <f t="shared" si="8"/>
        <v>1391</v>
      </c>
      <c r="T24" s="331">
        <f t="shared" si="9"/>
        <v>0.71393341553637479</v>
      </c>
      <c r="U24" s="332">
        <v>0.5</v>
      </c>
      <c r="V24" s="5">
        <f t="shared" si="10"/>
        <v>580</v>
      </c>
      <c r="W24" s="306">
        <f t="shared" si="3"/>
        <v>0.28606658446362521</v>
      </c>
      <c r="X24" s="306">
        <v>0.5</v>
      </c>
      <c r="Y24" s="304">
        <v>0</v>
      </c>
    </row>
    <row r="25" spans="1:25" x14ac:dyDescent="0.25">
      <c r="A25" s="5">
        <v>21</v>
      </c>
      <c r="B25" s="5">
        <f t="shared" si="4"/>
        <v>1391</v>
      </c>
      <c r="C25" s="306">
        <f t="shared" si="0"/>
        <v>0.21</v>
      </c>
      <c r="D25" s="304">
        <f t="shared" si="5"/>
        <v>1683</v>
      </c>
      <c r="E25" s="305">
        <v>50</v>
      </c>
      <c r="F25" s="306">
        <f t="shared" si="6"/>
        <v>0.29584599797365752</v>
      </c>
      <c r="G25" s="309">
        <v>0.23</v>
      </c>
      <c r="H25" s="308" t="s">
        <v>44</v>
      </c>
      <c r="I25" t="s">
        <v>43</v>
      </c>
      <c r="K25" s="306"/>
      <c r="L25" s="320"/>
      <c r="M25" s="304"/>
      <c r="N25" s="306"/>
      <c r="Q25" s="5">
        <f t="shared" si="11"/>
        <v>1391</v>
      </c>
      <c r="R25" s="329">
        <v>0.21</v>
      </c>
      <c r="S25" s="5">
        <f t="shared" si="8"/>
        <v>1683</v>
      </c>
      <c r="T25" s="331">
        <f t="shared" si="9"/>
        <v>0.70415400202634248</v>
      </c>
      <c r="U25" s="332">
        <v>0.5</v>
      </c>
      <c r="V25" s="5">
        <f t="shared" si="10"/>
        <v>696</v>
      </c>
      <c r="W25" s="306">
        <f t="shared" si="3"/>
        <v>0.29584599797365752</v>
      </c>
      <c r="X25" s="306">
        <v>0.5</v>
      </c>
      <c r="Y25" s="304">
        <v>0</v>
      </c>
    </row>
    <row r="26" spans="1:25" x14ac:dyDescent="0.25">
      <c r="A26" s="5">
        <v>22</v>
      </c>
      <c r="B26" s="5">
        <f t="shared" si="4"/>
        <v>1683</v>
      </c>
      <c r="C26" s="306">
        <f t="shared" si="0"/>
        <v>0.22</v>
      </c>
      <c r="D26" s="304">
        <f t="shared" si="5"/>
        <v>2053</v>
      </c>
      <c r="E26" s="305">
        <v>50</v>
      </c>
      <c r="F26" s="306">
        <f t="shared" si="6"/>
        <v>0.30553261767134599</v>
      </c>
      <c r="G26" s="309">
        <v>0.24</v>
      </c>
      <c r="H26" s="308" t="s">
        <v>44</v>
      </c>
      <c r="I26" t="s">
        <v>43</v>
      </c>
      <c r="K26" s="306"/>
      <c r="L26" s="320"/>
      <c r="M26" s="304"/>
      <c r="N26" s="306"/>
      <c r="Q26" s="5">
        <f t="shared" si="11"/>
        <v>1683</v>
      </c>
      <c r="R26" s="329">
        <v>0.22</v>
      </c>
      <c r="S26" s="5">
        <f t="shared" si="8"/>
        <v>2053</v>
      </c>
      <c r="T26" s="331">
        <f t="shared" si="9"/>
        <v>0.69446738232865401</v>
      </c>
      <c r="U26" s="332">
        <v>0.5</v>
      </c>
      <c r="V26" s="5">
        <f t="shared" si="10"/>
        <v>842</v>
      </c>
      <c r="W26" s="306">
        <f t="shared" si="3"/>
        <v>0.30553261767134599</v>
      </c>
      <c r="X26" s="306">
        <v>0.5</v>
      </c>
      <c r="Y26" s="304">
        <v>0</v>
      </c>
    </row>
    <row r="27" spans="1:25" x14ac:dyDescent="0.25">
      <c r="A27" s="5">
        <v>23</v>
      </c>
      <c r="B27" s="5">
        <f t="shared" si="4"/>
        <v>2053</v>
      </c>
      <c r="C27" s="306">
        <f t="shared" si="0"/>
        <v>0.23</v>
      </c>
      <c r="D27" s="304">
        <f t="shared" si="5"/>
        <v>2525</v>
      </c>
      <c r="E27" s="305">
        <v>50</v>
      </c>
      <c r="F27" s="306">
        <f t="shared" si="6"/>
        <v>0.31508678237650201</v>
      </c>
      <c r="G27" s="309">
        <v>0.25</v>
      </c>
      <c r="H27" s="308" t="s">
        <v>44</v>
      </c>
      <c r="I27" t="s">
        <v>43</v>
      </c>
      <c r="K27" s="306"/>
      <c r="L27" s="320"/>
      <c r="M27" s="304"/>
      <c r="N27" s="306"/>
      <c r="Q27" s="5">
        <f t="shared" si="11"/>
        <v>2053</v>
      </c>
      <c r="R27" s="329">
        <v>0.23</v>
      </c>
      <c r="S27" s="5">
        <f t="shared" si="8"/>
        <v>2525</v>
      </c>
      <c r="T27" s="331">
        <f t="shared" si="9"/>
        <v>0.68491321762349799</v>
      </c>
      <c r="U27" s="332">
        <v>0.5</v>
      </c>
      <c r="V27" s="5">
        <f t="shared" si="10"/>
        <v>1027</v>
      </c>
      <c r="W27" s="306">
        <f t="shared" si="3"/>
        <v>0.31508678237650201</v>
      </c>
      <c r="X27" s="306">
        <v>0.5</v>
      </c>
      <c r="Y27" s="304">
        <v>0</v>
      </c>
    </row>
    <row r="28" spans="1:25" x14ac:dyDescent="0.25">
      <c r="A28" s="5">
        <v>24</v>
      </c>
      <c r="B28" s="5">
        <f t="shared" si="4"/>
        <v>2525</v>
      </c>
      <c r="C28" s="306">
        <f t="shared" si="0"/>
        <v>0.24</v>
      </c>
      <c r="D28" s="304">
        <f t="shared" si="5"/>
        <v>3131</v>
      </c>
      <c r="E28" s="305">
        <v>50</v>
      </c>
      <c r="F28" s="306">
        <f t="shared" si="6"/>
        <v>0.32441113490364026</v>
      </c>
      <c r="G28" s="309">
        <v>0.26</v>
      </c>
      <c r="H28" s="308" t="s">
        <v>44</v>
      </c>
      <c r="I28" t="s">
        <v>43</v>
      </c>
      <c r="K28" s="306"/>
      <c r="L28" s="320"/>
      <c r="M28" s="304"/>
      <c r="N28" s="306"/>
      <c r="Q28" s="5">
        <f t="shared" si="11"/>
        <v>2525</v>
      </c>
      <c r="R28" s="329">
        <v>0.24</v>
      </c>
      <c r="S28" s="5">
        <f t="shared" si="8"/>
        <v>3131</v>
      </c>
      <c r="T28" s="331">
        <f t="shared" si="9"/>
        <v>0.67558886509635974</v>
      </c>
      <c r="U28" s="332">
        <v>0.5</v>
      </c>
      <c r="V28" s="5">
        <f t="shared" si="10"/>
        <v>1263</v>
      </c>
      <c r="W28" s="306">
        <f t="shared" si="3"/>
        <v>0.32441113490364026</v>
      </c>
      <c r="X28" s="306">
        <v>0.5</v>
      </c>
      <c r="Y28" s="304">
        <v>0</v>
      </c>
    </row>
    <row r="29" spans="1:25" x14ac:dyDescent="0.25">
      <c r="A29" s="5">
        <v>25</v>
      </c>
      <c r="B29" s="5">
        <f t="shared" si="4"/>
        <v>3131</v>
      </c>
      <c r="C29" s="306">
        <f t="shared" si="0"/>
        <v>0.25</v>
      </c>
      <c r="D29" s="304">
        <f t="shared" si="5"/>
        <v>3914</v>
      </c>
      <c r="E29" s="305">
        <v>50</v>
      </c>
      <c r="F29" s="306">
        <f t="shared" si="6"/>
        <v>0.33347529812606469</v>
      </c>
      <c r="G29" s="309">
        <v>0.27</v>
      </c>
      <c r="H29" s="308" t="s">
        <v>44</v>
      </c>
      <c r="I29" t="s">
        <v>43</v>
      </c>
      <c r="K29" s="306"/>
      <c r="L29" s="320"/>
      <c r="M29" s="304"/>
      <c r="N29" s="306"/>
      <c r="Q29" s="5">
        <f t="shared" si="11"/>
        <v>3131</v>
      </c>
      <c r="R29" s="329">
        <v>0.25</v>
      </c>
      <c r="S29" s="5">
        <f t="shared" si="8"/>
        <v>3914</v>
      </c>
      <c r="T29" s="331">
        <f t="shared" si="9"/>
        <v>0.66652470187393531</v>
      </c>
      <c r="U29" s="332">
        <v>0.5</v>
      </c>
      <c r="V29" s="5">
        <f t="shared" si="10"/>
        <v>1566</v>
      </c>
      <c r="W29" s="306">
        <f t="shared" si="3"/>
        <v>0.33347529812606469</v>
      </c>
      <c r="X29" s="306">
        <v>0.5</v>
      </c>
      <c r="Y29" s="304">
        <v>0</v>
      </c>
    </row>
    <row r="30" spans="1:25" x14ac:dyDescent="0.25">
      <c r="A30" s="5">
        <v>26</v>
      </c>
      <c r="B30" s="5">
        <f t="shared" si="4"/>
        <v>3914</v>
      </c>
      <c r="C30" s="306">
        <f t="shared" si="0"/>
        <v>0.26</v>
      </c>
      <c r="D30" s="304">
        <f t="shared" si="5"/>
        <v>4932</v>
      </c>
      <c r="E30" s="305">
        <v>50</v>
      </c>
      <c r="F30" s="306">
        <f t="shared" si="6"/>
        <v>0.34218487394957986</v>
      </c>
      <c r="G30" s="309">
        <v>0.28000000000000003</v>
      </c>
      <c r="H30" s="308" t="s">
        <v>44</v>
      </c>
      <c r="I30" t="s">
        <v>43</v>
      </c>
      <c r="K30" s="306"/>
      <c r="L30" s="320"/>
      <c r="M30" s="304"/>
      <c r="N30" s="306"/>
      <c r="Q30" s="5">
        <f t="shared" si="11"/>
        <v>3914</v>
      </c>
      <c r="R30" s="329">
        <v>0.26</v>
      </c>
      <c r="S30" s="5">
        <f t="shared" si="8"/>
        <v>4932</v>
      </c>
      <c r="T30" s="331">
        <f t="shared" si="9"/>
        <v>0.65781512605042014</v>
      </c>
      <c r="U30" s="332">
        <v>0.5</v>
      </c>
      <c r="V30" s="5">
        <f t="shared" si="10"/>
        <v>1957</v>
      </c>
      <c r="W30" s="306">
        <f t="shared" si="3"/>
        <v>0.34218487394957986</v>
      </c>
      <c r="X30" s="306">
        <v>0.5</v>
      </c>
      <c r="Y30" s="304">
        <v>0</v>
      </c>
    </row>
    <row r="31" spans="1:25" x14ac:dyDescent="0.25">
      <c r="A31" s="5">
        <v>27</v>
      </c>
      <c r="B31" s="5">
        <f t="shared" si="4"/>
        <v>4932</v>
      </c>
      <c r="C31" s="306">
        <f t="shared" si="0"/>
        <v>0.27</v>
      </c>
      <c r="D31" s="304">
        <f t="shared" si="5"/>
        <v>6264</v>
      </c>
      <c r="E31" s="305">
        <v>50</v>
      </c>
      <c r="F31" s="306">
        <f t="shared" si="6"/>
        <v>0.35071090047393361</v>
      </c>
      <c r="G31" s="309">
        <v>0.28999999999999998</v>
      </c>
      <c r="H31" s="308" t="s">
        <v>44</v>
      </c>
      <c r="I31" t="s">
        <v>43</v>
      </c>
      <c r="K31" s="306"/>
      <c r="L31" s="320"/>
      <c r="M31" s="304"/>
      <c r="N31" s="306"/>
      <c r="Q31" s="5">
        <f t="shared" si="11"/>
        <v>4932</v>
      </c>
      <c r="R31" s="329">
        <v>0.27</v>
      </c>
      <c r="S31" s="5">
        <f t="shared" si="8"/>
        <v>6264</v>
      </c>
      <c r="T31" s="331">
        <f t="shared" si="9"/>
        <v>0.64928909952606639</v>
      </c>
      <c r="U31" s="332">
        <v>0.5</v>
      </c>
      <c r="V31" s="5">
        <f t="shared" si="10"/>
        <v>2466</v>
      </c>
      <c r="W31" s="306">
        <f t="shared" si="3"/>
        <v>0.35071090047393361</v>
      </c>
      <c r="X31" s="306">
        <v>0.5</v>
      </c>
      <c r="Y31" s="304">
        <v>0</v>
      </c>
    </row>
    <row r="32" spans="1:25" x14ac:dyDescent="0.25">
      <c r="A32" s="5">
        <v>28</v>
      </c>
      <c r="B32" s="5">
        <f t="shared" si="4"/>
        <v>6264</v>
      </c>
      <c r="C32" s="306">
        <f t="shared" si="0"/>
        <v>0.28000000000000003</v>
      </c>
      <c r="D32" s="304">
        <f t="shared" si="5"/>
        <v>8018</v>
      </c>
      <c r="E32" s="305">
        <v>50</v>
      </c>
      <c r="F32" s="306">
        <f t="shared" si="6"/>
        <v>0.35898485468686037</v>
      </c>
      <c r="G32" s="309">
        <v>0.3</v>
      </c>
      <c r="H32" s="308" t="s">
        <v>44</v>
      </c>
      <c r="I32" t="s">
        <v>43</v>
      </c>
      <c r="K32" s="306"/>
      <c r="L32" s="320"/>
      <c r="M32" s="304"/>
      <c r="N32" s="306"/>
      <c r="Q32" s="5">
        <f t="shared" si="11"/>
        <v>6264</v>
      </c>
      <c r="R32" s="329">
        <v>0.28000000000000003</v>
      </c>
      <c r="S32" s="5">
        <f t="shared" si="8"/>
        <v>8018</v>
      </c>
      <c r="T32" s="331">
        <f t="shared" si="9"/>
        <v>0.64101514531313963</v>
      </c>
      <c r="U32" s="332">
        <v>0.5</v>
      </c>
      <c r="V32" s="5">
        <f t="shared" si="10"/>
        <v>3132</v>
      </c>
      <c r="W32" s="306">
        <f t="shared" si="3"/>
        <v>0.35898485468686037</v>
      </c>
      <c r="X32" s="306">
        <v>0.536052631578947</v>
      </c>
      <c r="Y32" s="304">
        <v>0</v>
      </c>
    </row>
    <row r="33" spans="1:25" x14ac:dyDescent="0.25">
      <c r="A33" s="5">
        <v>29</v>
      </c>
      <c r="B33" s="5">
        <f t="shared" si="4"/>
        <v>8018</v>
      </c>
      <c r="C33" s="306">
        <f t="shared" si="0"/>
        <v>0.28999999999999998</v>
      </c>
      <c r="D33" s="304">
        <f t="shared" si="5"/>
        <v>10343</v>
      </c>
      <c r="E33" s="305">
        <v>50</v>
      </c>
      <c r="F33" s="306">
        <f t="shared" si="6"/>
        <v>0.36706662456583516</v>
      </c>
      <c r="G33" s="309">
        <v>0.31</v>
      </c>
      <c r="H33" s="308" t="s">
        <v>44</v>
      </c>
      <c r="I33" t="s">
        <v>43</v>
      </c>
      <c r="K33" s="306"/>
      <c r="L33" s="320"/>
      <c r="M33" s="304"/>
      <c r="N33" s="306"/>
      <c r="Q33" s="5">
        <f t="shared" si="11"/>
        <v>8018</v>
      </c>
      <c r="R33" s="329">
        <v>0.28999999999999998</v>
      </c>
      <c r="S33" s="5">
        <f t="shared" si="8"/>
        <v>10343</v>
      </c>
      <c r="T33" s="331">
        <f t="shared" si="9"/>
        <v>0.63293337543416484</v>
      </c>
      <c r="U33" s="332">
        <v>0.5</v>
      </c>
      <c r="V33" s="5">
        <f t="shared" si="10"/>
        <v>4009</v>
      </c>
      <c r="W33" s="306">
        <f t="shared" si="3"/>
        <v>0.36706662456583516</v>
      </c>
      <c r="X33" s="306">
        <v>0.54139097744360898</v>
      </c>
      <c r="Y33" s="304">
        <v>0</v>
      </c>
    </row>
    <row r="34" spans="1:25" x14ac:dyDescent="0.25">
      <c r="A34" s="310">
        <v>30</v>
      </c>
      <c r="B34" s="310">
        <f t="shared" si="4"/>
        <v>10343</v>
      </c>
      <c r="C34" s="311">
        <f t="shared" si="0"/>
        <v>0.3</v>
      </c>
      <c r="D34" s="312">
        <f t="shared" si="5"/>
        <v>13446</v>
      </c>
      <c r="E34" s="313">
        <v>50</v>
      </c>
      <c r="F34" s="311">
        <f t="shared" si="6"/>
        <v>0.37503021513173795</v>
      </c>
      <c r="G34" s="314">
        <v>0.32</v>
      </c>
      <c r="H34" s="315" t="s">
        <v>44</v>
      </c>
      <c r="I34" s="321" t="s">
        <v>43</v>
      </c>
      <c r="K34" s="306"/>
      <c r="L34" s="320"/>
      <c r="M34" s="304"/>
      <c r="N34" s="306"/>
      <c r="Q34" s="5">
        <f t="shared" si="11"/>
        <v>10343</v>
      </c>
      <c r="R34" s="329">
        <v>0.3</v>
      </c>
      <c r="S34" s="5">
        <f t="shared" si="8"/>
        <v>13446</v>
      </c>
      <c r="T34" s="331">
        <f t="shared" si="9"/>
        <v>0.62496978486826205</v>
      </c>
      <c r="U34" s="332">
        <v>0.5</v>
      </c>
      <c r="V34" s="5">
        <f t="shared" si="10"/>
        <v>5172</v>
      </c>
      <c r="W34" s="306">
        <f t="shared" si="3"/>
        <v>0.37503021513173795</v>
      </c>
      <c r="X34" s="306">
        <v>0.54672932330826995</v>
      </c>
      <c r="Y34" s="304">
        <v>0</v>
      </c>
    </row>
    <row r="35" spans="1:25" x14ac:dyDescent="0.25">
      <c r="C35" s="306"/>
      <c r="D35" s="304"/>
      <c r="E35" s="305"/>
      <c r="F35" s="306"/>
      <c r="G35"/>
      <c r="H35" s="308"/>
      <c r="I35"/>
      <c r="K35" s="306"/>
      <c r="L35" s="320"/>
      <c r="M35" s="304"/>
      <c r="N35" s="306"/>
      <c r="R35" s="329"/>
      <c r="T35" s="331"/>
      <c r="U35" s="332"/>
      <c r="W35" s="306"/>
      <c r="X35" s="306"/>
      <c r="Y35" s="304"/>
    </row>
    <row r="36" spans="1:25" x14ac:dyDescent="0.25">
      <c r="C36" s="306"/>
      <c r="D36" s="304"/>
      <c r="E36" s="305"/>
      <c r="F36" s="306"/>
      <c r="G36"/>
      <c r="H36" s="308"/>
      <c r="I36"/>
      <c r="K36" s="306"/>
      <c r="L36" s="320"/>
      <c r="R36" s="329"/>
      <c r="T36" s="331"/>
      <c r="U36" s="332"/>
      <c r="W36" s="306"/>
      <c r="X36" s="306"/>
      <c r="Y36" s="304"/>
    </row>
    <row r="37" spans="1:25" x14ac:dyDescent="0.25">
      <c r="C37" s="306"/>
      <c r="D37" s="304"/>
      <c r="E37" s="305"/>
      <c r="F37" s="306"/>
      <c r="G37"/>
      <c r="H37" s="308"/>
      <c r="I37"/>
      <c r="K37" s="306"/>
      <c r="L37" s="320"/>
      <c r="R37" s="329"/>
      <c r="T37" s="331"/>
      <c r="U37" s="332"/>
      <c r="W37" s="306"/>
      <c r="X37" s="306"/>
      <c r="Y37" s="304"/>
    </row>
    <row r="38" spans="1:25" x14ac:dyDescent="0.25">
      <c r="C38" s="306"/>
      <c r="D38" s="304"/>
      <c r="E38" s="305"/>
      <c r="F38" s="306"/>
      <c r="G38"/>
      <c r="H38" s="308"/>
      <c r="I38"/>
      <c r="K38" s="306"/>
      <c r="L38" s="320"/>
      <c r="R38" s="329"/>
      <c r="T38" s="331"/>
      <c r="U38" s="332"/>
      <c r="W38" s="306"/>
      <c r="X38" s="306"/>
      <c r="Y38" s="304"/>
    </row>
    <row r="39" spans="1:25" x14ac:dyDescent="0.25">
      <c r="C39" s="306"/>
      <c r="D39" s="304"/>
      <c r="E39" s="305"/>
      <c r="F39" s="306"/>
      <c r="G39"/>
      <c r="H39" s="308"/>
      <c r="I39"/>
      <c r="K39" s="306"/>
      <c r="L39" s="320"/>
      <c r="R39" s="329"/>
      <c r="T39" s="331"/>
      <c r="U39" s="332"/>
      <c r="W39" s="306"/>
      <c r="X39" s="306"/>
      <c r="Y39" s="304"/>
    </row>
    <row r="40" spans="1:25" x14ac:dyDescent="0.25">
      <c r="C40" s="306"/>
      <c r="D40" s="304"/>
      <c r="E40" s="305"/>
      <c r="F40" s="306"/>
      <c r="G40"/>
      <c r="H40" s="308"/>
      <c r="I40"/>
      <c r="K40" s="306"/>
      <c r="L40" s="320"/>
      <c r="R40" s="329"/>
      <c r="T40" s="331"/>
      <c r="U40" s="332"/>
      <c r="W40" s="306"/>
      <c r="X40" s="306"/>
      <c r="Y40" s="304"/>
    </row>
    <row r="41" spans="1:25" x14ac:dyDescent="0.25">
      <c r="C41" s="306"/>
      <c r="D41" s="304"/>
      <c r="E41" s="305"/>
      <c r="F41" s="306"/>
      <c r="G41"/>
      <c r="H41" s="308"/>
      <c r="I41"/>
      <c r="K41" s="306"/>
      <c r="L41" s="320"/>
      <c r="R41" s="329"/>
      <c r="T41" s="331"/>
      <c r="U41" s="332"/>
      <c r="W41" s="306"/>
      <c r="X41" s="306"/>
      <c r="Y41" s="304"/>
    </row>
    <row r="42" spans="1:25" x14ac:dyDescent="0.25">
      <c r="C42" s="306"/>
      <c r="D42" s="304"/>
      <c r="E42" s="305"/>
      <c r="F42" s="306"/>
      <c r="G42"/>
      <c r="H42" s="308"/>
      <c r="I42"/>
      <c r="K42" s="306"/>
      <c r="L42" s="320"/>
      <c r="R42" s="329"/>
      <c r="T42" s="331"/>
      <c r="U42" s="332"/>
      <c r="W42" s="306"/>
      <c r="X42" s="306"/>
      <c r="Y42" s="304"/>
    </row>
    <row r="43" spans="1:25" x14ac:dyDescent="0.25">
      <c r="C43" s="306"/>
      <c r="D43" s="304"/>
      <c r="E43" s="305"/>
      <c r="F43" s="306"/>
      <c r="G43"/>
      <c r="H43" s="308"/>
      <c r="I43"/>
      <c r="K43" s="306"/>
      <c r="L43" s="320"/>
      <c r="R43" s="329"/>
      <c r="T43" s="331"/>
      <c r="U43" s="332"/>
      <c r="W43" s="306"/>
      <c r="X43" s="306"/>
      <c r="Y43" s="304"/>
    </row>
    <row r="44" spans="1:25" x14ac:dyDescent="0.25">
      <c r="C44" s="306"/>
      <c r="D44" s="304"/>
      <c r="E44" s="305"/>
      <c r="F44" s="306"/>
      <c r="G44"/>
      <c r="H44" s="308"/>
      <c r="I44"/>
      <c r="K44" s="306"/>
      <c r="L44" s="320"/>
      <c r="R44" s="329"/>
      <c r="T44" s="331"/>
      <c r="U44" s="332"/>
      <c r="W44" s="306"/>
      <c r="X44" s="306"/>
      <c r="Y44" s="304"/>
    </row>
    <row r="45" spans="1:25" x14ac:dyDescent="0.25">
      <c r="C45" s="306"/>
      <c r="D45" s="304"/>
      <c r="E45" s="305"/>
      <c r="F45" s="306"/>
      <c r="G45"/>
      <c r="H45" s="308"/>
      <c r="I45"/>
      <c r="K45" s="306"/>
      <c r="L45" s="320"/>
      <c r="R45" s="329"/>
      <c r="T45" s="331"/>
      <c r="U45" s="332"/>
      <c r="W45" s="306"/>
      <c r="X45" s="306"/>
      <c r="Y45" s="304"/>
    </row>
    <row r="46" spans="1:25" x14ac:dyDescent="0.25">
      <c r="C46" s="306"/>
      <c r="D46" s="304"/>
      <c r="E46" s="305"/>
      <c r="F46" s="306"/>
      <c r="G46"/>
      <c r="H46" s="308"/>
      <c r="I46"/>
      <c r="K46" s="306"/>
      <c r="L46" s="320"/>
      <c r="R46" s="329"/>
      <c r="T46" s="331"/>
      <c r="U46" s="332"/>
      <c r="W46" s="306"/>
      <c r="X46" s="306"/>
      <c r="Y46" s="304"/>
    </row>
    <row r="47" spans="1:25" x14ac:dyDescent="0.25">
      <c r="C47" s="306"/>
      <c r="D47" s="304"/>
      <c r="E47" s="305"/>
      <c r="F47" s="306"/>
      <c r="G47"/>
      <c r="H47" s="308"/>
      <c r="I47"/>
      <c r="K47" s="306"/>
      <c r="L47" s="320"/>
      <c r="R47" s="329"/>
      <c r="T47" s="331"/>
      <c r="U47" s="332"/>
      <c r="W47" s="306"/>
      <c r="X47" s="306"/>
      <c r="Y47" s="304"/>
    </row>
    <row r="48" spans="1:25" x14ac:dyDescent="0.25">
      <c r="C48" s="306"/>
      <c r="D48" s="304"/>
      <c r="E48" s="305"/>
      <c r="F48" s="306"/>
      <c r="G48"/>
      <c r="H48" s="308"/>
      <c r="I48"/>
      <c r="K48" s="306"/>
      <c r="L48" s="320"/>
      <c r="M48" s="322"/>
      <c r="R48" s="329"/>
      <c r="T48" s="331"/>
      <c r="U48" s="332"/>
      <c r="W48" s="306"/>
      <c r="X48" s="306"/>
      <c r="Y48" s="304"/>
    </row>
    <row r="49" spans="3:25" x14ac:dyDescent="0.25">
      <c r="C49" s="306"/>
      <c r="D49" s="304"/>
      <c r="E49" s="305"/>
      <c r="F49" s="306"/>
      <c r="G49"/>
      <c r="H49" s="308"/>
      <c r="I49"/>
      <c r="K49" s="306"/>
      <c r="L49" s="320"/>
      <c r="R49" s="329"/>
      <c r="T49" s="331"/>
      <c r="U49" s="332"/>
      <c r="W49" s="306"/>
      <c r="X49" s="306"/>
      <c r="Y49" s="304"/>
    </row>
    <row r="50" spans="3:25" x14ac:dyDescent="0.25">
      <c r="C50" s="306"/>
      <c r="D50" s="304"/>
      <c r="E50" s="305"/>
      <c r="F50" s="306"/>
      <c r="G50"/>
      <c r="H50" s="308"/>
      <c r="I50"/>
      <c r="K50" s="306"/>
      <c r="L50" s="320"/>
      <c r="R50" s="329"/>
      <c r="T50" s="331"/>
      <c r="U50" s="332"/>
      <c r="W50" s="306"/>
      <c r="X50" s="306"/>
      <c r="Y50" s="304"/>
    </row>
    <row r="51" spans="3:25" x14ac:dyDescent="0.25">
      <c r="C51" s="306"/>
      <c r="D51" s="304"/>
      <c r="E51" s="305"/>
      <c r="F51" s="306"/>
      <c r="G51"/>
      <c r="H51" s="308"/>
      <c r="I51"/>
      <c r="K51" s="306"/>
      <c r="L51" s="320"/>
      <c r="R51" s="329"/>
      <c r="T51" s="331"/>
      <c r="U51" s="332"/>
      <c r="W51" s="306"/>
      <c r="X51" s="306"/>
      <c r="Y51" s="304"/>
    </row>
    <row r="52" spans="3:25" x14ac:dyDescent="0.25">
      <c r="C52" s="306"/>
      <c r="D52" s="304"/>
      <c r="E52" s="305"/>
      <c r="F52" s="306"/>
      <c r="G52"/>
      <c r="H52" s="308"/>
      <c r="I52"/>
      <c r="K52" s="306"/>
      <c r="L52" s="320"/>
      <c r="R52" s="329"/>
      <c r="T52" s="331"/>
      <c r="U52" s="332"/>
      <c r="W52" s="306"/>
      <c r="X52" s="306"/>
      <c r="Y52" s="304"/>
    </row>
    <row r="53" spans="3:25" x14ac:dyDescent="0.25">
      <c r="C53" s="306"/>
      <c r="D53" s="304"/>
      <c r="E53" s="305"/>
      <c r="F53" s="306"/>
      <c r="G53"/>
      <c r="H53" s="308"/>
      <c r="I53"/>
      <c r="K53" s="306"/>
      <c r="L53" s="320"/>
      <c r="R53" s="329"/>
      <c r="T53" s="331"/>
      <c r="U53" s="332"/>
      <c r="W53" s="306"/>
      <c r="X53" s="306"/>
      <c r="Y53" s="304"/>
    </row>
    <row r="54" spans="3:25" x14ac:dyDescent="0.25">
      <c r="C54" s="306"/>
      <c r="D54" s="304"/>
      <c r="E54" s="305"/>
      <c r="F54" s="306"/>
      <c r="G54"/>
      <c r="H54" s="308"/>
      <c r="I54"/>
      <c r="K54" s="306"/>
      <c r="L54" s="320"/>
      <c r="R54" s="329"/>
      <c r="T54" s="331"/>
      <c r="U54" s="332"/>
      <c r="W54" s="306"/>
      <c r="X54" s="306"/>
      <c r="Y54" s="304"/>
    </row>
    <row r="55" spans="3:25" x14ac:dyDescent="0.25">
      <c r="C55" s="306"/>
      <c r="D55" s="306"/>
      <c r="E55" s="306"/>
      <c r="F55" s="306"/>
      <c r="G55" s="304"/>
      <c r="H55" s="304"/>
      <c r="R55" s="333"/>
      <c r="T55" s="331"/>
      <c r="U55" s="334"/>
      <c r="W55" s="306"/>
      <c r="X55" s="306"/>
      <c r="Y55" s="304"/>
    </row>
    <row r="56" spans="3:25" x14ac:dyDescent="0.25">
      <c r="C56" s="306"/>
      <c r="D56" s="306"/>
      <c r="E56" s="306"/>
      <c r="F56" s="306"/>
      <c r="G56" s="304"/>
      <c r="H56" s="304"/>
      <c r="R56" s="333"/>
      <c r="T56" s="331"/>
      <c r="U56" s="334"/>
      <c r="W56" s="306"/>
      <c r="X56" s="306"/>
      <c r="Y56" s="304"/>
    </row>
    <row r="57" spans="3:25" x14ac:dyDescent="0.25">
      <c r="R57" s="333"/>
      <c r="T57" s="331"/>
      <c r="U57" s="334"/>
      <c r="W57" s="306"/>
      <c r="X57" s="306"/>
      <c r="Y57" s="304"/>
    </row>
    <row r="58" spans="3:25" x14ac:dyDescent="0.25">
      <c r="R58" s="333"/>
      <c r="T58" s="331"/>
      <c r="U58" s="334"/>
      <c r="W58" s="306"/>
      <c r="X58" s="306"/>
      <c r="Y58" s="304"/>
    </row>
    <row r="59" spans="3:25" x14ac:dyDescent="0.25">
      <c r="R59" s="333"/>
      <c r="T59" s="331"/>
      <c r="U59" s="334"/>
      <c r="W59" s="306"/>
      <c r="X59" s="306"/>
      <c r="Y59" s="304"/>
    </row>
    <row r="60" spans="3:25" x14ac:dyDescent="0.25">
      <c r="R60" s="333"/>
      <c r="T60" s="331"/>
      <c r="U60" s="334"/>
      <c r="W60" s="306"/>
      <c r="X60" s="306"/>
      <c r="Y60" s="304"/>
    </row>
    <row r="61" spans="3:25" x14ac:dyDescent="0.25">
      <c r="R61" s="333"/>
      <c r="T61" s="331"/>
      <c r="U61" s="334"/>
      <c r="W61" s="306"/>
      <c r="X61" s="306"/>
      <c r="Y61" s="304"/>
    </row>
    <row r="62" spans="3:25" x14ac:dyDescent="0.25">
      <c r="R62" s="333"/>
      <c r="T62" s="331"/>
      <c r="U62" s="334"/>
      <c r="W62" s="306"/>
      <c r="X62" s="306"/>
      <c r="Y62" s="304"/>
    </row>
    <row r="63" spans="3:25" x14ac:dyDescent="0.25">
      <c r="R63" s="333"/>
      <c r="T63" s="331"/>
      <c r="U63" s="334"/>
      <c r="W63" s="306"/>
      <c r="X63" s="306"/>
      <c r="Y63" s="304"/>
    </row>
    <row r="64" spans="3:25" x14ac:dyDescent="0.25">
      <c r="R64" s="333"/>
      <c r="T64" s="331"/>
      <c r="U64" s="334"/>
      <c r="W64" s="306"/>
      <c r="X64" s="306"/>
      <c r="Y64" s="304"/>
    </row>
    <row r="65" spans="18:25" x14ac:dyDescent="0.25">
      <c r="R65" s="333"/>
      <c r="T65" s="331"/>
      <c r="U65" s="334"/>
      <c r="W65" s="306"/>
      <c r="X65" s="306"/>
      <c r="Y65" s="304"/>
    </row>
    <row r="66" spans="18:25" x14ac:dyDescent="0.25">
      <c r="R66" s="333"/>
      <c r="T66" s="331"/>
      <c r="U66" s="334"/>
      <c r="W66" s="306"/>
      <c r="X66" s="306"/>
      <c r="Y66" s="304"/>
    </row>
    <row r="67" spans="18:25" x14ac:dyDescent="0.25">
      <c r="R67" s="333"/>
      <c r="T67" s="331"/>
      <c r="U67" s="334"/>
      <c r="W67" s="306"/>
      <c r="X67" s="306"/>
      <c r="Y67" s="304"/>
    </row>
    <row r="68" spans="18:25" x14ac:dyDescent="0.25">
      <c r="R68" s="333"/>
      <c r="T68" s="331"/>
      <c r="U68" s="334"/>
      <c r="W68" s="306"/>
      <c r="X68" s="306"/>
      <c r="Y68" s="304"/>
    </row>
    <row r="69" spans="18:25" x14ac:dyDescent="0.25">
      <c r="R69" s="333"/>
      <c r="T69" s="331"/>
      <c r="U69" s="334"/>
      <c r="W69" s="306"/>
      <c r="X69" s="306"/>
      <c r="Y69" s="304"/>
    </row>
    <row r="70" spans="18:25" x14ac:dyDescent="0.25">
      <c r="R70" s="333"/>
      <c r="T70" s="331"/>
      <c r="U70" s="334"/>
      <c r="W70" s="306"/>
      <c r="X70" s="306"/>
      <c r="Y70" s="304"/>
    </row>
    <row r="71" spans="18:25" x14ac:dyDescent="0.25">
      <c r="R71" s="333"/>
      <c r="T71" s="331"/>
      <c r="U71" s="334"/>
      <c r="W71" s="306"/>
      <c r="X71" s="306"/>
      <c r="Y71" s="304"/>
    </row>
    <row r="72" spans="18:25" x14ac:dyDescent="0.25">
      <c r="R72" s="333"/>
      <c r="T72" s="331"/>
      <c r="U72" s="334"/>
      <c r="W72" s="306"/>
      <c r="X72" s="306"/>
      <c r="Y72" s="304"/>
    </row>
    <row r="73" spans="18:25" x14ac:dyDescent="0.25">
      <c r="R73" s="333"/>
      <c r="T73" s="331"/>
      <c r="U73" s="334"/>
      <c r="W73" s="306"/>
      <c r="X73" s="306"/>
      <c r="Y73" s="304"/>
    </row>
    <row r="74" spans="18:25" x14ac:dyDescent="0.25">
      <c r="R74" s="333"/>
      <c r="T74" s="331"/>
      <c r="U74" s="334"/>
      <c r="W74" s="306"/>
      <c r="X74" s="306"/>
      <c r="Y74" s="304"/>
    </row>
    <row r="75" spans="18:25" x14ac:dyDescent="0.25">
      <c r="R75" s="333"/>
      <c r="T75" s="331"/>
      <c r="U75" s="334"/>
      <c r="W75" s="306"/>
      <c r="X75" s="306"/>
      <c r="Y75" s="304"/>
    </row>
    <row r="76" spans="18:25" x14ac:dyDescent="0.25">
      <c r="R76" s="333"/>
      <c r="T76" s="331"/>
      <c r="U76" s="334"/>
      <c r="W76" s="306"/>
      <c r="X76" s="306"/>
      <c r="Y76" s="304"/>
    </row>
    <row r="77" spans="18:25" x14ac:dyDescent="0.25">
      <c r="R77" s="333"/>
      <c r="T77" s="331"/>
      <c r="U77" s="334"/>
      <c r="W77" s="306"/>
      <c r="X77" s="306"/>
      <c r="Y77" s="304"/>
    </row>
    <row r="78" spans="18:25" x14ac:dyDescent="0.25">
      <c r="R78" s="333"/>
      <c r="T78" s="331"/>
      <c r="U78" s="334"/>
      <c r="W78" s="306"/>
      <c r="X78" s="306"/>
      <c r="Y78" s="304"/>
    </row>
    <row r="79" spans="18:25" x14ac:dyDescent="0.25">
      <c r="R79" s="333"/>
      <c r="T79" s="331"/>
      <c r="U79" s="334"/>
      <c r="W79" s="306"/>
      <c r="X79" s="306"/>
      <c r="Y79" s="304"/>
    </row>
    <row r="80" spans="18:25" x14ac:dyDescent="0.25">
      <c r="R80" s="333"/>
      <c r="T80" s="331"/>
      <c r="U80" s="334"/>
      <c r="W80" s="306"/>
      <c r="X80" s="306"/>
      <c r="Y80" s="304"/>
    </row>
    <row r="81" spans="18:25" x14ac:dyDescent="0.25">
      <c r="R81" s="333"/>
      <c r="T81" s="331"/>
      <c r="U81" s="334"/>
      <c r="W81" s="306"/>
      <c r="X81" s="306"/>
      <c r="Y81" s="304"/>
    </row>
    <row r="82" spans="18:25" x14ac:dyDescent="0.25">
      <c r="R82" s="333"/>
      <c r="T82" s="331"/>
      <c r="U82" s="334"/>
      <c r="W82" s="306"/>
      <c r="X82" s="306"/>
      <c r="Y82" s="304"/>
    </row>
    <row r="83" spans="18:25" x14ac:dyDescent="0.25">
      <c r="R83" s="333"/>
      <c r="T83" s="331"/>
      <c r="U83" s="334"/>
      <c r="W83" s="306"/>
      <c r="X83" s="306"/>
      <c r="Y83" s="304"/>
    </row>
    <row r="84" spans="18:25" x14ac:dyDescent="0.25">
      <c r="R84" s="333"/>
      <c r="T84" s="331"/>
      <c r="U84" s="334"/>
      <c r="W84" s="306"/>
      <c r="X84" s="306"/>
      <c r="Y84" s="304"/>
    </row>
    <row r="85" spans="18:25" x14ac:dyDescent="0.25">
      <c r="R85" s="333"/>
      <c r="T85" s="331"/>
      <c r="U85" s="334"/>
      <c r="W85" s="306"/>
      <c r="X85" s="306"/>
      <c r="Y85" s="304"/>
    </row>
    <row r="86" spans="18:25" x14ac:dyDescent="0.25">
      <c r="R86" s="333"/>
      <c r="T86" s="331"/>
      <c r="U86" s="334"/>
      <c r="W86" s="306"/>
      <c r="X86" s="306"/>
      <c r="Y86" s="304"/>
    </row>
    <row r="87" spans="18:25" x14ac:dyDescent="0.25">
      <c r="R87" s="333"/>
      <c r="T87" s="331"/>
      <c r="U87" s="334"/>
      <c r="W87" s="306"/>
      <c r="X87" s="306"/>
      <c r="Y87" s="304"/>
    </row>
    <row r="88" spans="18:25" x14ac:dyDescent="0.25">
      <c r="R88" s="333"/>
      <c r="T88" s="331"/>
      <c r="U88" s="334"/>
      <c r="W88" s="306"/>
      <c r="X88" s="306"/>
      <c r="Y88" s="304"/>
    </row>
    <row r="89" spans="18:25" x14ac:dyDescent="0.25">
      <c r="R89" s="333"/>
      <c r="T89" s="331"/>
      <c r="U89" s="334"/>
      <c r="W89" s="306"/>
      <c r="X89" s="306"/>
      <c r="Y89" s="304"/>
    </row>
    <row r="90" spans="18:25" x14ac:dyDescent="0.25">
      <c r="R90" s="333"/>
      <c r="T90" s="331"/>
      <c r="U90" s="334"/>
      <c r="W90" s="306"/>
      <c r="X90" s="306"/>
      <c r="Y90" s="304"/>
    </row>
    <row r="91" spans="18:25" x14ac:dyDescent="0.25">
      <c r="R91" s="333"/>
      <c r="T91" s="331"/>
      <c r="U91" s="334"/>
      <c r="W91" s="306"/>
      <c r="X91" s="306"/>
      <c r="Y91" s="304"/>
    </row>
    <row r="92" spans="18:25" x14ac:dyDescent="0.25">
      <c r="R92" s="333"/>
      <c r="T92" s="331"/>
      <c r="U92" s="334"/>
      <c r="W92" s="306"/>
      <c r="X92" s="306"/>
      <c r="Y92" s="304"/>
    </row>
    <row r="93" spans="18:25" x14ac:dyDescent="0.25">
      <c r="R93" s="333"/>
      <c r="T93" s="331"/>
      <c r="U93" s="334"/>
      <c r="W93" s="306"/>
      <c r="X93" s="306"/>
      <c r="Y93" s="304"/>
    </row>
    <row r="94" spans="18:25" x14ac:dyDescent="0.25">
      <c r="R94" s="333"/>
      <c r="T94" s="331"/>
      <c r="U94" s="334"/>
      <c r="W94" s="306"/>
      <c r="X94" s="306"/>
      <c r="Y94" s="304"/>
    </row>
    <row r="95" spans="18:25" x14ac:dyDescent="0.25">
      <c r="R95" s="333"/>
      <c r="T95" s="331"/>
      <c r="U95" s="334"/>
      <c r="W95" s="306"/>
      <c r="X95" s="306"/>
      <c r="Y95" s="304"/>
    </row>
    <row r="96" spans="18:25" x14ac:dyDescent="0.25">
      <c r="R96" s="333"/>
      <c r="T96" s="331"/>
      <c r="U96" s="334"/>
      <c r="W96" s="306"/>
      <c r="X96" s="306"/>
      <c r="Y96" s="304"/>
    </row>
    <row r="97" spans="18:25" x14ac:dyDescent="0.25">
      <c r="R97" s="333"/>
      <c r="T97" s="331"/>
      <c r="U97" s="334"/>
      <c r="W97" s="306"/>
      <c r="X97" s="306"/>
      <c r="Y97" s="304"/>
    </row>
    <row r="98" spans="18:25" x14ac:dyDescent="0.25">
      <c r="R98" s="333"/>
      <c r="T98" s="331"/>
      <c r="U98" s="334"/>
      <c r="W98" s="306"/>
      <c r="X98" s="306"/>
      <c r="Y98" s="304"/>
    </row>
    <row r="99" spans="18:25" x14ac:dyDescent="0.25">
      <c r="R99" s="333"/>
      <c r="T99" s="331"/>
      <c r="U99" s="334"/>
      <c r="W99" s="306"/>
      <c r="X99" s="306"/>
      <c r="Y99" s="304"/>
    </row>
    <row r="100" spans="18:25" x14ac:dyDescent="0.25">
      <c r="R100" s="333"/>
      <c r="T100" s="331"/>
      <c r="U100" s="334"/>
      <c r="W100" s="306"/>
      <c r="X100" s="306"/>
      <c r="Y100" s="304"/>
    </row>
    <row r="101" spans="18:25" x14ac:dyDescent="0.25">
      <c r="R101" s="333"/>
      <c r="T101" s="331"/>
      <c r="U101" s="334"/>
      <c r="W101" s="306"/>
      <c r="X101" s="306"/>
      <c r="Y101" s="304"/>
    </row>
    <row r="102" spans="18:25" x14ac:dyDescent="0.25">
      <c r="R102" s="333"/>
      <c r="T102" s="331"/>
      <c r="U102" s="334"/>
      <c r="W102" s="306"/>
      <c r="X102" s="306"/>
      <c r="Y102" s="304"/>
    </row>
    <row r="103" spans="18:25" x14ac:dyDescent="0.25">
      <c r="R103" s="333"/>
      <c r="T103" s="331"/>
      <c r="U103" s="334"/>
      <c r="W103" s="306"/>
      <c r="X103" s="306"/>
      <c r="Y103" s="304"/>
    </row>
    <row r="104" spans="18:25" x14ac:dyDescent="0.25">
      <c r="R104" s="333"/>
      <c r="T104" s="331"/>
      <c r="U104" s="334"/>
      <c r="W104" s="306"/>
      <c r="X104" s="306"/>
      <c r="Y104" s="304"/>
    </row>
    <row r="105" spans="18:25" x14ac:dyDescent="0.25">
      <c r="R105" s="333"/>
      <c r="T105" s="331"/>
      <c r="U105" s="334"/>
      <c r="W105" s="306"/>
      <c r="X105" s="306"/>
      <c r="Y105" s="304"/>
    </row>
    <row r="106" spans="18:25" x14ac:dyDescent="0.25">
      <c r="R106" s="333"/>
      <c r="T106" s="331"/>
      <c r="U106" s="334"/>
      <c r="W106" s="306"/>
      <c r="X106" s="306"/>
      <c r="Y106" s="304"/>
    </row>
    <row r="107" spans="18:25" x14ac:dyDescent="0.25">
      <c r="R107" s="333"/>
      <c r="T107" s="331"/>
      <c r="U107" s="334"/>
      <c r="W107" s="306"/>
      <c r="X107" s="306"/>
      <c r="Y107" s="304"/>
    </row>
    <row r="108" spans="18:25" x14ac:dyDescent="0.25">
      <c r="R108" s="333"/>
      <c r="T108" s="331"/>
      <c r="U108" s="334"/>
      <c r="W108" s="306"/>
      <c r="X108" s="306"/>
      <c r="Y108" s="304"/>
    </row>
    <row r="109" spans="18:25" x14ac:dyDescent="0.25">
      <c r="R109" s="333"/>
      <c r="T109" s="331"/>
      <c r="U109" s="334"/>
      <c r="W109" s="306"/>
      <c r="X109" s="306"/>
      <c r="Y109" s="304"/>
    </row>
    <row r="110" spans="18:25" x14ac:dyDescent="0.25">
      <c r="R110" s="333"/>
      <c r="T110" s="331"/>
      <c r="U110" s="334"/>
      <c r="W110" s="306"/>
      <c r="X110" s="306"/>
      <c r="Y110" s="304"/>
    </row>
    <row r="111" spans="18:25" x14ac:dyDescent="0.25">
      <c r="R111" s="333"/>
      <c r="T111" s="331"/>
      <c r="U111" s="334"/>
      <c r="W111" s="306"/>
      <c r="X111" s="306"/>
      <c r="Y111" s="304"/>
    </row>
    <row r="112" spans="18:25" x14ac:dyDescent="0.25">
      <c r="R112" s="333"/>
      <c r="T112" s="331"/>
      <c r="U112" s="334"/>
      <c r="W112" s="306"/>
      <c r="X112" s="306"/>
      <c r="Y112" s="304"/>
    </row>
    <row r="113" spans="18:25" x14ac:dyDescent="0.25">
      <c r="R113" s="333"/>
      <c r="T113" s="331"/>
      <c r="U113" s="334"/>
      <c r="W113" s="306"/>
      <c r="X113" s="306"/>
      <c r="Y113" s="304"/>
    </row>
    <row r="114" spans="18:25" x14ac:dyDescent="0.25">
      <c r="R114" s="333"/>
      <c r="T114" s="331"/>
      <c r="U114" s="334"/>
      <c r="W114" s="306"/>
      <c r="X114" s="306"/>
      <c r="Y114" s="304"/>
    </row>
    <row r="115" spans="18:25" x14ac:dyDescent="0.25">
      <c r="R115" s="333"/>
      <c r="T115" s="331"/>
      <c r="U115" s="334"/>
      <c r="W115" s="306"/>
      <c r="X115" s="306"/>
      <c r="Y115" s="304"/>
    </row>
    <row r="116" spans="18:25" x14ac:dyDescent="0.25">
      <c r="R116" s="333"/>
      <c r="T116" s="331"/>
      <c r="U116" s="334"/>
      <c r="W116" s="306"/>
      <c r="X116" s="306"/>
      <c r="Y116" s="304"/>
    </row>
    <row r="117" spans="18:25" x14ac:dyDescent="0.25">
      <c r="R117" s="333"/>
      <c r="T117" s="331"/>
      <c r="U117" s="334"/>
      <c r="W117" s="306"/>
      <c r="X117" s="306"/>
      <c r="Y117" s="304"/>
    </row>
    <row r="118" spans="18:25" x14ac:dyDescent="0.25">
      <c r="R118" s="333"/>
      <c r="T118" s="331"/>
      <c r="U118" s="334"/>
      <c r="W118" s="306"/>
      <c r="X118" s="306"/>
      <c r="Y118" s="304"/>
    </row>
    <row r="119" spans="18:25" x14ac:dyDescent="0.25">
      <c r="R119" s="333"/>
      <c r="T119" s="331"/>
      <c r="U119" s="334"/>
      <c r="W119" s="306"/>
      <c r="X119" s="306"/>
      <c r="Y119" s="304"/>
    </row>
    <row r="120" spans="18:25" x14ac:dyDescent="0.25">
      <c r="R120" s="333"/>
      <c r="T120" s="331"/>
      <c r="U120" s="334"/>
      <c r="W120" s="306"/>
      <c r="X120" s="306"/>
      <c r="Y120" s="304"/>
    </row>
    <row r="121" spans="18:25" x14ac:dyDescent="0.25">
      <c r="R121" s="333"/>
      <c r="T121" s="331"/>
      <c r="U121" s="334"/>
      <c r="W121" s="306"/>
      <c r="X121" s="306"/>
      <c r="Y121" s="304"/>
    </row>
    <row r="122" spans="18:25" x14ac:dyDescent="0.25">
      <c r="R122" s="333"/>
      <c r="T122" s="331"/>
      <c r="U122" s="334"/>
      <c r="W122" s="306"/>
      <c r="X122" s="306"/>
      <c r="Y122" s="304"/>
    </row>
    <row r="123" spans="18:25" x14ac:dyDescent="0.25">
      <c r="R123" s="333"/>
      <c r="T123" s="331"/>
      <c r="U123" s="334"/>
      <c r="W123" s="306"/>
      <c r="X123" s="306"/>
      <c r="Y123" s="304"/>
    </row>
    <row r="124" spans="18:25" x14ac:dyDescent="0.25">
      <c r="R124" s="333"/>
      <c r="T124" s="331"/>
      <c r="U124" s="334"/>
      <c r="W124" s="306"/>
      <c r="X124" s="306"/>
      <c r="Y124" s="304"/>
    </row>
    <row r="125" spans="18:25" x14ac:dyDescent="0.25">
      <c r="R125" s="333"/>
      <c r="T125" s="331"/>
      <c r="U125" s="334"/>
      <c r="W125" s="306"/>
      <c r="X125" s="306"/>
      <c r="Y125" s="304"/>
    </row>
    <row r="126" spans="18:25" x14ac:dyDescent="0.25">
      <c r="R126" s="333"/>
      <c r="T126" s="331"/>
      <c r="U126" s="334"/>
      <c r="W126" s="306"/>
      <c r="X126" s="306"/>
      <c r="Y126" s="304"/>
    </row>
    <row r="127" spans="18:25" x14ac:dyDescent="0.25">
      <c r="R127" s="333"/>
      <c r="T127" s="331"/>
      <c r="U127" s="334"/>
      <c r="W127" s="306"/>
      <c r="X127" s="306"/>
      <c r="Y127" s="304"/>
    </row>
    <row r="128" spans="18:25" x14ac:dyDescent="0.25">
      <c r="R128" s="333"/>
      <c r="T128" s="331"/>
      <c r="U128" s="334"/>
      <c r="W128" s="306"/>
      <c r="X128" s="306"/>
      <c r="Y128" s="304"/>
    </row>
    <row r="129" spans="18:25" x14ac:dyDescent="0.25">
      <c r="R129" s="333"/>
      <c r="T129" s="331"/>
      <c r="U129" s="334"/>
      <c r="W129" s="306"/>
      <c r="X129" s="306"/>
      <c r="Y129" s="304"/>
    </row>
    <row r="130" spans="18:25" x14ac:dyDescent="0.25">
      <c r="R130" s="333"/>
      <c r="T130" s="331"/>
      <c r="U130" s="334"/>
      <c r="W130" s="306"/>
      <c r="X130" s="306"/>
      <c r="Y130" s="304"/>
    </row>
    <row r="131" spans="18:25" x14ac:dyDescent="0.25">
      <c r="R131" s="333"/>
      <c r="T131" s="331"/>
      <c r="U131" s="334"/>
      <c r="W131" s="306"/>
      <c r="X131" s="306"/>
      <c r="Y131" s="304"/>
    </row>
    <row r="132" spans="18:25" x14ac:dyDescent="0.25">
      <c r="R132" s="333"/>
      <c r="T132" s="331"/>
      <c r="U132" s="334"/>
      <c r="W132" s="306"/>
      <c r="X132" s="306"/>
      <c r="Y132" s="304"/>
    </row>
    <row r="133" spans="18:25" x14ac:dyDescent="0.25">
      <c r="R133" s="333"/>
      <c r="T133" s="331"/>
      <c r="U133" s="334"/>
      <c r="W133" s="306"/>
      <c r="X133" s="306"/>
      <c r="Y133" s="304"/>
    </row>
    <row r="134" spans="18:25" x14ac:dyDescent="0.25">
      <c r="R134" s="333"/>
      <c r="T134" s="331"/>
      <c r="U134" s="334"/>
      <c r="W134" s="306"/>
      <c r="X134" s="306"/>
      <c r="Y134" s="304"/>
    </row>
    <row r="135" spans="18:25" x14ac:dyDescent="0.25">
      <c r="R135" s="333"/>
      <c r="T135" s="331"/>
      <c r="U135" s="334"/>
      <c r="W135" s="306"/>
      <c r="X135" s="306"/>
      <c r="Y135" s="304"/>
    </row>
    <row r="136" spans="18:25" x14ac:dyDescent="0.25">
      <c r="R136" s="333"/>
      <c r="T136" s="331"/>
      <c r="U136" s="334"/>
      <c r="W136" s="306"/>
      <c r="X136" s="306"/>
      <c r="Y136" s="304"/>
    </row>
    <row r="137" spans="18:25" x14ac:dyDescent="0.25">
      <c r="R137" s="333"/>
      <c r="T137" s="331"/>
      <c r="U137" s="334"/>
      <c r="W137" s="306"/>
      <c r="X137" s="306"/>
      <c r="Y137" s="304"/>
    </row>
    <row r="138" spans="18:25" x14ac:dyDescent="0.25">
      <c r="R138" s="333"/>
      <c r="T138" s="331"/>
      <c r="U138" s="334"/>
      <c r="W138" s="306"/>
      <c r="X138" s="306"/>
      <c r="Y138" s="304"/>
    </row>
    <row r="139" spans="18:25" x14ac:dyDescent="0.25">
      <c r="R139" s="333"/>
      <c r="T139" s="331"/>
      <c r="U139" s="334"/>
      <c r="W139" s="306"/>
      <c r="X139" s="306"/>
      <c r="Y139" s="304"/>
    </row>
    <row r="140" spans="18:25" x14ac:dyDescent="0.25">
      <c r="R140" s="333"/>
      <c r="T140" s="331"/>
      <c r="U140" s="334"/>
      <c r="W140" s="306"/>
      <c r="X140" s="306"/>
      <c r="Y140" s="304"/>
    </row>
    <row r="141" spans="18:25" x14ac:dyDescent="0.25">
      <c r="R141" s="333"/>
      <c r="T141" s="331"/>
      <c r="U141" s="334"/>
      <c r="W141" s="306"/>
      <c r="X141" s="306"/>
      <c r="Y141" s="304"/>
    </row>
    <row r="142" spans="18:25" x14ac:dyDescent="0.25">
      <c r="R142" s="333"/>
      <c r="T142" s="331"/>
      <c r="U142" s="334"/>
      <c r="W142" s="306"/>
      <c r="X142" s="306"/>
      <c r="Y142" s="304"/>
    </row>
    <row r="143" spans="18:25" x14ac:dyDescent="0.25">
      <c r="R143" s="333"/>
      <c r="T143" s="331"/>
      <c r="U143" s="334"/>
      <c r="W143" s="306"/>
      <c r="X143" s="306"/>
      <c r="Y143" s="304"/>
    </row>
    <row r="144" spans="18:25" x14ac:dyDescent="0.25">
      <c r="R144" s="333"/>
      <c r="T144" s="331"/>
      <c r="U144" s="334"/>
      <c r="W144" s="306"/>
      <c r="X144" s="306"/>
      <c r="Y144" s="304"/>
    </row>
    <row r="145" spans="18:25" x14ac:dyDescent="0.25">
      <c r="R145" s="333"/>
      <c r="T145" s="331"/>
      <c r="U145" s="334"/>
      <c r="W145" s="306"/>
      <c r="X145" s="306"/>
      <c r="Y145" s="304"/>
    </row>
    <row r="146" spans="18:25" x14ac:dyDescent="0.25">
      <c r="R146" s="333"/>
      <c r="T146" s="331"/>
      <c r="U146" s="334"/>
      <c r="W146" s="306"/>
      <c r="X146" s="306"/>
      <c r="Y146" s="304"/>
    </row>
    <row r="147" spans="18:25" x14ac:dyDescent="0.25">
      <c r="R147" s="333"/>
      <c r="T147" s="331"/>
      <c r="U147" s="334"/>
      <c r="W147" s="306"/>
      <c r="X147" s="306"/>
      <c r="Y147" s="304"/>
    </row>
    <row r="148" spans="18:25" x14ac:dyDescent="0.25">
      <c r="R148" s="333"/>
      <c r="T148" s="331"/>
      <c r="U148" s="334"/>
      <c r="W148" s="306"/>
      <c r="X148" s="306"/>
      <c r="Y148" s="304"/>
    </row>
    <row r="149" spans="18:25" x14ac:dyDescent="0.25">
      <c r="R149" s="333"/>
      <c r="T149" s="331"/>
      <c r="U149" s="334"/>
      <c r="W149" s="306"/>
      <c r="X149" s="306"/>
      <c r="Y149" s="304"/>
    </row>
    <row r="150" spans="18:25" x14ac:dyDescent="0.25">
      <c r="R150" s="333"/>
      <c r="T150" s="331"/>
      <c r="U150" s="334"/>
      <c r="W150" s="306"/>
      <c r="X150" s="306"/>
      <c r="Y150" s="304"/>
    </row>
    <row r="151" spans="18:25" x14ac:dyDescent="0.25">
      <c r="R151" s="333"/>
      <c r="T151" s="331"/>
      <c r="U151" s="334"/>
      <c r="W151" s="306"/>
      <c r="X151" s="306"/>
      <c r="Y151" s="304"/>
    </row>
    <row r="152" spans="18:25" x14ac:dyDescent="0.25">
      <c r="R152" s="333"/>
      <c r="T152" s="331"/>
      <c r="U152" s="334"/>
      <c r="W152" s="306"/>
      <c r="X152" s="306"/>
      <c r="Y152" s="304"/>
    </row>
    <row r="153" spans="18:25" x14ac:dyDescent="0.25">
      <c r="R153" s="333"/>
      <c r="T153" s="331"/>
      <c r="U153" s="334"/>
      <c r="W153" s="306"/>
      <c r="X153" s="306"/>
      <c r="Y153" s="304"/>
    </row>
    <row r="154" spans="18:25" x14ac:dyDescent="0.25">
      <c r="R154" s="333"/>
      <c r="T154" s="331"/>
      <c r="U154" s="334"/>
      <c r="W154" s="306"/>
      <c r="X154" s="306"/>
      <c r="Y154" s="304"/>
    </row>
    <row r="155" spans="18:25" x14ac:dyDescent="0.25">
      <c r="R155" s="333"/>
      <c r="T155" s="331"/>
      <c r="U155" s="334"/>
      <c r="W155" s="306"/>
      <c r="X155" s="306"/>
      <c r="Y155" s="304"/>
    </row>
    <row r="156" spans="18:25" x14ac:dyDescent="0.25">
      <c r="R156" s="333"/>
      <c r="T156" s="331"/>
      <c r="U156" s="334"/>
      <c r="W156" s="306"/>
      <c r="X156" s="306"/>
      <c r="Y156" s="304"/>
    </row>
    <row r="157" spans="18:25" x14ac:dyDescent="0.25">
      <c r="R157" s="333"/>
      <c r="T157" s="331"/>
      <c r="U157" s="334"/>
      <c r="W157" s="306"/>
      <c r="X157" s="306"/>
      <c r="Y157" s="304"/>
    </row>
    <row r="158" spans="18:25" x14ac:dyDescent="0.25">
      <c r="R158" s="333"/>
      <c r="T158" s="331"/>
      <c r="U158" s="334"/>
      <c r="W158" s="306"/>
      <c r="X158" s="306"/>
      <c r="Y158" s="304"/>
    </row>
    <row r="159" spans="18:25" x14ac:dyDescent="0.25">
      <c r="R159" s="333"/>
      <c r="T159" s="331"/>
      <c r="U159" s="334"/>
      <c r="W159" s="306"/>
      <c r="X159" s="306"/>
      <c r="Y159" s="304"/>
    </row>
    <row r="160" spans="18:25" x14ac:dyDescent="0.25">
      <c r="R160" s="333"/>
      <c r="T160" s="331"/>
      <c r="U160" s="334"/>
      <c r="W160" s="306"/>
      <c r="X160" s="306"/>
      <c r="Y160" s="304"/>
    </row>
    <row r="161" spans="18:25" x14ac:dyDescent="0.25">
      <c r="R161" s="333"/>
      <c r="T161" s="331"/>
      <c r="U161" s="334"/>
      <c r="W161" s="306"/>
      <c r="X161" s="306"/>
      <c r="Y161" s="304"/>
    </row>
    <row r="162" spans="18:25" x14ac:dyDescent="0.25">
      <c r="R162" s="333"/>
      <c r="T162" s="331"/>
      <c r="U162" s="334"/>
      <c r="W162" s="306"/>
      <c r="X162" s="306"/>
      <c r="Y162" s="304"/>
    </row>
    <row r="163" spans="18:25" x14ac:dyDescent="0.25">
      <c r="R163" s="333"/>
      <c r="T163" s="331"/>
      <c r="U163" s="334"/>
      <c r="W163" s="306"/>
      <c r="X163" s="306"/>
      <c r="Y163" s="304"/>
    </row>
    <row r="164" spans="18:25" x14ac:dyDescent="0.25">
      <c r="R164" s="333"/>
      <c r="T164" s="331"/>
      <c r="U164" s="334"/>
      <c r="W164" s="306"/>
      <c r="X164" s="306"/>
      <c r="Y164" s="304"/>
    </row>
    <row r="165" spans="18:25" x14ac:dyDescent="0.25">
      <c r="R165" s="333"/>
      <c r="T165" s="331"/>
      <c r="U165" s="334"/>
      <c r="W165" s="306"/>
      <c r="X165" s="306"/>
      <c r="Y165" s="304"/>
    </row>
    <row r="166" spans="18:25" x14ac:dyDescent="0.25">
      <c r="R166" s="333"/>
      <c r="T166" s="331"/>
      <c r="U166" s="334"/>
      <c r="W166" s="306"/>
      <c r="X166" s="306"/>
      <c r="Y166" s="304"/>
    </row>
    <row r="167" spans="18:25" x14ac:dyDescent="0.25">
      <c r="R167" s="333"/>
      <c r="T167" s="331"/>
      <c r="U167" s="334"/>
      <c r="W167" s="306"/>
      <c r="X167" s="306"/>
      <c r="Y167" s="304"/>
    </row>
    <row r="168" spans="18:25" x14ac:dyDescent="0.25">
      <c r="R168" s="333"/>
      <c r="T168" s="331"/>
      <c r="U168" s="334"/>
      <c r="W168" s="306"/>
      <c r="X168" s="306"/>
      <c r="Y168" s="304"/>
    </row>
    <row r="169" spans="18:25" x14ac:dyDescent="0.25">
      <c r="R169" s="333"/>
      <c r="T169" s="331"/>
      <c r="U169" s="334"/>
      <c r="W169" s="306"/>
      <c r="X169" s="306"/>
      <c r="Y169" s="304"/>
    </row>
    <row r="170" spans="18:25" x14ac:dyDescent="0.25">
      <c r="R170" s="333"/>
      <c r="T170" s="331"/>
      <c r="U170" s="334"/>
      <c r="W170" s="306"/>
      <c r="X170" s="306"/>
      <c r="Y170" s="304"/>
    </row>
    <row r="171" spans="18:25" x14ac:dyDescent="0.25">
      <c r="R171" s="333"/>
      <c r="T171" s="331"/>
      <c r="U171" s="334"/>
      <c r="W171" s="306"/>
      <c r="X171" s="306"/>
      <c r="Y171" s="304"/>
    </row>
    <row r="172" spans="18:25" x14ac:dyDescent="0.25">
      <c r="R172" s="333"/>
      <c r="T172" s="331"/>
      <c r="U172" s="334"/>
      <c r="W172" s="306"/>
      <c r="X172" s="306"/>
      <c r="Y172" s="304"/>
    </row>
    <row r="173" spans="18:25" x14ac:dyDescent="0.25">
      <c r="R173" s="333"/>
      <c r="T173" s="331"/>
      <c r="U173" s="334"/>
      <c r="W173" s="306"/>
      <c r="X173" s="306"/>
      <c r="Y173" s="304"/>
    </row>
    <row r="174" spans="18:25" x14ac:dyDescent="0.25">
      <c r="R174" s="333"/>
      <c r="T174" s="331"/>
      <c r="U174" s="334"/>
      <c r="W174" s="306"/>
      <c r="X174" s="306"/>
      <c r="Y174" s="304"/>
    </row>
    <row r="175" spans="18:25" x14ac:dyDescent="0.25">
      <c r="R175" s="333"/>
      <c r="T175" s="331"/>
      <c r="U175" s="334"/>
      <c r="W175" s="306"/>
      <c r="X175" s="306"/>
      <c r="Y175" s="304"/>
    </row>
    <row r="176" spans="18:25" x14ac:dyDescent="0.25">
      <c r="R176" s="333"/>
      <c r="T176" s="331"/>
      <c r="U176" s="334"/>
      <c r="W176" s="306"/>
      <c r="X176" s="306"/>
      <c r="Y176" s="304"/>
    </row>
    <row r="177" spans="18:25" x14ac:dyDescent="0.25">
      <c r="R177" s="333"/>
      <c r="T177" s="331"/>
      <c r="U177" s="334"/>
      <c r="W177" s="306"/>
      <c r="X177" s="306"/>
      <c r="Y177" s="304"/>
    </row>
    <row r="178" spans="18:25" x14ac:dyDescent="0.25">
      <c r="R178" s="333"/>
      <c r="T178" s="331"/>
      <c r="U178" s="334"/>
      <c r="W178" s="306"/>
      <c r="X178" s="306"/>
      <c r="Y178" s="304"/>
    </row>
    <row r="179" spans="18:25" x14ac:dyDescent="0.25">
      <c r="R179" s="333"/>
      <c r="T179" s="331"/>
      <c r="U179" s="334"/>
      <c r="W179" s="306"/>
      <c r="X179" s="306"/>
      <c r="Y179" s="304"/>
    </row>
    <row r="180" spans="18:25" x14ac:dyDescent="0.25">
      <c r="R180" s="333"/>
      <c r="T180" s="331"/>
      <c r="U180" s="334"/>
      <c r="W180" s="306"/>
      <c r="X180" s="306"/>
      <c r="Y180" s="304"/>
    </row>
    <row r="181" spans="18:25" x14ac:dyDescent="0.25">
      <c r="R181" s="333"/>
      <c r="T181" s="331"/>
      <c r="U181" s="334"/>
      <c r="W181" s="306"/>
      <c r="X181" s="306"/>
      <c r="Y181" s="304"/>
    </row>
    <row r="182" spans="18:25" x14ac:dyDescent="0.25">
      <c r="R182" s="333"/>
      <c r="T182" s="331"/>
      <c r="U182" s="334"/>
      <c r="W182" s="306"/>
      <c r="X182" s="306"/>
      <c r="Y182" s="304"/>
    </row>
    <row r="183" spans="18:25" x14ac:dyDescent="0.25">
      <c r="R183" s="333"/>
      <c r="T183" s="331"/>
      <c r="U183" s="334"/>
      <c r="W183" s="306"/>
      <c r="X183" s="306"/>
      <c r="Y183" s="304"/>
    </row>
    <row r="184" spans="18:25" x14ac:dyDescent="0.25">
      <c r="R184" s="333"/>
      <c r="T184" s="331"/>
      <c r="U184" s="334"/>
      <c r="W184" s="306"/>
      <c r="X184" s="306"/>
      <c r="Y184" s="304"/>
    </row>
    <row r="185" spans="18:25" x14ac:dyDescent="0.25">
      <c r="R185" s="333"/>
      <c r="T185" s="331"/>
      <c r="U185" s="334"/>
      <c r="W185" s="306"/>
      <c r="X185" s="306"/>
      <c r="Y185" s="304"/>
    </row>
    <row r="186" spans="18:25" x14ac:dyDescent="0.25">
      <c r="R186" s="333"/>
      <c r="T186" s="331"/>
      <c r="U186" s="334"/>
      <c r="W186" s="306"/>
      <c r="X186" s="306"/>
      <c r="Y186" s="304"/>
    </row>
    <row r="187" spans="18:25" x14ac:dyDescent="0.25">
      <c r="R187" s="333"/>
      <c r="T187" s="331"/>
      <c r="U187" s="334"/>
      <c r="W187" s="306"/>
      <c r="X187" s="306"/>
      <c r="Y187" s="304"/>
    </row>
    <row r="188" spans="18:25" x14ac:dyDescent="0.25">
      <c r="R188" s="333"/>
      <c r="T188" s="331"/>
      <c r="U188" s="334"/>
      <c r="W188" s="306"/>
      <c r="X188" s="306"/>
      <c r="Y188" s="304"/>
    </row>
    <row r="189" spans="18:25" x14ac:dyDescent="0.25">
      <c r="R189" s="333"/>
      <c r="T189" s="331"/>
      <c r="U189" s="334"/>
      <c r="W189" s="306"/>
      <c r="X189" s="306"/>
      <c r="Y189" s="304"/>
    </row>
    <row r="190" spans="18:25" x14ac:dyDescent="0.25">
      <c r="R190" s="333"/>
      <c r="T190" s="331"/>
      <c r="U190" s="334"/>
      <c r="W190" s="306"/>
      <c r="X190" s="306"/>
      <c r="Y190" s="304"/>
    </row>
    <row r="191" spans="18:25" x14ac:dyDescent="0.25">
      <c r="R191" s="333"/>
      <c r="T191" s="331"/>
      <c r="U191" s="334"/>
      <c r="W191" s="306"/>
      <c r="X191" s="306"/>
      <c r="Y191" s="304"/>
    </row>
    <row r="192" spans="18:25" x14ac:dyDescent="0.25">
      <c r="R192" s="333"/>
      <c r="T192" s="331"/>
      <c r="U192" s="334"/>
      <c r="W192" s="306"/>
      <c r="X192" s="306"/>
      <c r="Y192" s="304"/>
    </row>
    <row r="193" spans="18:25" x14ac:dyDescent="0.25">
      <c r="R193" s="333"/>
      <c r="T193" s="331"/>
      <c r="U193" s="334"/>
      <c r="W193" s="306"/>
      <c r="X193" s="306"/>
      <c r="Y193" s="304"/>
    </row>
    <row r="194" spans="18:25" x14ac:dyDescent="0.25">
      <c r="R194" s="333"/>
      <c r="T194" s="331"/>
      <c r="U194" s="334"/>
      <c r="W194" s="306"/>
      <c r="X194" s="306"/>
      <c r="Y194" s="304"/>
    </row>
    <row r="195" spans="18:25" x14ac:dyDescent="0.25">
      <c r="R195" s="333"/>
      <c r="T195" s="331"/>
      <c r="U195" s="334"/>
      <c r="W195" s="306"/>
      <c r="X195" s="306"/>
      <c r="Y195" s="304"/>
    </row>
    <row r="196" spans="18:25" x14ac:dyDescent="0.25">
      <c r="R196" s="333"/>
      <c r="T196" s="331"/>
      <c r="U196" s="334"/>
      <c r="W196" s="306"/>
      <c r="X196" s="306"/>
      <c r="Y196" s="304"/>
    </row>
    <row r="197" spans="18:25" x14ac:dyDescent="0.25">
      <c r="R197" s="333"/>
      <c r="T197" s="331"/>
      <c r="U197" s="334"/>
      <c r="W197" s="306"/>
      <c r="X197" s="306"/>
      <c r="Y197" s="304"/>
    </row>
    <row r="198" spans="18:25" x14ac:dyDescent="0.25">
      <c r="R198" s="333"/>
      <c r="T198" s="331"/>
      <c r="U198" s="334"/>
      <c r="W198" s="306"/>
      <c r="X198" s="306"/>
      <c r="Y198" s="304"/>
    </row>
    <row r="199" spans="18:25" x14ac:dyDescent="0.25">
      <c r="R199" s="333"/>
      <c r="T199" s="331"/>
      <c r="U199" s="334"/>
      <c r="W199" s="306"/>
      <c r="X199" s="306"/>
      <c r="Y199" s="304"/>
    </row>
    <row r="200" spans="18:25" x14ac:dyDescent="0.25">
      <c r="R200" s="333"/>
      <c r="T200" s="331"/>
      <c r="U200" s="334"/>
      <c r="W200" s="306"/>
      <c r="X200" s="306"/>
      <c r="Y200" s="304"/>
    </row>
    <row r="201" spans="18:25" x14ac:dyDescent="0.25">
      <c r="R201" s="333"/>
      <c r="T201" s="331"/>
      <c r="U201" s="334"/>
      <c r="W201" s="306"/>
      <c r="X201" s="306"/>
      <c r="Y201" s="304"/>
    </row>
    <row r="202" spans="18:25" x14ac:dyDescent="0.25">
      <c r="R202" s="333"/>
      <c r="T202" s="331"/>
      <c r="U202" s="334"/>
      <c r="W202" s="306"/>
      <c r="X202" s="306"/>
      <c r="Y202" s="304"/>
    </row>
    <row r="203" spans="18:25" x14ac:dyDescent="0.25">
      <c r="R203" s="333"/>
      <c r="T203" s="331"/>
      <c r="U203" s="334"/>
      <c r="W203" s="306"/>
      <c r="X203" s="306"/>
      <c r="Y203" s="304"/>
    </row>
    <row r="204" spans="18:25" x14ac:dyDescent="0.25">
      <c r="R204" s="333"/>
      <c r="T204" s="331"/>
      <c r="U204" s="334"/>
      <c r="W204" s="306"/>
      <c r="X204" s="306"/>
      <c r="Y204" s="304"/>
    </row>
    <row r="205" spans="18:25" x14ac:dyDescent="0.25">
      <c r="R205" s="333"/>
      <c r="T205" s="331"/>
      <c r="U205" s="334"/>
      <c r="W205" s="306"/>
      <c r="X205" s="306"/>
      <c r="Y205" s="304"/>
    </row>
    <row r="206" spans="18:25" x14ac:dyDescent="0.25">
      <c r="R206" s="333"/>
      <c r="T206" s="331"/>
      <c r="U206" s="334"/>
      <c r="W206" s="306"/>
      <c r="X206" s="306"/>
      <c r="Y206" s="304"/>
    </row>
    <row r="207" spans="18:25" x14ac:dyDescent="0.25">
      <c r="R207" s="333"/>
      <c r="T207" s="331"/>
      <c r="U207" s="334"/>
      <c r="W207" s="306"/>
      <c r="X207" s="306"/>
      <c r="Y207" s="304"/>
    </row>
    <row r="208" spans="18:25" x14ac:dyDescent="0.25">
      <c r="R208" s="333"/>
      <c r="T208" s="331"/>
      <c r="U208" s="334"/>
      <c r="W208" s="306"/>
      <c r="X208" s="306"/>
      <c r="Y208" s="304"/>
    </row>
    <row r="209" spans="18:25" x14ac:dyDescent="0.25">
      <c r="R209" s="333"/>
      <c r="T209" s="331"/>
      <c r="U209" s="334"/>
      <c r="W209" s="306"/>
      <c r="X209" s="306"/>
      <c r="Y209" s="304"/>
    </row>
    <row r="210" spans="18:25" x14ac:dyDescent="0.25">
      <c r="R210" s="333"/>
      <c r="T210" s="331"/>
      <c r="U210" s="334"/>
      <c r="W210" s="306"/>
      <c r="X210" s="306"/>
      <c r="Y210" s="304"/>
    </row>
    <row r="211" spans="18:25" x14ac:dyDescent="0.25">
      <c r="R211" s="333"/>
      <c r="T211" s="331"/>
      <c r="U211" s="334"/>
      <c r="W211" s="306"/>
      <c r="X211" s="306"/>
      <c r="Y211" s="304"/>
    </row>
    <row r="212" spans="18:25" x14ac:dyDescent="0.25">
      <c r="R212" s="333"/>
      <c r="T212" s="331"/>
      <c r="U212" s="334"/>
      <c r="W212" s="306"/>
      <c r="X212" s="306"/>
      <c r="Y212" s="304"/>
    </row>
    <row r="213" spans="18:25" x14ac:dyDescent="0.25">
      <c r="R213" s="333"/>
      <c r="T213" s="331"/>
      <c r="U213" s="334"/>
      <c r="W213" s="306"/>
      <c r="X213" s="306"/>
      <c r="Y213" s="304"/>
    </row>
    <row r="214" spans="18:25" x14ac:dyDescent="0.25">
      <c r="R214" s="333"/>
      <c r="T214" s="331"/>
      <c r="U214" s="334"/>
      <c r="W214" s="306"/>
      <c r="X214" s="306"/>
      <c r="Y214" s="304"/>
    </row>
    <row r="215" spans="18:25" x14ac:dyDescent="0.25">
      <c r="R215" s="333"/>
      <c r="T215" s="331"/>
      <c r="U215" s="334"/>
      <c r="W215" s="306"/>
      <c r="X215" s="306"/>
      <c r="Y215" s="304"/>
    </row>
    <row r="216" spans="18:25" x14ac:dyDescent="0.25">
      <c r="R216" s="333"/>
      <c r="T216" s="331"/>
      <c r="U216" s="334"/>
      <c r="W216" s="306"/>
      <c r="X216" s="306"/>
      <c r="Y216" s="304"/>
    </row>
    <row r="217" spans="18:25" x14ac:dyDescent="0.25">
      <c r="R217" s="333"/>
      <c r="T217" s="331"/>
      <c r="U217" s="334"/>
      <c r="W217" s="306"/>
      <c r="X217" s="306"/>
      <c r="Y217" s="304"/>
    </row>
    <row r="218" spans="18:25" x14ac:dyDescent="0.25">
      <c r="R218" s="333"/>
      <c r="T218" s="331"/>
      <c r="U218" s="334"/>
      <c r="W218" s="306"/>
      <c r="X218" s="306"/>
      <c r="Y218" s="304"/>
    </row>
    <row r="219" spans="18:25" x14ac:dyDescent="0.25">
      <c r="R219" s="333"/>
      <c r="T219" s="331"/>
      <c r="U219" s="334"/>
      <c r="W219" s="306"/>
      <c r="X219" s="306"/>
      <c r="Y219" s="304"/>
    </row>
    <row r="220" spans="18:25" x14ac:dyDescent="0.25">
      <c r="R220" s="333"/>
      <c r="T220" s="331"/>
      <c r="U220" s="334"/>
      <c r="W220" s="306"/>
      <c r="X220" s="306"/>
      <c r="Y220" s="304"/>
    </row>
    <row r="221" spans="18:25" x14ac:dyDescent="0.25">
      <c r="R221" s="333"/>
      <c r="T221" s="331"/>
      <c r="U221" s="334"/>
      <c r="W221" s="306"/>
      <c r="X221" s="306"/>
      <c r="Y221" s="304"/>
    </row>
    <row r="222" spans="18:25" x14ac:dyDescent="0.25">
      <c r="R222" s="333"/>
      <c r="T222" s="331"/>
      <c r="U222" s="334"/>
      <c r="W222" s="306"/>
      <c r="X222" s="306"/>
      <c r="Y222" s="304"/>
    </row>
    <row r="223" spans="18:25" x14ac:dyDescent="0.25">
      <c r="R223" s="333"/>
      <c r="T223" s="331"/>
      <c r="U223" s="334"/>
      <c r="W223" s="306"/>
      <c r="X223" s="306"/>
      <c r="Y223" s="304"/>
    </row>
    <row r="224" spans="18:25" x14ac:dyDescent="0.25">
      <c r="R224" s="333"/>
      <c r="T224" s="331"/>
      <c r="U224" s="334"/>
      <c r="W224" s="306"/>
      <c r="X224" s="306"/>
      <c r="Y224" s="304"/>
    </row>
    <row r="225" spans="18:25" x14ac:dyDescent="0.25">
      <c r="R225" s="333"/>
      <c r="T225" s="331"/>
      <c r="U225" s="334"/>
      <c r="W225" s="306"/>
      <c r="X225" s="306"/>
      <c r="Y225" s="304"/>
    </row>
    <row r="226" spans="18:25" x14ac:dyDescent="0.25">
      <c r="R226" s="333"/>
      <c r="T226" s="331"/>
      <c r="U226" s="334"/>
      <c r="W226" s="306"/>
      <c r="X226" s="306"/>
      <c r="Y226" s="304"/>
    </row>
    <row r="227" spans="18:25" x14ac:dyDescent="0.25">
      <c r="R227" s="333"/>
      <c r="T227" s="331"/>
      <c r="U227" s="334"/>
      <c r="W227" s="306"/>
      <c r="X227" s="306"/>
      <c r="Y227" s="304"/>
    </row>
    <row r="228" spans="18:25" x14ac:dyDescent="0.25">
      <c r="R228" s="333"/>
      <c r="T228" s="331"/>
      <c r="U228" s="334"/>
      <c r="W228" s="306"/>
      <c r="X228" s="306"/>
      <c r="Y228" s="304"/>
    </row>
    <row r="229" spans="18:25" x14ac:dyDescent="0.25">
      <c r="R229" s="333"/>
      <c r="T229" s="331"/>
      <c r="U229" s="334"/>
      <c r="W229" s="306"/>
      <c r="X229" s="306"/>
      <c r="Y229" s="304"/>
    </row>
    <row r="230" spans="18:25" x14ac:dyDescent="0.25">
      <c r="R230" s="333"/>
      <c r="T230" s="331"/>
      <c r="U230" s="334"/>
      <c r="W230" s="306"/>
      <c r="X230" s="306"/>
      <c r="Y230" s="304"/>
    </row>
    <row r="231" spans="18:25" x14ac:dyDescent="0.25">
      <c r="R231" s="333"/>
      <c r="T231" s="331"/>
      <c r="U231" s="334"/>
      <c r="W231" s="306"/>
      <c r="X231" s="306"/>
      <c r="Y231" s="304"/>
    </row>
    <row r="232" spans="18:25" x14ac:dyDescent="0.25">
      <c r="R232" s="333"/>
      <c r="T232" s="331"/>
      <c r="U232" s="334"/>
      <c r="W232" s="306"/>
      <c r="X232" s="306"/>
      <c r="Y232" s="304"/>
    </row>
    <row r="233" spans="18:25" x14ac:dyDescent="0.25">
      <c r="R233" s="333"/>
      <c r="T233" s="331"/>
      <c r="U233" s="334"/>
      <c r="W233" s="306"/>
      <c r="X233" s="306"/>
      <c r="Y233" s="304"/>
    </row>
    <row r="234" spans="18:25" x14ac:dyDescent="0.25">
      <c r="R234" s="333"/>
      <c r="T234" s="331"/>
      <c r="U234" s="334"/>
      <c r="W234" s="306"/>
      <c r="X234" s="306"/>
      <c r="Y234" s="304"/>
    </row>
    <row r="235" spans="18:25" x14ac:dyDescent="0.25">
      <c r="R235" s="333"/>
      <c r="T235" s="331"/>
      <c r="U235" s="334"/>
      <c r="W235" s="306"/>
      <c r="X235" s="306"/>
      <c r="Y235" s="304"/>
    </row>
    <row r="236" spans="18:25" x14ac:dyDescent="0.25">
      <c r="R236" s="333"/>
      <c r="T236" s="331"/>
      <c r="U236" s="334"/>
      <c r="W236" s="306"/>
      <c r="X236" s="306"/>
      <c r="Y236" s="304"/>
    </row>
    <row r="237" spans="18:25" x14ac:dyDescent="0.25">
      <c r="R237" s="333"/>
      <c r="T237" s="331"/>
      <c r="U237" s="334"/>
      <c r="W237" s="306"/>
      <c r="X237" s="306"/>
      <c r="Y237" s="304"/>
    </row>
    <row r="238" spans="18:25" x14ac:dyDescent="0.25">
      <c r="R238" s="333"/>
      <c r="T238" s="331"/>
      <c r="U238" s="334"/>
      <c r="W238" s="306"/>
      <c r="X238" s="306"/>
      <c r="Y238" s="304"/>
    </row>
    <row r="239" spans="18:25" x14ac:dyDescent="0.25">
      <c r="R239" s="333"/>
      <c r="T239" s="331"/>
      <c r="U239" s="334"/>
      <c r="W239" s="306"/>
      <c r="X239" s="306"/>
      <c r="Y239" s="304"/>
    </row>
    <row r="240" spans="18:25" x14ac:dyDescent="0.25">
      <c r="R240" s="333"/>
      <c r="T240" s="331"/>
      <c r="U240" s="334"/>
      <c r="W240" s="306"/>
      <c r="X240" s="306"/>
      <c r="Y240" s="304"/>
    </row>
    <row r="241" spans="18:25" x14ac:dyDescent="0.25">
      <c r="R241" s="333"/>
      <c r="T241" s="331"/>
      <c r="U241" s="334"/>
      <c r="W241" s="306"/>
      <c r="X241" s="306"/>
      <c r="Y241" s="304"/>
    </row>
    <row r="242" spans="18:25" x14ac:dyDescent="0.25">
      <c r="R242" s="333"/>
      <c r="T242" s="331"/>
      <c r="U242" s="334"/>
      <c r="W242" s="306"/>
      <c r="X242" s="306"/>
      <c r="Y242" s="304"/>
    </row>
    <row r="243" spans="18:25" x14ac:dyDescent="0.25">
      <c r="R243" s="333"/>
      <c r="T243" s="331"/>
      <c r="U243" s="334"/>
      <c r="W243" s="306"/>
      <c r="X243" s="306"/>
      <c r="Y243" s="304"/>
    </row>
    <row r="244" spans="18:25" x14ac:dyDescent="0.25">
      <c r="R244" s="333"/>
      <c r="T244" s="331"/>
      <c r="U244" s="334"/>
      <c r="W244" s="306"/>
      <c r="X244" s="306"/>
      <c r="Y244" s="304"/>
    </row>
    <row r="245" spans="18:25" x14ac:dyDescent="0.25">
      <c r="R245" s="333"/>
      <c r="T245" s="331"/>
      <c r="U245" s="334"/>
      <c r="W245" s="306"/>
      <c r="X245" s="306"/>
      <c r="Y245" s="304"/>
    </row>
    <row r="246" spans="18:25" x14ac:dyDescent="0.25">
      <c r="R246" s="333"/>
      <c r="T246" s="331"/>
      <c r="U246" s="334"/>
      <c r="W246" s="306"/>
      <c r="X246" s="306"/>
      <c r="Y246" s="304"/>
    </row>
    <row r="247" spans="18:25" x14ac:dyDescent="0.25">
      <c r="R247" s="333"/>
      <c r="T247" s="331"/>
      <c r="U247" s="334"/>
      <c r="W247" s="306"/>
      <c r="X247" s="306"/>
      <c r="Y247" s="304"/>
    </row>
    <row r="248" spans="18:25" x14ac:dyDescent="0.25">
      <c r="R248" s="333"/>
      <c r="T248" s="331"/>
      <c r="U248" s="334"/>
      <c r="W248" s="306"/>
      <c r="X248" s="306"/>
      <c r="Y248" s="304"/>
    </row>
    <row r="249" spans="18:25" x14ac:dyDescent="0.25">
      <c r="R249" s="333"/>
      <c r="T249" s="331"/>
      <c r="U249" s="334"/>
      <c r="W249" s="306"/>
      <c r="X249" s="306"/>
      <c r="Y249" s="304"/>
    </row>
    <row r="250" spans="18:25" x14ac:dyDescent="0.25">
      <c r="R250" s="333"/>
      <c r="T250" s="331"/>
      <c r="U250" s="334"/>
      <c r="W250" s="306"/>
      <c r="X250" s="306"/>
      <c r="Y250" s="304"/>
    </row>
    <row r="251" spans="18:25" x14ac:dyDescent="0.25">
      <c r="R251" s="333"/>
      <c r="T251" s="331"/>
      <c r="U251" s="334"/>
      <c r="W251" s="306"/>
      <c r="X251" s="306"/>
      <c r="Y251" s="304"/>
    </row>
    <row r="252" spans="18:25" x14ac:dyDescent="0.25">
      <c r="R252" s="333"/>
      <c r="T252" s="331"/>
      <c r="U252" s="334"/>
      <c r="W252" s="306"/>
      <c r="X252" s="306"/>
      <c r="Y252" s="304"/>
    </row>
    <row r="253" spans="18:25" x14ac:dyDescent="0.25">
      <c r="R253" s="333"/>
      <c r="T253" s="331"/>
      <c r="U253" s="334"/>
      <c r="W253" s="306"/>
      <c r="X253" s="306"/>
      <c r="Y253" s="304"/>
    </row>
    <row r="254" spans="18:25" x14ac:dyDescent="0.25">
      <c r="R254" s="333"/>
      <c r="T254" s="331"/>
      <c r="U254" s="334"/>
      <c r="W254" s="306"/>
      <c r="X254" s="306"/>
      <c r="Y254" s="304"/>
    </row>
    <row r="255" spans="18:25" x14ac:dyDescent="0.25">
      <c r="R255" s="333"/>
      <c r="T255" s="331"/>
      <c r="U255" s="334"/>
      <c r="W255" s="306"/>
      <c r="X255" s="306"/>
      <c r="Y255" s="304"/>
    </row>
    <row r="256" spans="18:25" x14ac:dyDescent="0.25">
      <c r="R256" s="333"/>
      <c r="T256" s="331"/>
      <c r="U256" s="334"/>
      <c r="W256" s="306"/>
      <c r="X256" s="306"/>
      <c r="Y256" s="304"/>
    </row>
    <row r="257" spans="18:25" x14ac:dyDescent="0.25">
      <c r="R257" s="333"/>
      <c r="T257" s="331"/>
      <c r="U257" s="334"/>
      <c r="W257" s="306"/>
      <c r="X257" s="306"/>
      <c r="Y257" s="304"/>
    </row>
    <row r="258" spans="18:25" x14ac:dyDescent="0.25">
      <c r="R258" s="333"/>
      <c r="T258" s="331"/>
      <c r="U258" s="334"/>
      <c r="W258" s="306"/>
      <c r="X258" s="306"/>
      <c r="Y258" s="304"/>
    </row>
    <row r="259" spans="18:25" x14ac:dyDescent="0.25">
      <c r="R259" s="333"/>
      <c r="T259" s="331"/>
      <c r="U259" s="334"/>
      <c r="W259" s="306"/>
      <c r="X259" s="306"/>
      <c r="Y259" s="304"/>
    </row>
    <row r="260" spans="18:25" x14ac:dyDescent="0.25">
      <c r="R260" s="333"/>
      <c r="T260" s="331"/>
      <c r="U260" s="334"/>
      <c r="W260" s="306"/>
      <c r="X260" s="306"/>
      <c r="Y260" s="304"/>
    </row>
    <row r="261" spans="18:25" x14ac:dyDescent="0.25">
      <c r="R261" s="333"/>
      <c r="T261" s="331"/>
      <c r="U261" s="334"/>
      <c r="W261" s="306"/>
      <c r="X261" s="306"/>
      <c r="Y261" s="304"/>
    </row>
    <row r="262" spans="18:25" x14ac:dyDescent="0.25">
      <c r="R262" s="333"/>
      <c r="T262" s="331"/>
      <c r="U262" s="334"/>
      <c r="W262" s="306"/>
      <c r="X262" s="306"/>
      <c r="Y262" s="304"/>
    </row>
    <row r="263" spans="18:25" x14ac:dyDescent="0.25">
      <c r="R263" s="333"/>
      <c r="T263" s="331"/>
      <c r="U263" s="334"/>
      <c r="W263" s="306"/>
      <c r="X263" s="306"/>
      <c r="Y263" s="304"/>
    </row>
    <row r="264" spans="18:25" x14ac:dyDescent="0.25">
      <c r="R264" s="333"/>
      <c r="T264" s="331"/>
      <c r="U264" s="334"/>
      <c r="W264" s="306"/>
      <c r="X264" s="306"/>
      <c r="Y264" s="304"/>
    </row>
    <row r="265" spans="18:25" x14ac:dyDescent="0.25">
      <c r="R265" s="333"/>
      <c r="T265" s="331"/>
      <c r="U265" s="334"/>
      <c r="W265" s="306"/>
      <c r="X265" s="306"/>
      <c r="Y265" s="304"/>
    </row>
    <row r="266" spans="18:25" x14ac:dyDescent="0.25">
      <c r="R266" s="333"/>
      <c r="T266" s="331"/>
      <c r="U266" s="334"/>
      <c r="W266" s="306"/>
      <c r="X266" s="306"/>
      <c r="Y266" s="304"/>
    </row>
    <row r="267" spans="18:25" x14ac:dyDescent="0.25">
      <c r="R267" s="333"/>
      <c r="T267" s="331"/>
      <c r="U267" s="334"/>
      <c r="W267" s="306"/>
      <c r="X267" s="306"/>
      <c r="Y267" s="304"/>
    </row>
    <row r="268" spans="18:25" x14ac:dyDescent="0.25">
      <c r="R268" s="333"/>
      <c r="T268" s="331"/>
      <c r="U268" s="334"/>
      <c r="W268" s="306"/>
      <c r="X268" s="306"/>
      <c r="Y268" s="304"/>
    </row>
    <row r="269" spans="18:25" x14ac:dyDescent="0.25">
      <c r="R269" s="333"/>
      <c r="T269" s="331"/>
      <c r="U269" s="334"/>
      <c r="W269" s="306"/>
      <c r="X269" s="306"/>
      <c r="Y269" s="304"/>
    </row>
    <row r="270" spans="18:25" x14ac:dyDescent="0.25">
      <c r="R270" s="333"/>
      <c r="T270" s="331"/>
      <c r="U270" s="334"/>
      <c r="W270" s="306"/>
      <c r="X270" s="306"/>
      <c r="Y270" s="304"/>
    </row>
    <row r="271" spans="18:25" x14ac:dyDescent="0.25">
      <c r="R271" s="333"/>
      <c r="T271" s="331"/>
      <c r="U271" s="334"/>
      <c r="W271" s="306"/>
      <c r="X271" s="306"/>
      <c r="Y271" s="304"/>
    </row>
    <row r="272" spans="18:25" x14ac:dyDescent="0.25">
      <c r="R272" s="333"/>
      <c r="T272" s="331"/>
      <c r="U272" s="334"/>
      <c r="W272" s="306"/>
      <c r="X272" s="306"/>
      <c r="Y272" s="304"/>
    </row>
    <row r="273" spans="18:25" x14ac:dyDescent="0.25">
      <c r="R273" s="333"/>
      <c r="T273" s="331"/>
      <c r="U273" s="334"/>
      <c r="W273" s="306"/>
      <c r="X273" s="306"/>
      <c r="Y273" s="304"/>
    </row>
    <row r="274" spans="18:25" x14ac:dyDescent="0.25">
      <c r="R274" s="333"/>
      <c r="T274" s="331"/>
      <c r="U274" s="334"/>
      <c r="W274" s="306"/>
      <c r="X274" s="306"/>
      <c r="Y274" s="304"/>
    </row>
    <row r="275" spans="18:25" x14ac:dyDescent="0.25">
      <c r="R275" s="333"/>
      <c r="T275" s="331"/>
      <c r="U275" s="334"/>
      <c r="W275" s="306"/>
      <c r="X275" s="306"/>
      <c r="Y275" s="304"/>
    </row>
    <row r="276" spans="18:25" x14ac:dyDescent="0.25">
      <c r="R276" s="333"/>
      <c r="T276" s="331"/>
      <c r="U276" s="334"/>
      <c r="W276" s="306"/>
      <c r="X276" s="306"/>
      <c r="Y276" s="304"/>
    </row>
    <row r="277" spans="18:25" x14ac:dyDescent="0.25">
      <c r="R277" s="333"/>
      <c r="T277" s="331"/>
      <c r="U277" s="334"/>
      <c r="W277" s="306"/>
      <c r="X277" s="306"/>
      <c r="Y277" s="304"/>
    </row>
    <row r="278" spans="18:25" x14ac:dyDescent="0.25">
      <c r="R278" s="333"/>
      <c r="T278" s="331"/>
      <c r="U278" s="334"/>
      <c r="W278" s="306"/>
      <c r="X278" s="306"/>
      <c r="Y278" s="304"/>
    </row>
    <row r="279" spans="18:25" x14ac:dyDescent="0.25">
      <c r="R279" s="333"/>
      <c r="T279" s="331"/>
      <c r="U279" s="334"/>
      <c r="W279" s="306"/>
      <c r="X279" s="306"/>
      <c r="Y279" s="304"/>
    </row>
    <row r="280" spans="18:25" x14ac:dyDescent="0.25">
      <c r="R280" s="333"/>
      <c r="T280" s="331"/>
      <c r="U280" s="334"/>
      <c r="W280" s="306"/>
      <c r="X280" s="306"/>
      <c r="Y280" s="304"/>
    </row>
    <row r="281" spans="18:25" x14ac:dyDescent="0.25">
      <c r="R281" s="333"/>
      <c r="T281" s="331"/>
      <c r="U281" s="334"/>
      <c r="W281" s="306"/>
      <c r="X281" s="306"/>
      <c r="Y281" s="304"/>
    </row>
    <row r="282" spans="18:25" x14ac:dyDescent="0.25">
      <c r="R282" s="333"/>
      <c r="T282" s="331"/>
      <c r="U282" s="334"/>
      <c r="W282" s="306"/>
      <c r="X282" s="306"/>
      <c r="Y282" s="304"/>
    </row>
    <row r="283" spans="18:25" x14ac:dyDescent="0.25">
      <c r="R283" s="333"/>
      <c r="T283" s="331"/>
      <c r="U283" s="334"/>
      <c r="W283" s="306"/>
      <c r="X283" s="306"/>
      <c r="Y283" s="304"/>
    </row>
    <row r="284" spans="18:25" x14ac:dyDescent="0.25">
      <c r="R284" s="333"/>
      <c r="T284" s="331"/>
      <c r="U284" s="334"/>
      <c r="W284" s="306"/>
      <c r="X284" s="306"/>
      <c r="Y284" s="304"/>
    </row>
    <row r="285" spans="18:25" x14ac:dyDescent="0.25">
      <c r="R285" s="333"/>
      <c r="T285" s="331"/>
      <c r="U285" s="334"/>
      <c r="W285" s="306"/>
      <c r="X285" s="306"/>
      <c r="Y285" s="304"/>
    </row>
    <row r="286" spans="18:25" x14ac:dyDescent="0.25">
      <c r="R286" s="333"/>
      <c r="T286" s="331"/>
      <c r="U286" s="334"/>
      <c r="W286" s="306"/>
      <c r="X286" s="306"/>
      <c r="Y286" s="304"/>
    </row>
    <row r="287" spans="18:25" x14ac:dyDescent="0.25">
      <c r="R287" s="333"/>
      <c r="T287" s="331"/>
      <c r="U287" s="334"/>
      <c r="W287" s="306"/>
      <c r="X287" s="306"/>
      <c r="Y287" s="304"/>
    </row>
    <row r="288" spans="18:25" x14ac:dyDescent="0.25">
      <c r="R288" s="333"/>
      <c r="T288" s="331"/>
      <c r="U288" s="334"/>
      <c r="W288" s="306"/>
      <c r="X288" s="306"/>
      <c r="Y288" s="304"/>
    </row>
    <row r="289" spans="18:25" x14ac:dyDescent="0.25">
      <c r="R289" s="333"/>
      <c r="T289" s="331"/>
      <c r="U289" s="334"/>
      <c r="W289" s="306"/>
      <c r="X289" s="306"/>
      <c r="Y289" s="304"/>
    </row>
    <row r="290" spans="18:25" x14ac:dyDescent="0.25">
      <c r="R290" s="333"/>
      <c r="T290" s="331"/>
      <c r="U290" s="334"/>
      <c r="W290" s="306"/>
      <c r="X290" s="306"/>
      <c r="Y290" s="304"/>
    </row>
    <row r="291" spans="18:25" x14ac:dyDescent="0.25">
      <c r="R291" s="333"/>
      <c r="T291" s="331"/>
      <c r="U291" s="334"/>
      <c r="W291" s="306"/>
      <c r="X291" s="306"/>
      <c r="Y291" s="304"/>
    </row>
    <row r="292" spans="18:25" x14ac:dyDescent="0.25">
      <c r="R292" s="333"/>
      <c r="T292" s="331"/>
      <c r="U292" s="334"/>
      <c r="W292" s="306"/>
      <c r="X292" s="306"/>
      <c r="Y292" s="304"/>
    </row>
    <row r="293" spans="18:25" x14ac:dyDescent="0.25">
      <c r="R293" s="333"/>
      <c r="T293" s="331"/>
      <c r="U293" s="334"/>
      <c r="W293" s="306"/>
      <c r="X293" s="306"/>
      <c r="Y293" s="304"/>
    </row>
    <row r="294" spans="18:25" x14ac:dyDescent="0.25">
      <c r="R294" s="333"/>
      <c r="T294" s="331"/>
      <c r="U294" s="334"/>
      <c r="W294" s="306"/>
      <c r="X294" s="306"/>
      <c r="Y294" s="304"/>
    </row>
    <row r="295" spans="18:25" x14ac:dyDescent="0.25">
      <c r="R295" s="333"/>
      <c r="T295" s="331"/>
      <c r="U295" s="334"/>
      <c r="W295" s="306"/>
      <c r="X295" s="306"/>
      <c r="Y295" s="304"/>
    </row>
    <row r="296" spans="18:25" x14ac:dyDescent="0.25">
      <c r="R296" s="333"/>
      <c r="T296" s="331"/>
      <c r="U296" s="334"/>
      <c r="W296" s="306"/>
      <c r="X296" s="306"/>
      <c r="Y296" s="304"/>
    </row>
    <row r="297" spans="18:25" x14ac:dyDescent="0.25">
      <c r="R297" s="333"/>
      <c r="T297" s="331"/>
      <c r="U297" s="334"/>
      <c r="W297" s="306"/>
      <c r="X297" s="306"/>
      <c r="Y297" s="304"/>
    </row>
    <row r="298" spans="18:25" x14ac:dyDescent="0.25">
      <c r="R298" s="333"/>
      <c r="T298" s="331"/>
      <c r="U298" s="334"/>
      <c r="W298" s="306"/>
      <c r="X298" s="306"/>
      <c r="Y298" s="304"/>
    </row>
    <row r="299" spans="18:25" x14ac:dyDescent="0.25">
      <c r="R299" s="333"/>
      <c r="T299" s="331"/>
      <c r="U299" s="334"/>
      <c r="W299" s="306"/>
      <c r="X299" s="306"/>
      <c r="Y299" s="304"/>
    </row>
    <row r="300" spans="18:25" x14ac:dyDescent="0.25">
      <c r="R300" s="333"/>
      <c r="T300" s="331"/>
      <c r="U300" s="334"/>
      <c r="W300" s="306"/>
      <c r="X300" s="306"/>
      <c r="Y300" s="304"/>
    </row>
    <row r="301" spans="18:25" x14ac:dyDescent="0.25">
      <c r="R301" s="333"/>
      <c r="T301" s="331"/>
      <c r="U301" s="334"/>
      <c r="W301" s="306"/>
      <c r="X301" s="306"/>
      <c r="Y301" s="304"/>
    </row>
    <row r="302" spans="18:25" x14ac:dyDescent="0.25">
      <c r="R302" s="333"/>
      <c r="T302" s="331"/>
      <c r="U302" s="334"/>
      <c r="W302" s="306"/>
      <c r="X302" s="306"/>
      <c r="Y302" s="304"/>
    </row>
    <row r="303" spans="18:25" x14ac:dyDescent="0.25">
      <c r="R303" s="333"/>
      <c r="T303" s="331"/>
      <c r="U303" s="334"/>
      <c r="W303" s="306"/>
      <c r="X303" s="306"/>
      <c r="Y303" s="304"/>
    </row>
    <row r="304" spans="18:25" x14ac:dyDescent="0.25">
      <c r="R304" s="333"/>
      <c r="T304" s="331"/>
      <c r="U304" s="334"/>
      <c r="W304" s="306"/>
      <c r="X304" s="306"/>
      <c r="Y304" s="304"/>
    </row>
    <row r="305" spans="18:25" x14ac:dyDescent="0.25">
      <c r="R305" s="333"/>
      <c r="T305" s="331"/>
      <c r="U305" s="334"/>
      <c r="W305" s="306"/>
      <c r="X305" s="306"/>
      <c r="Y305" s="304"/>
    </row>
    <row r="306" spans="18:25" x14ac:dyDescent="0.25">
      <c r="R306" s="333"/>
      <c r="T306" s="331"/>
      <c r="U306" s="334"/>
      <c r="W306" s="306"/>
      <c r="X306" s="306"/>
      <c r="Y306" s="304"/>
    </row>
    <row r="307" spans="18:25" x14ac:dyDescent="0.25">
      <c r="R307" s="333"/>
      <c r="T307" s="331"/>
      <c r="U307" s="334"/>
      <c r="W307" s="306"/>
      <c r="X307" s="306"/>
      <c r="Y307" s="304"/>
    </row>
    <row r="308" spans="18:25" x14ac:dyDescent="0.25">
      <c r="R308" s="333"/>
      <c r="T308" s="331"/>
      <c r="U308" s="334"/>
      <c r="W308" s="306"/>
      <c r="X308" s="306"/>
      <c r="Y308" s="304"/>
    </row>
    <row r="309" spans="18:25" x14ac:dyDescent="0.25">
      <c r="R309" s="333"/>
      <c r="T309" s="331"/>
      <c r="U309" s="334"/>
      <c r="W309" s="306"/>
      <c r="X309" s="306"/>
      <c r="Y309" s="304"/>
    </row>
    <row r="310" spans="18:25" x14ac:dyDescent="0.25">
      <c r="R310" s="333"/>
      <c r="T310" s="331"/>
      <c r="U310" s="334"/>
      <c r="W310" s="306"/>
      <c r="X310" s="306"/>
      <c r="Y310" s="304"/>
    </row>
    <row r="311" spans="18:25" x14ac:dyDescent="0.25">
      <c r="R311" s="333"/>
      <c r="T311" s="331"/>
      <c r="U311" s="334"/>
      <c r="W311" s="306"/>
      <c r="X311" s="306"/>
      <c r="Y311" s="304"/>
    </row>
    <row r="312" spans="18:25" x14ac:dyDescent="0.25">
      <c r="R312" s="333"/>
      <c r="T312" s="331"/>
      <c r="U312" s="334"/>
      <c r="W312" s="306"/>
      <c r="X312" s="306"/>
      <c r="Y312" s="304"/>
    </row>
    <row r="313" spans="18:25" x14ac:dyDescent="0.25">
      <c r="R313" s="333"/>
      <c r="T313" s="331"/>
      <c r="U313" s="334"/>
      <c r="W313" s="306"/>
      <c r="X313" s="306"/>
      <c r="Y313" s="304"/>
    </row>
    <row r="314" spans="18:25" x14ac:dyDescent="0.25">
      <c r="R314" s="333"/>
      <c r="T314" s="331"/>
      <c r="U314" s="334"/>
      <c r="W314" s="306"/>
      <c r="X314" s="306"/>
      <c r="Y314" s="304"/>
    </row>
    <row r="315" spans="18:25" x14ac:dyDescent="0.25">
      <c r="R315" s="333"/>
      <c r="T315" s="331"/>
      <c r="U315" s="334"/>
      <c r="W315" s="306"/>
      <c r="X315" s="306"/>
      <c r="Y315" s="304"/>
    </row>
    <row r="316" spans="18:25" x14ac:dyDescent="0.25">
      <c r="R316" s="333"/>
      <c r="T316" s="331"/>
      <c r="U316" s="334"/>
      <c r="W316" s="306"/>
      <c r="X316" s="306"/>
      <c r="Y316" s="304"/>
    </row>
    <row r="317" spans="18:25" x14ac:dyDescent="0.25">
      <c r="R317" s="333"/>
      <c r="T317" s="331"/>
      <c r="U317" s="334"/>
      <c r="W317" s="306"/>
      <c r="X317" s="306"/>
      <c r="Y317" s="304"/>
    </row>
    <row r="318" spans="18:25" x14ac:dyDescent="0.25">
      <c r="R318" s="333"/>
      <c r="T318" s="331"/>
      <c r="U318" s="334"/>
      <c r="W318" s="306"/>
      <c r="X318" s="306"/>
      <c r="Y318" s="304"/>
    </row>
    <row r="319" spans="18:25" x14ac:dyDescent="0.25">
      <c r="R319" s="333"/>
      <c r="T319" s="331"/>
      <c r="U319" s="334"/>
      <c r="W319" s="306"/>
      <c r="X319" s="306"/>
      <c r="Y319" s="304"/>
    </row>
    <row r="320" spans="18:25" x14ac:dyDescent="0.25">
      <c r="R320" s="333"/>
      <c r="T320" s="331"/>
      <c r="U320" s="334"/>
      <c r="W320" s="306"/>
      <c r="X320" s="306"/>
      <c r="Y320" s="304"/>
    </row>
    <row r="321" spans="18:25" x14ac:dyDescent="0.25">
      <c r="R321" s="333"/>
      <c r="T321" s="331"/>
      <c r="U321" s="334"/>
      <c r="W321" s="306"/>
      <c r="X321" s="306"/>
      <c r="Y321" s="304"/>
    </row>
    <row r="322" spans="18:25" x14ac:dyDescent="0.25">
      <c r="R322" s="333"/>
      <c r="T322" s="331"/>
      <c r="U322" s="334"/>
      <c r="W322" s="306"/>
      <c r="X322" s="306"/>
      <c r="Y322" s="304"/>
    </row>
    <row r="323" spans="18:25" x14ac:dyDescent="0.25">
      <c r="R323" s="333"/>
      <c r="T323" s="331"/>
      <c r="U323" s="334"/>
      <c r="W323" s="306"/>
      <c r="X323" s="306"/>
      <c r="Y323" s="304"/>
    </row>
    <row r="324" spans="18:25" x14ac:dyDescent="0.25">
      <c r="R324" s="333"/>
      <c r="T324" s="331"/>
      <c r="U324" s="334"/>
      <c r="W324" s="306"/>
      <c r="X324" s="306"/>
      <c r="Y324" s="304"/>
    </row>
    <row r="325" spans="18:25" x14ac:dyDescent="0.25">
      <c r="R325" s="333"/>
      <c r="T325" s="331"/>
      <c r="U325" s="334"/>
      <c r="W325" s="306"/>
      <c r="X325" s="306"/>
      <c r="Y325" s="304"/>
    </row>
    <row r="326" spans="18:25" x14ac:dyDescent="0.25">
      <c r="R326" s="333"/>
      <c r="T326" s="331"/>
      <c r="U326" s="334"/>
      <c r="W326" s="306"/>
      <c r="X326" s="306"/>
      <c r="Y326" s="304"/>
    </row>
    <row r="327" spans="18:25" x14ac:dyDescent="0.25">
      <c r="R327" s="333"/>
      <c r="T327" s="331"/>
      <c r="U327" s="334"/>
      <c r="W327" s="306"/>
      <c r="X327" s="306"/>
      <c r="Y327" s="304"/>
    </row>
    <row r="328" spans="18:25" x14ac:dyDescent="0.25">
      <c r="R328" s="333"/>
      <c r="T328" s="331"/>
      <c r="U328" s="334"/>
      <c r="W328" s="306"/>
      <c r="X328" s="306"/>
      <c r="Y328" s="304"/>
    </row>
    <row r="329" spans="18:25" x14ac:dyDescent="0.25">
      <c r="R329" s="333"/>
      <c r="T329" s="331"/>
      <c r="U329" s="334"/>
      <c r="W329" s="306"/>
      <c r="X329" s="306"/>
      <c r="Y329" s="304"/>
    </row>
    <row r="330" spans="18:25" x14ac:dyDescent="0.25">
      <c r="R330" s="333"/>
      <c r="T330" s="331"/>
      <c r="U330" s="334"/>
      <c r="W330" s="306"/>
      <c r="X330" s="306"/>
      <c r="Y330" s="304"/>
    </row>
    <row r="331" spans="18:25" x14ac:dyDescent="0.25">
      <c r="R331" s="333"/>
      <c r="T331" s="331"/>
      <c r="U331" s="334"/>
      <c r="W331" s="306"/>
      <c r="X331" s="306"/>
      <c r="Y331" s="304"/>
    </row>
    <row r="332" spans="18:25" x14ac:dyDescent="0.25">
      <c r="R332" s="333"/>
      <c r="T332" s="331"/>
      <c r="U332" s="334"/>
      <c r="W332" s="306"/>
      <c r="X332" s="306"/>
      <c r="Y332" s="304"/>
    </row>
    <row r="333" spans="18:25" x14ac:dyDescent="0.25">
      <c r="R333" s="333"/>
      <c r="T333" s="331"/>
      <c r="U333" s="334"/>
      <c r="W333" s="306"/>
      <c r="X333" s="306"/>
      <c r="Y333" s="304"/>
    </row>
    <row r="334" spans="18:25" x14ac:dyDescent="0.25">
      <c r="R334" s="333"/>
      <c r="T334" s="331"/>
      <c r="U334" s="334"/>
      <c r="W334" s="306"/>
      <c r="X334" s="306"/>
      <c r="Y334" s="304"/>
    </row>
    <row r="335" spans="18:25" x14ac:dyDescent="0.25">
      <c r="R335" s="333"/>
      <c r="T335" s="331"/>
      <c r="U335" s="334"/>
      <c r="W335" s="306"/>
      <c r="X335" s="306"/>
      <c r="Y335" s="304"/>
    </row>
    <row r="336" spans="18:25" x14ac:dyDescent="0.25">
      <c r="R336" s="333"/>
      <c r="T336" s="331"/>
      <c r="U336" s="334"/>
      <c r="W336" s="306"/>
      <c r="X336" s="306"/>
      <c r="Y336" s="304"/>
    </row>
    <row r="337" spans="18:25" x14ac:dyDescent="0.25">
      <c r="R337" s="333"/>
      <c r="T337" s="331"/>
      <c r="U337" s="334"/>
      <c r="W337" s="306"/>
      <c r="X337" s="306"/>
      <c r="Y337" s="304"/>
    </row>
    <row r="338" spans="18:25" x14ac:dyDescent="0.25">
      <c r="R338" s="333"/>
      <c r="T338" s="331"/>
      <c r="U338" s="334"/>
      <c r="W338" s="306"/>
      <c r="X338" s="306"/>
      <c r="Y338" s="304"/>
    </row>
    <row r="339" spans="18:25" x14ac:dyDescent="0.25">
      <c r="R339" s="333"/>
      <c r="T339" s="331"/>
      <c r="U339" s="334"/>
      <c r="W339" s="306"/>
      <c r="X339" s="306"/>
      <c r="Y339" s="304"/>
    </row>
    <row r="340" spans="18:25" x14ac:dyDescent="0.25">
      <c r="R340" s="333"/>
      <c r="T340" s="331"/>
      <c r="U340" s="334"/>
      <c r="W340" s="306"/>
      <c r="X340" s="306"/>
      <c r="Y340" s="304"/>
    </row>
    <row r="341" spans="18:25" x14ac:dyDescent="0.25">
      <c r="R341" s="333"/>
      <c r="T341" s="331"/>
      <c r="U341" s="334"/>
      <c r="W341" s="306"/>
      <c r="X341" s="306"/>
      <c r="Y341" s="304"/>
    </row>
    <row r="342" spans="18:25" x14ac:dyDescent="0.25">
      <c r="R342" s="333"/>
      <c r="T342" s="331"/>
      <c r="U342" s="334"/>
      <c r="W342" s="306"/>
      <c r="X342" s="306"/>
      <c r="Y342" s="304"/>
    </row>
    <row r="343" spans="18:25" x14ac:dyDescent="0.25">
      <c r="R343" s="333"/>
      <c r="T343" s="331"/>
      <c r="U343" s="334"/>
      <c r="W343" s="306"/>
      <c r="X343" s="306"/>
      <c r="Y343" s="304"/>
    </row>
    <row r="344" spans="18:25" x14ac:dyDescent="0.25">
      <c r="R344" s="333"/>
      <c r="T344" s="331"/>
      <c r="U344" s="334"/>
      <c r="W344" s="306"/>
      <c r="X344" s="306"/>
      <c r="Y344" s="304"/>
    </row>
    <row r="345" spans="18:25" x14ac:dyDescent="0.25">
      <c r="R345" s="333"/>
      <c r="T345" s="331"/>
      <c r="U345" s="334"/>
      <c r="W345" s="306"/>
      <c r="X345" s="306"/>
      <c r="Y345" s="304"/>
    </row>
    <row r="346" spans="18:25" x14ac:dyDescent="0.25">
      <c r="R346" s="333"/>
      <c r="T346" s="331"/>
      <c r="U346" s="334"/>
      <c r="W346" s="306"/>
      <c r="X346" s="306"/>
      <c r="Y346" s="304"/>
    </row>
    <row r="347" spans="18:25" x14ac:dyDescent="0.25">
      <c r="R347" s="333"/>
      <c r="T347" s="331"/>
      <c r="U347" s="334"/>
      <c r="W347" s="306"/>
      <c r="X347" s="306"/>
      <c r="Y347" s="304"/>
    </row>
    <row r="348" spans="18:25" x14ac:dyDescent="0.25">
      <c r="R348" s="333"/>
      <c r="T348" s="331"/>
      <c r="U348" s="334"/>
      <c r="W348" s="306"/>
      <c r="X348" s="306"/>
      <c r="Y348" s="304"/>
    </row>
    <row r="349" spans="18:25" x14ac:dyDescent="0.25">
      <c r="R349" s="333"/>
      <c r="T349" s="331"/>
      <c r="U349" s="334"/>
      <c r="W349" s="306"/>
      <c r="X349" s="306"/>
      <c r="Y349" s="304"/>
    </row>
    <row r="350" spans="18:25" x14ac:dyDescent="0.25">
      <c r="R350" s="333"/>
      <c r="T350" s="331"/>
      <c r="U350" s="334"/>
      <c r="W350" s="306"/>
      <c r="X350" s="306"/>
      <c r="Y350" s="304"/>
    </row>
    <row r="351" spans="18:25" x14ac:dyDescent="0.25">
      <c r="R351" s="333"/>
      <c r="T351" s="331"/>
      <c r="U351" s="334"/>
      <c r="W351" s="306"/>
      <c r="X351" s="306"/>
      <c r="Y351" s="304"/>
    </row>
    <row r="352" spans="18:25" x14ac:dyDescent="0.25">
      <c r="R352" s="333"/>
      <c r="T352" s="331"/>
      <c r="U352" s="334"/>
      <c r="W352" s="306"/>
      <c r="X352" s="306"/>
      <c r="Y352" s="304"/>
    </row>
    <row r="353" spans="18:25" x14ac:dyDescent="0.25">
      <c r="R353" s="333"/>
      <c r="T353" s="331"/>
      <c r="U353" s="334"/>
      <c r="W353" s="306"/>
      <c r="X353" s="306"/>
      <c r="Y353" s="304"/>
    </row>
    <row r="354" spans="18:25" x14ac:dyDescent="0.25">
      <c r="R354" s="333"/>
      <c r="T354" s="331"/>
      <c r="U354" s="334"/>
      <c r="W354" s="306"/>
      <c r="X354" s="306"/>
      <c r="Y354" s="304"/>
    </row>
    <row r="355" spans="18:25" x14ac:dyDescent="0.25">
      <c r="R355" s="333"/>
      <c r="T355" s="331"/>
      <c r="U355" s="334"/>
      <c r="W355" s="306"/>
      <c r="X355" s="306"/>
      <c r="Y355" s="304"/>
    </row>
    <row r="356" spans="18:25" x14ac:dyDescent="0.25">
      <c r="R356" s="333"/>
      <c r="T356" s="331"/>
      <c r="U356" s="334"/>
      <c r="W356" s="306"/>
      <c r="X356" s="306"/>
      <c r="Y356" s="304"/>
    </row>
    <row r="357" spans="18:25" x14ac:dyDescent="0.25">
      <c r="R357" s="333"/>
      <c r="T357" s="331"/>
      <c r="U357" s="334"/>
      <c r="W357" s="306"/>
      <c r="X357" s="306"/>
      <c r="Y357" s="304"/>
    </row>
    <row r="358" spans="18:25" x14ac:dyDescent="0.25">
      <c r="R358" s="333"/>
      <c r="T358" s="331"/>
      <c r="U358" s="334"/>
      <c r="W358" s="306"/>
      <c r="X358" s="306"/>
      <c r="Y358" s="304"/>
    </row>
    <row r="359" spans="18:25" x14ac:dyDescent="0.25">
      <c r="R359" s="333"/>
      <c r="T359" s="331"/>
      <c r="U359" s="334"/>
      <c r="W359" s="306"/>
      <c r="X359" s="306"/>
      <c r="Y359" s="304"/>
    </row>
    <row r="360" spans="18:25" x14ac:dyDescent="0.25">
      <c r="R360" s="333"/>
      <c r="T360" s="331"/>
      <c r="U360" s="334"/>
      <c r="W360" s="306"/>
      <c r="X360" s="306"/>
      <c r="Y360" s="304"/>
    </row>
    <row r="361" spans="18:25" x14ac:dyDescent="0.25">
      <c r="R361" s="333"/>
      <c r="T361" s="331"/>
      <c r="U361" s="334"/>
      <c r="W361" s="306"/>
      <c r="X361" s="306"/>
      <c r="Y361" s="304"/>
    </row>
    <row r="362" spans="18:25" x14ac:dyDescent="0.25">
      <c r="R362" s="333"/>
      <c r="T362" s="331"/>
      <c r="U362" s="334"/>
      <c r="W362" s="306"/>
      <c r="X362" s="306"/>
      <c r="Y362" s="304"/>
    </row>
    <row r="363" spans="18:25" x14ac:dyDescent="0.25">
      <c r="R363" s="333"/>
      <c r="T363" s="331"/>
      <c r="U363" s="334"/>
      <c r="W363" s="306"/>
      <c r="X363" s="306"/>
      <c r="Y363" s="304"/>
    </row>
    <row r="364" spans="18:25" x14ac:dyDescent="0.25">
      <c r="R364" s="333"/>
      <c r="T364" s="331"/>
      <c r="U364" s="334"/>
      <c r="W364" s="306"/>
      <c r="X364" s="306"/>
      <c r="Y364" s="304"/>
    </row>
    <row r="365" spans="18:25" x14ac:dyDescent="0.25">
      <c r="R365" s="333"/>
      <c r="T365" s="331"/>
      <c r="U365" s="334"/>
      <c r="W365" s="306"/>
      <c r="X365" s="306"/>
      <c r="Y365" s="304"/>
    </row>
    <row r="366" spans="18:25" x14ac:dyDescent="0.25">
      <c r="R366" s="333"/>
      <c r="T366" s="331"/>
      <c r="U366" s="334"/>
      <c r="W366" s="306"/>
      <c r="X366" s="306"/>
      <c r="Y366" s="304"/>
    </row>
    <row r="367" spans="18:25" x14ac:dyDescent="0.25">
      <c r="R367" s="333"/>
      <c r="T367" s="331"/>
      <c r="U367" s="334"/>
      <c r="W367" s="306"/>
      <c r="X367" s="306"/>
      <c r="Y367" s="304"/>
    </row>
    <row r="368" spans="18:25" x14ac:dyDescent="0.25">
      <c r="R368" s="333"/>
      <c r="T368" s="331"/>
      <c r="U368" s="334"/>
      <c r="W368" s="306"/>
      <c r="X368" s="306"/>
      <c r="Y368" s="304"/>
    </row>
    <row r="369" spans="18:25" x14ac:dyDescent="0.25">
      <c r="R369" s="333"/>
      <c r="T369" s="331"/>
      <c r="U369" s="334"/>
      <c r="W369" s="306"/>
      <c r="X369" s="306"/>
      <c r="Y369" s="304"/>
    </row>
    <row r="370" spans="18:25" x14ac:dyDescent="0.25">
      <c r="R370" s="333"/>
      <c r="T370" s="331"/>
      <c r="U370" s="334"/>
      <c r="W370" s="306"/>
      <c r="X370" s="306"/>
      <c r="Y370" s="304"/>
    </row>
    <row r="371" spans="18:25" x14ac:dyDescent="0.25">
      <c r="R371" s="333"/>
      <c r="T371" s="331"/>
      <c r="U371" s="334"/>
      <c r="W371" s="306"/>
      <c r="X371" s="306"/>
      <c r="Y371" s="304"/>
    </row>
    <row r="372" spans="18:25" x14ac:dyDescent="0.25">
      <c r="R372" s="333"/>
      <c r="T372" s="331"/>
      <c r="U372" s="334"/>
      <c r="W372" s="306"/>
      <c r="X372" s="306"/>
      <c r="Y372" s="304"/>
    </row>
    <row r="373" spans="18:25" x14ac:dyDescent="0.25">
      <c r="R373" s="333"/>
      <c r="T373" s="331"/>
      <c r="U373" s="334"/>
      <c r="W373" s="306"/>
      <c r="X373" s="306"/>
      <c r="Y373" s="304"/>
    </row>
    <row r="374" spans="18:25" x14ac:dyDescent="0.25">
      <c r="R374" s="333"/>
      <c r="T374" s="331"/>
      <c r="U374" s="334"/>
      <c r="W374" s="306"/>
      <c r="X374" s="306"/>
      <c r="Y374" s="304"/>
    </row>
    <row r="375" spans="18:25" x14ac:dyDescent="0.25">
      <c r="R375" s="333"/>
      <c r="T375" s="331"/>
      <c r="U375" s="334"/>
      <c r="W375" s="306"/>
      <c r="X375" s="306"/>
      <c r="Y375" s="304"/>
    </row>
    <row r="376" spans="18:25" x14ac:dyDescent="0.25">
      <c r="R376" s="333"/>
      <c r="T376" s="331"/>
      <c r="U376" s="334"/>
      <c r="W376" s="306"/>
      <c r="X376" s="306"/>
      <c r="Y376" s="304"/>
    </row>
    <row r="377" spans="18:25" x14ac:dyDescent="0.25">
      <c r="R377" s="333"/>
      <c r="T377" s="331"/>
      <c r="U377" s="334"/>
      <c r="W377" s="306"/>
      <c r="X377" s="306"/>
      <c r="Y377" s="304"/>
    </row>
    <row r="378" spans="18:25" x14ac:dyDescent="0.25">
      <c r="R378" s="333"/>
      <c r="T378" s="331"/>
      <c r="U378" s="334"/>
      <c r="W378" s="306"/>
      <c r="X378" s="306"/>
      <c r="Y378" s="304"/>
    </row>
    <row r="379" spans="18:25" x14ac:dyDescent="0.25">
      <c r="R379" s="333"/>
      <c r="T379" s="331"/>
      <c r="U379" s="334"/>
      <c r="W379" s="306"/>
      <c r="X379" s="306"/>
      <c r="Y379" s="304"/>
    </row>
    <row r="380" spans="18:25" x14ac:dyDescent="0.25">
      <c r="R380" s="333"/>
      <c r="T380" s="331"/>
      <c r="U380" s="334"/>
      <c r="W380" s="306"/>
      <c r="X380" s="306"/>
      <c r="Y380" s="304"/>
    </row>
    <row r="381" spans="18:25" x14ac:dyDescent="0.25">
      <c r="R381" s="333"/>
      <c r="T381" s="331"/>
      <c r="U381" s="334"/>
      <c r="W381" s="306"/>
      <c r="X381" s="306"/>
      <c r="Y381" s="304"/>
    </row>
    <row r="382" spans="18:25" x14ac:dyDescent="0.25">
      <c r="R382" s="333"/>
      <c r="T382" s="331"/>
      <c r="U382" s="334"/>
      <c r="W382" s="306"/>
      <c r="X382" s="306"/>
      <c r="Y382" s="304"/>
    </row>
    <row r="383" spans="18:25" x14ac:dyDescent="0.25">
      <c r="R383" s="333"/>
      <c r="T383" s="331"/>
      <c r="U383" s="334"/>
      <c r="W383" s="306"/>
      <c r="X383" s="306"/>
      <c r="Y383" s="304"/>
    </row>
    <row r="384" spans="18:25" x14ac:dyDescent="0.25">
      <c r="R384" s="333"/>
      <c r="T384" s="331"/>
      <c r="U384" s="334"/>
      <c r="W384" s="306"/>
      <c r="X384" s="306"/>
      <c r="Y384" s="304"/>
    </row>
    <row r="385" spans="18:25" x14ac:dyDescent="0.25">
      <c r="R385" s="333"/>
      <c r="T385" s="331"/>
      <c r="U385" s="334"/>
      <c r="W385" s="306"/>
      <c r="X385" s="306"/>
      <c r="Y385" s="304"/>
    </row>
    <row r="386" spans="18:25" x14ac:dyDescent="0.25">
      <c r="R386" s="333"/>
      <c r="T386" s="331"/>
      <c r="U386" s="334"/>
      <c r="W386" s="306"/>
      <c r="X386" s="306"/>
      <c r="Y386" s="304"/>
    </row>
    <row r="387" spans="18:25" x14ac:dyDescent="0.25">
      <c r="R387" s="333"/>
      <c r="T387" s="331"/>
      <c r="U387" s="334"/>
      <c r="W387" s="306"/>
      <c r="X387" s="306"/>
      <c r="Y387" s="304"/>
    </row>
    <row r="388" spans="18:25" x14ac:dyDescent="0.25">
      <c r="R388" s="333"/>
      <c r="T388" s="331"/>
      <c r="U388" s="334"/>
      <c r="W388" s="306"/>
      <c r="X388" s="306"/>
      <c r="Y388" s="304"/>
    </row>
    <row r="389" spans="18:25" x14ac:dyDescent="0.25">
      <c r="R389" s="333"/>
      <c r="T389" s="331"/>
      <c r="U389" s="334"/>
      <c r="W389" s="306"/>
      <c r="X389" s="306"/>
      <c r="Y389" s="304"/>
    </row>
    <row r="390" spans="18:25" x14ac:dyDescent="0.25">
      <c r="R390" s="333"/>
      <c r="T390" s="331"/>
      <c r="U390" s="334"/>
      <c r="W390" s="306"/>
      <c r="X390" s="306"/>
      <c r="Y390" s="304"/>
    </row>
    <row r="391" spans="18:25" x14ac:dyDescent="0.25">
      <c r="R391" s="333"/>
      <c r="T391" s="331"/>
      <c r="U391" s="334"/>
      <c r="W391" s="306"/>
      <c r="X391" s="306"/>
      <c r="Y391" s="304"/>
    </row>
    <row r="392" spans="18:25" x14ac:dyDescent="0.25">
      <c r="R392" s="333"/>
      <c r="T392" s="331"/>
      <c r="U392" s="334"/>
      <c r="W392" s="306"/>
      <c r="X392" s="306"/>
      <c r="Y392" s="304"/>
    </row>
    <row r="393" spans="18:25" x14ac:dyDescent="0.25">
      <c r="R393" s="333"/>
      <c r="T393" s="331"/>
      <c r="U393" s="334"/>
      <c r="W393" s="306"/>
      <c r="X393" s="306"/>
      <c r="Y393" s="304"/>
    </row>
    <row r="394" spans="18:25" x14ac:dyDescent="0.25">
      <c r="R394" s="333"/>
      <c r="T394" s="331"/>
      <c r="U394" s="334"/>
      <c r="W394" s="306"/>
      <c r="X394" s="306"/>
      <c r="Y394" s="304"/>
    </row>
    <row r="395" spans="18:25" x14ac:dyDescent="0.25">
      <c r="R395" s="333"/>
      <c r="T395" s="331"/>
      <c r="U395" s="334"/>
      <c r="W395" s="306"/>
      <c r="X395" s="306"/>
      <c r="Y395" s="304"/>
    </row>
    <row r="396" spans="18:25" x14ac:dyDescent="0.25">
      <c r="R396" s="333"/>
      <c r="T396" s="331"/>
      <c r="U396" s="334"/>
      <c r="W396" s="306"/>
      <c r="X396" s="306"/>
      <c r="Y396" s="304"/>
    </row>
    <row r="397" spans="18:25" x14ac:dyDescent="0.25">
      <c r="R397" s="333"/>
      <c r="T397" s="331"/>
      <c r="U397" s="334"/>
      <c r="W397" s="306"/>
      <c r="X397" s="306"/>
      <c r="Y397" s="304"/>
    </row>
    <row r="398" spans="18:25" x14ac:dyDescent="0.25">
      <c r="R398" s="333"/>
      <c r="T398" s="331"/>
      <c r="U398" s="334"/>
      <c r="W398" s="306"/>
      <c r="X398" s="306"/>
      <c r="Y398" s="304"/>
    </row>
    <row r="399" spans="18:25" x14ac:dyDescent="0.25">
      <c r="R399" s="333"/>
      <c r="T399" s="331"/>
      <c r="U399" s="334"/>
      <c r="W399" s="306"/>
      <c r="X399" s="306"/>
      <c r="Y399" s="304"/>
    </row>
    <row r="400" spans="18:25" x14ac:dyDescent="0.25">
      <c r="R400" s="333"/>
      <c r="T400" s="331"/>
      <c r="U400" s="334"/>
      <c r="W400" s="306"/>
      <c r="X400" s="306"/>
      <c r="Y400" s="304"/>
    </row>
    <row r="401" spans="18:25" x14ac:dyDescent="0.25">
      <c r="R401" s="333"/>
      <c r="T401" s="331"/>
      <c r="U401" s="334"/>
      <c r="W401" s="306"/>
      <c r="X401" s="306"/>
      <c r="Y401" s="304"/>
    </row>
    <row r="402" spans="18:25" x14ac:dyDescent="0.25">
      <c r="R402" s="333"/>
      <c r="T402" s="331"/>
      <c r="U402" s="334"/>
      <c r="W402" s="306"/>
      <c r="X402" s="306"/>
      <c r="Y402" s="304"/>
    </row>
    <row r="403" spans="18:25" x14ac:dyDescent="0.25">
      <c r="R403" s="333"/>
      <c r="T403" s="331"/>
      <c r="U403" s="334"/>
      <c r="W403" s="306"/>
      <c r="X403" s="306"/>
      <c r="Y403" s="304"/>
    </row>
    <row r="404" spans="18:25" x14ac:dyDescent="0.25">
      <c r="R404" s="333"/>
      <c r="T404" s="331"/>
      <c r="U404" s="334"/>
      <c r="W404" s="306"/>
      <c r="X404" s="306"/>
      <c r="Y404" s="304"/>
    </row>
    <row r="405" spans="18:25" x14ac:dyDescent="0.25">
      <c r="R405" s="333"/>
      <c r="T405" s="331"/>
      <c r="U405" s="334"/>
      <c r="W405" s="306"/>
      <c r="X405" s="306"/>
      <c r="Y405" s="304"/>
    </row>
    <row r="406" spans="18:25" x14ac:dyDescent="0.25">
      <c r="R406" s="333"/>
      <c r="T406" s="331"/>
      <c r="U406" s="334"/>
      <c r="W406" s="306"/>
      <c r="X406" s="306"/>
      <c r="Y406" s="304"/>
    </row>
    <row r="407" spans="18:25" x14ac:dyDescent="0.25">
      <c r="R407" s="333"/>
      <c r="T407" s="331"/>
      <c r="U407" s="334"/>
      <c r="W407" s="306"/>
      <c r="X407" s="306"/>
      <c r="Y407" s="304"/>
    </row>
    <row r="408" spans="18:25" x14ac:dyDescent="0.25">
      <c r="R408" s="333"/>
      <c r="T408" s="331"/>
      <c r="U408" s="334"/>
      <c r="W408" s="306"/>
      <c r="X408" s="306"/>
      <c r="Y408" s="304"/>
    </row>
    <row r="409" spans="18:25" x14ac:dyDescent="0.25">
      <c r="R409" s="333"/>
      <c r="T409" s="331"/>
      <c r="U409" s="334"/>
      <c r="W409" s="306"/>
      <c r="X409" s="306"/>
      <c r="Y409" s="304"/>
    </row>
    <row r="410" spans="18:25" x14ac:dyDescent="0.25">
      <c r="R410" s="333"/>
      <c r="T410" s="331"/>
      <c r="U410" s="334"/>
      <c r="W410" s="306"/>
      <c r="X410" s="306"/>
      <c r="Y410" s="304"/>
    </row>
    <row r="411" spans="18:25" x14ac:dyDescent="0.25">
      <c r="R411" s="333"/>
      <c r="T411" s="331"/>
      <c r="U411" s="334"/>
      <c r="W411" s="306"/>
      <c r="X411" s="306"/>
      <c r="Y411" s="304"/>
    </row>
    <row r="412" spans="18:25" x14ac:dyDescent="0.25">
      <c r="R412" s="333"/>
      <c r="T412" s="331"/>
      <c r="U412" s="334"/>
      <c r="W412" s="306"/>
      <c r="X412" s="306"/>
      <c r="Y412" s="304"/>
    </row>
    <row r="413" spans="18:25" x14ac:dyDescent="0.25">
      <c r="R413" s="333"/>
      <c r="T413" s="331"/>
      <c r="U413" s="334"/>
      <c r="W413" s="306"/>
      <c r="X413" s="306"/>
      <c r="Y413" s="304"/>
    </row>
    <row r="414" spans="18:25" x14ac:dyDescent="0.25">
      <c r="R414" s="333"/>
      <c r="T414" s="331"/>
      <c r="U414" s="334"/>
      <c r="W414" s="306"/>
      <c r="X414" s="306"/>
      <c r="Y414" s="304"/>
    </row>
    <row r="415" spans="18:25" x14ac:dyDescent="0.25">
      <c r="R415" s="333"/>
      <c r="T415" s="331"/>
      <c r="U415" s="334"/>
      <c r="W415" s="306"/>
      <c r="X415" s="306"/>
      <c r="Y415" s="304"/>
    </row>
    <row r="416" spans="18:25" x14ac:dyDescent="0.25">
      <c r="R416" s="333"/>
      <c r="T416" s="331"/>
      <c r="U416" s="334"/>
      <c r="W416" s="306"/>
      <c r="X416" s="306"/>
      <c r="Y416" s="304"/>
    </row>
    <row r="417" spans="18:25" x14ac:dyDescent="0.25">
      <c r="R417" s="333"/>
      <c r="T417" s="331"/>
      <c r="U417" s="334"/>
      <c r="W417" s="306"/>
      <c r="X417" s="306"/>
      <c r="Y417" s="304"/>
    </row>
    <row r="418" spans="18:25" x14ac:dyDescent="0.25">
      <c r="R418" s="333"/>
      <c r="T418" s="331"/>
      <c r="U418" s="334"/>
      <c r="W418" s="306"/>
      <c r="X418" s="306"/>
      <c r="Y418" s="304"/>
    </row>
    <row r="419" spans="18:25" x14ac:dyDescent="0.25">
      <c r="R419" s="333"/>
      <c r="T419" s="331"/>
      <c r="U419" s="334"/>
      <c r="W419" s="306"/>
      <c r="X419" s="306"/>
      <c r="Y419" s="304"/>
    </row>
    <row r="420" spans="18:25" x14ac:dyDescent="0.25">
      <c r="R420" s="333"/>
      <c r="T420" s="331"/>
      <c r="U420" s="334"/>
      <c r="W420" s="306"/>
      <c r="X420" s="306"/>
      <c r="Y420" s="304"/>
    </row>
    <row r="421" spans="18:25" x14ac:dyDescent="0.25">
      <c r="R421" s="333"/>
      <c r="T421" s="331"/>
      <c r="U421" s="334"/>
      <c r="W421" s="306"/>
      <c r="X421" s="306"/>
      <c r="Y421" s="304"/>
    </row>
    <row r="422" spans="18:25" x14ac:dyDescent="0.25">
      <c r="R422" s="333"/>
      <c r="T422" s="331"/>
      <c r="U422" s="334"/>
      <c r="W422" s="306"/>
      <c r="X422" s="306"/>
      <c r="Y422" s="304"/>
    </row>
    <row r="423" spans="18:25" x14ac:dyDescent="0.25">
      <c r="R423" s="333"/>
      <c r="T423" s="331"/>
      <c r="U423" s="334"/>
      <c r="W423" s="306"/>
      <c r="X423" s="306"/>
      <c r="Y423" s="304"/>
    </row>
    <row r="424" spans="18:25" x14ac:dyDescent="0.25">
      <c r="R424" s="333"/>
      <c r="T424" s="331"/>
      <c r="U424" s="334"/>
      <c r="W424" s="306"/>
      <c r="X424" s="306"/>
      <c r="Y424" s="304"/>
    </row>
    <row r="425" spans="18:25" x14ac:dyDescent="0.25">
      <c r="R425" s="333"/>
      <c r="T425" s="331"/>
      <c r="U425" s="334"/>
      <c r="W425" s="306"/>
      <c r="X425" s="306"/>
      <c r="Y425" s="304"/>
    </row>
    <row r="426" spans="18:25" x14ac:dyDescent="0.25">
      <c r="R426" s="333"/>
      <c r="T426" s="331"/>
      <c r="U426" s="334"/>
      <c r="W426" s="306"/>
      <c r="X426" s="306"/>
      <c r="Y426" s="304"/>
    </row>
    <row r="427" spans="18:25" x14ac:dyDescent="0.25">
      <c r="R427" s="333"/>
      <c r="T427" s="331"/>
      <c r="U427" s="334"/>
      <c r="W427" s="306"/>
      <c r="X427" s="306"/>
      <c r="Y427" s="304"/>
    </row>
    <row r="428" spans="18:25" x14ac:dyDescent="0.25">
      <c r="R428" s="333"/>
      <c r="T428" s="331"/>
      <c r="U428" s="334"/>
      <c r="W428" s="306"/>
      <c r="X428" s="306"/>
      <c r="Y428" s="304"/>
    </row>
    <row r="429" spans="18:25" x14ac:dyDescent="0.25">
      <c r="R429" s="333"/>
      <c r="T429" s="331"/>
      <c r="U429" s="334"/>
      <c r="W429" s="306"/>
      <c r="X429" s="306"/>
      <c r="Y429" s="304"/>
    </row>
    <row r="430" spans="18:25" x14ac:dyDescent="0.25">
      <c r="R430" s="333"/>
      <c r="T430" s="331"/>
      <c r="U430" s="334"/>
      <c r="W430" s="306"/>
      <c r="X430" s="306"/>
      <c r="Y430" s="304"/>
    </row>
    <row r="431" spans="18:25" x14ac:dyDescent="0.25">
      <c r="R431" s="333"/>
      <c r="T431" s="331"/>
      <c r="U431" s="334"/>
      <c r="W431" s="306"/>
      <c r="X431" s="306"/>
      <c r="Y431" s="304"/>
    </row>
    <row r="432" spans="18:25" x14ac:dyDescent="0.25">
      <c r="R432" s="333"/>
      <c r="T432" s="331"/>
      <c r="U432" s="334"/>
      <c r="W432" s="306"/>
      <c r="X432" s="306"/>
      <c r="Y432" s="304"/>
    </row>
    <row r="433" spans="18:25" x14ac:dyDescent="0.25">
      <c r="R433" s="333"/>
      <c r="T433" s="331"/>
      <c r="U433" s="334"/>
      <c r="W433" s="306"/>
      <c r="X433" s="306"/>
      <c r="Y433" s="304"/>
    </row>
    <row r="434" spans="18:25" x14ac:dyDescent="0.25">
      <c r="R434" s="333"/>
      <c r="T434" s="331"/>
      <c r="U434" s="334"/>
      <c r="W434" s="306"/>
      <c r="X434" s="306"/>
      <c r="Y434" s="304"/>
    </row>
    <row r="435" spans="18:25" x14ac:dyDescent="0.25">
      <c r="R435" s="333"/>
      <c r="T435" s="331"/>
      <c r="U435" s="334"/>
      <c r="W435" s="306"/>
      <c r="X435" s="306"/>
      <c r="Y435" s="304"/>
    </row>
    <row r="436" spans="18:25" x14ac:dyDescent="0.25">
      <c r="R436" s="333"/>
      <c r="T436" s="331"/>
      <c r="U436" s="334"/>
      <c r="W436" s="306"/>
      <c r="X436" s="306"/>
      <c r="Y436" s="304"/>
    </row>
    <row r="437" spans="18:25" x14ac:dyDescent="0.25">
      <c r="R437" s="333"/>
      <c r="T437" s="331"/>
      <c r="U437" s="334"/>
      <c r="W437" s="306"/>
      <c r="X437" s="306"/>
      <c r="Y437" s="304"/>
    </row>
    <row r="438" spans="18:25" x14ac:dyDescent="0.25">
      <c r="R438" s="333"/>
      <c r="T438" s="331"/>
      <c r="U438" s="334"/>
      <c r="W438" s="306"/>
      <c r="X438" s="306"/>
      <c r="Y438" s="304"/>
    </row>
    <row r="439" spans="18:25" x14ac:dyDescent="0.25">
      <c r="R439" s="333"/>
      <c r="T439" s="331"/>
      <c r="U439" s="334"/>
      <c r="W439" s="306"/>
      <c r="X439" s="306"/>
      <c r="Y439" s="304"/>
    </row>
    <row r="440" spans="18:25" x14ac:dyDescent="0.25">
      <c r="R440" s="333"/>
      <c r="T440" s="331"/>
      <c r="U440" s="334"/>
      <c r="W440" s="306"/>
      <c r="X440" s="306"/>
      <c r="Y440" s="304"/>
    </row>
    <row r="441" spans="18:25" x14ac:dyDescent="0.25">
      <c r="R441" s="333"/>
      <c r="T441" s="331"/>
      <c r="U441" s="334"/>
      <c r="W441" s="306"/>
      <c r="X441" s="306"/>
      <c r="Y441" s="304"/>
    </row>
    <row r="442" spans="18:25" x14ac:dyDescent="0.25">
      <c r="R442" s="333"/>
      <c r="T442" s="331"/>
      <c r="U442" s="334"/>
      <c r="W442" s="306"/>
      <c r="X442" s="306"/>
      <c r="Y442" s="304"/>
    </row>
    <row r="443" spans="18:25" x14ac:dyDescent="0.25">
      <c r="R443" s="333"/>
      <c r="T443" s="331"/>
      <c r="U443" s="334"/>
      <c r="W443" s="306"/>
      <c r="X443" s="306"/>
      <c r="Y443" s="304"/>
    </row>
    <row r="444" spans="18:25" x14ac:dyDescent="0.25">
      <c r="R444" s="333"/>
      <c r="T444" s="331"/>
      <c r="U444" s="334"/>
      <c r="W444" s="306"/>
      <c r="X444" s="306"/>
      <c r="Y444" s="304"/>
    </row>
    <row r="445" spans="18:25" x14ac:dyDescent="0.25">
      <c r="R445" s="333"/>
      <c r="T445" s="331"/>
      <c r="U445" s="334"/>
      <c r="W445" s="306"/>
      <c r="X445" s="306"/>
      <c r="Y445" s="304"/>
    </row>
    <row r="446" spans="18:25" x14ac:dyDescent="0.25">
      <c r="R446" s="333"/>
      <c r="T446" s="331"/>
      <c r="U446" s="334"/>
      <c r="W446" s="306"/>
      <c r="X446" s="306"/>
      <c r="Y446" s="304"/>
    </row>
    <row r="447" spans="18:25" x14ac:dyDescent="0.25">
      <c r="R447" s="333"/>
      <c r="T447" s="331"/>
      <c r="U447" s="334"/>
      <c r="W447" s="306"/>
      <c r="X447" s="306"/>
      <c r="Y447" s="304"/>
    </row>
    <row r="448" spans="18:25" x14ac:dyDescent="0.25">
      <c r="R448" s="333"/>
      <c r="T448" s="331"/>
      <c r="U448" s="334"/>
      <c r="W448" s="306"/>
      <c r="X448" s="306"/>
      <c r="Y448" s="304"/>
    </row>
    <row r="449" spans="18:25" x14ac:dyDescent="0.25">
      <c r="R449" s="333"/>
      <c r="T449" s="331"/>
      <c r="U449" s="334"/>
      <c r="W449" s="306"/>
      <c r="X449" s="306"/>
      <c r="Y449" s="304"/>
    </row>
    <row r="450" spans="18:25" x14ac:dyDescent="0.25">
      <c r="R450" s="333"/>
      <c r="T450" s="331"/>
      <c r="U450" s="334"/>
      <c r="W450" s="306"/>
      <c r="X450" s="306"/>
      <c r="Y450" s="304"/>
    </row>
    <row r="451" spans="18:25" x14ac:dyDescent="0.25">
      <c r="R451" s="333"/>
      <c r="T451" s="331"/>
      <c r="U451" s="334"/>
      <c r="W451" s="306"/>
      <c r="X451" s="306"/>
      <c r="Y451" s="304"/>
    </row>
    <row r="452" spans="18:25" x14ac:dyDescent="0.25">
      <c r="R452" s="333"/>
      <c r="T452" s="331"/>
      <c r="U452" s="334"/>
      <c r="W452" s="306"/>
      <c r="X452" s="306"/>
      <c r="Y452" s="304"/>
    </row>
    <row r="453" spans="18:25" x14ac:dyDescent="0.25">
      <c r="R453" s="333"/>
      <c r="T453" s="331"/>
      <c r="U453" s="334"/>
      <c r="W453" s="306"/>
      <c r="X453" s="306"/>
      <c r="Y453" s="304"/>
    </row>
    <row r="454" spans="18:25" x14ac:dyDescent="0.25">
      <c r="R454" s="333"/>
      <c r="T454" s="331"/>
      <c r="U454" s="334"/>
      <c r="W454" s="306"/>
      <c r="X454" s="306"/>
      <c r="Y454" s="304"/>
    </row>
    <row r="455" spans="18:25" x14ac:dyDescent="0.25">
      <c r="R455" s="333"/>
      <c r="T455" s="331"/>
      <c r="U455" s="334"/>
      <c r="W455" s="306"/>
      <c r="X455" s="306"/>
      <c r="Y455" s="304"/>
    </row>
    <row r="456" spans="18:25" x14ac:dyDescent="0.25">
      <c r="R456" s="333"/>
      <c r="T456" s="331"/>
      <c r="U456" s="334"/>
      <c r="W456" s="306"/>
      <c r="X456" s="306"/>
      <c r="Y456" s="304"/>
    </row>
    <row r="457" spans="18:25" x14ac:dyDescent="0.25">
      <c r="R457" s="333"/>
      <c r="T457" s="331"/>
      <c r="U457" s="334"/>
      <c r="W457" s="306"/>
      <c r="X457" s="306"/>
      <c r="Y457" s="304"/>
    </row>
    <row r="458" spans="18:25" x14ac:dyDescent="0.25">
      <c r="R458" s="333"/>
      <c r="T458" s="331"/>
      <c r="U458" s="334"/>
      <c r="W458" s="306"/>
      <c r="X458" s="306"/>
      <c r="Y458" s="304"/>
    </row>
    <row r="459" spans="18:25" x14ac:dyDescent="0.25">
      <c r="R459" s="333"/>
      <c r="T459" s="331"/>
      <c r="U459" s="334"/>
      <c r="W459" s="306"/>
      <c r="X459" s="306"/>
      <c r="Y459" s="304"/>
    </row>
    <row r="460" spans="18:25" x14ac:dyDescent="0.25">
      <c r="R460" s="333"/>
      <c r="T460" s="331"/>
      <c r="U460" s="334"/>
      <c r="W460" s="306"/>
      <c r="X460" s="306"/>
      <c r="Y460" s="304"/>
    </row>
    <row r="461" spans="18:25" x14ac:dyDescent="0.25">
      <c r="R461" s="333"/>
      <c r="T461" s="331"/>
      <c r="U461" s="334"/>
      <c r="W461" s="306"/>
      <c r="X461" s="306"/>
      <c r="Y461" s="304"/>
    </row>
    <row r="462" spans="18:25" x14ac:dyDescent="0.25">
      <c r="R462" s="333"/>
      <c r="T462" s="331"/>
      <c r="U462" s="334"/>
      <c r="W462" s="306"/>
      <c r="X462" s="306"/>
      <c r="Y462" s="304"/>
    </row>
    <row r="463" spans="18:25" x14ac:dyDescent="0.25">
      <c r="R463" s="333"/>
      <c r="T463" s="331"/>
      <c r="U463" s="334"/>
      <c r="W463" s="306"/>
      <c r="X463" s="306"/>
      <c r="Y463" s="304"/>
    </row>
    <row r="464" spans="18:25" x14ac:dyDescent="0.25">
      <c r="R464" s="333"/>
      <c r="T464" s="331"/>
      <c r="U464" s="334"/>
      <c r="W464" s="306"/>
      <c r="X464" s="306"/>
      <c r="Y464" s="304"/>
    </row>
    <row r="465" spans="18:25" x14ac:dyDescent="0.25">
      <c r="R465" s="333"/>
      <c r="T465" s="331"/>
      <c r="U465" s="334"/>
      <c r="W465" s="306"/>
      <c r="X465" s="306"/>
      <c r="Y465" s="304"/>
    </row>
    <row r="466" spans="18:25" x14ac:dyDescent="0.25">
      <c r="R466" s="333"/>
      <c r="T466" s="331"/>
      <c r="U466" s="334"/>
      <c r="W466" s="306"/>
      <c r="X466" s="306"/>
      <c r="Y466" s="304"/>
    </row>
    <row r="467" spans="18:25" x14ac:dyDescent="0.25">
      <c r="R467" s="333"/>
      <c r="T467" s="331"/>
      <c r="U467" s="334"/>
      <c r="W467" s="306"/>
      <c r="X467" s="306"/>
      <c r="Y467" s="304"/>
    </row>
    <row r="468" spans="18:25" x14ac:dyDescent="0.25">
      <c r="R468" s="333"/>
      <c r="T468" s="331"/>
      <c r="U468" s="334"/>
      <c r="W468" s="306"/>
      <c r="X468" s="306"/>
      <c r="Y468" s="304"/>
    </row>
    <row r="469" spans="18:25" x14ac:dyDescent="0.25">
      <c r="R469" s="333"/>
      <c r="T469" s="331"/>
      <c r="U469" s="334"/>
      <c r="W469" s="306"/>
      <c r="X469" s="306"/>
      <c r="Y469" s="304"/>
    </row>
    <row r="470" spans="18:25" x14ac:dyDescent="0.25">
      <c r="R470" s="333"/>
      <c r="T470" s="331"/>
      <c r="U470" s="334"/>
      <c r="W470" s="306"/>
      <c r="X470" s="306"/>
      <c r="Y470" s="304"/>
    </row>
    <row r="471" spans="18:25" x14ac:dyDescent="0.25">
      <c r="R471" s="333"/>
      <c r="T471" s="331"/>
      <c r="U471" s="334"/>
      <c r="W471" s="306"/>
      <c r="X471" s="306"/>
      <c r="Y471" s="304"/>
    </row>
    <row r="472" spans="18:25" x14ac:dyDescent="0.25">
      <c r="R472" s="333"/>
      <c r="T472" s="331"/>
      <c r="U472" s="334"/>
      <c r="W472" s="306"/>
      <c r="X472" s="306"/>
      <c r="Y472" s="304"/>
    </row>
    <row r="473" spans="18:25" x14ac:dyDescent="0.25">
      <c r="R473" s="333"/>
      <c r="T473" s="331"/>
      <c r="U473" s="334"/>
      <c r="W473" s="306"/>
      <c r="X473" s="306"/>
      <c r="Y473" s="304"/>
    </row>
    <row r="474" spans="18:25" x14ac:dyDescent="0.25">
      <c r="R474" s="333"/>
      <c r="T474" s="331"/>
      <c r="U474" s="334"/>
      <c r="W474" s="306"/>
      <c r="X474" s="306"/>
      <c r="Y474" s="304"/>
    </row>
    <row r="475" spans="18:25" x14ac:dyDescent="0.25">
      <c r="R475" s="333"/>
      <c r="T475" s="331"/>
      <c r="U475" s="334"/>
      <c r="W475" s="306"/>
      <c r="X475" s="306"/>
      <c r="Y475" s="304"/>
    </row>
    <row r="476" spans="18:25" x14ac:dyDescent="0.25">
      <c r="R476" s="333"/>
      <c r="T476" s="331"/>
      <c r="U476" s="334"/>
      <c r="W476" s="306"/>
      <c r="X476" s="306"/>
      <c r="Y476" s="304"/>
    </row>
    <row r="477" spans="18:25" x14ac:dyDescent="0.25">
      <c r="R477" s="333"/>
      <c r="T477" s="331"/>
      <c r="U477" s="334"/>
      <c r="W477" s="306"/>
      <c r="X477" s="306"/>
      <c r="Y477" s="304"/>
    </row>
    <row r="478" spans="18:25" x14ac:dyDescent="0.25">
      <c r="R478" s="333"/>
      <c r="T478" s="331"/>
      <c r="U478" s="334"/>
      <c r="W478" s="306"/>
      <c r="X478" s="306"/>
      <c r="Y478" s="304"/>
    </row>
    <row r="479" spans="18:25" x14ac:dyDescent="0.25">
      <c r="R479" s="333"/>
      <c r="T479" s="331"/>
      <c r="U479" s="334"/>
      <c r="W479" s="306"/>
      <c r="X479" s="306"/>
      <c r="Y479" s="304"/>
    </row>
    <row r="480" spans="18:25" x14ac:dyDescent="0.25">
      <c r="R480" s="333"/>
      <c r="T480" s="331"/>
      <c r="U480" s="334"/>
      <c r="W480" s="306"/>
      <c r="X480" s="306"/>
      <c r="Y480" s="304"/>
    </row>
    <row r="481" spans="18:25" x14ac:dyDescent="0.25">
      <c r="R481" s="333"/>
      <c r="T481" s="331"/>
      <c r="U481" s="334"/>
      <c r="W481" s="306"/>
      <c r="X481" s="306"/>
      <c r="Y481" s="304"/>
    </row>
    <row r="482" spans="18:25" x14ac:dyDescent="0.25">
      <c r="R482" s="333"/>
      <c r="T482" s="331"/>
      <c r="U482" s="334"/>
      <c r="W482" s="306"/>
      <c r="X482" s="306"/>
      <c r="Y482" s="304"/>
    </row>
    <row r="483" spans="18:25" x14ac:dyDescent="0.25">
      <c r="R483" s="333"/>
      <c r="T483" s="331"/>
      <c r="U483" s="334"/>
      <c r="W483" s="306"/>
      <c r="X483" s="306"/>
      <c r="Y483" s="304"/>
    </row>
    <row r="484" spans="18:25" x14ac:dyDescent="0.25">
      <c r="R484" s="333"/>
      <c r="T484" s="331"/>
      <c r="U484" s="334"/>
      <c r="W484" s="306"/>
      <c r="X484" s="306"/>
      <c r="Y484" s="304"/>
    </row>
    <row r="485" spans="18:25" x14ac:dyDescent="0.25">
      <c r="R485" s="333"/>
      <c r="T485" s="331"/>
      <c r="U485" s="334"/>
      <c r="W485" s="306"/>
      <c r="X485" s="306"/>
      <c r="Y485" s="304"/>
    </row>
    <row r="486" spans="18:25" x14ac:dyDescent="0.25">
      <c r="R486" s="333"/>
      <c r="T486" s="331"/>
      <c r="U486" s="334"/>
      <c r="W486" s="306"/>
      <c r="X486" s="306"/>
      <c r="Y486" s="304"/>
    </row>
    <row r="487" spans="18:25" x14ac:dyDescent="0.25">
      <c r="R487" s="333"/>
      <c r="T487" s="331"/>
      <c r="U487" s="334"/>
      <c r="W487" s="306"/>
      <c r="X487" s="306"/>
      <c r="Y487" s="304"/>
    </row>
    <row r="488" spans="18:25" x14ac:dyDescent="0.25">
      <c r="R488" s="333"/>
      <c r="T488" s="331"/>
      <c r="U488" s="334"/>
      <c r="W488" s="306"/>
      <c r="X488" s="306"/>
      <c r="Y488" s="304"/>
    </row>
    <row r="489" spans="18:25" x14ac:dyDescent="0.25">
      <c r="R489" s="333"/>
      <c r="T489" s="331"/>
      <c r="U489" s="334"/>
      <c r="W489" s="306"/>
      <c r="X489" s="306"/>
      <c r="Y489" s="304"/>
    </row>
    <row r="490" spans="18:25" x14ac:dyDescent="0.25">
      <c r="R490" s="333"/>
      <c r="T490" s="331"/>
      <c r="U490" s="334"/>
      <c r="W490" s="306"/>
      <c r="X490" s="306"/>
      <c r="Y490" s="304"/>
    </row>
    <row r="491" spans="18:25" x14ac:dyDescent="0.25">
      <c r="R491" s="333"/>
      <c r="T491" s="331"/>
      <c r="U491" s="334"/>
      <c r="W491" s="306"/>
      <c r="X491" s="306"/>
      <c r="Y491" s="304"/>
    </row>
    <row r="492" spans="18:25" x14ac:dyDescent="0.25">
      <c r="R492" s="333"/>
      <c r="T492" s="331"/>
      <c r="U492" s="334"/>
      <c r="W492" s="306"/>
      <c r="X492" s="306"/>
      <c r="Y492" s="304"/>
    </row>
    <row r="493" spans="18:25" x14ac:dyDescent="0.25">
      <c r="R493" s="333"/>
      <c r="T493" s="331"/>
      <c r="U493" s="334"/>
      <c r="W493" s="306"/>
      <c r="X493" s="306"/>
      <c r="Y493" s="304"/>
    </row>
    <row r="494" spans="18:25" x14ac:dyDescent="0.25">
      <c r="R494" s="333"/>
      <c r="T494" s="331"/>
      <c r="U494" s="334"/>
      <c r="W494" s="306"/>
      <c r="X494" s="306"/>
      <c r="Y494" s="304"/>
    </row>
    <row r="495" spans="18:25" x14ac:dyDescent="0.25">
      <c r="R495" s="333"/>
      <c r="T495" s="331"/>
      <c r="U495" s="334"/>
      <c r="W495" s="306"/>
      <c r="X495" s="306"/>
      <c r="Y495" s="304"/>
    </row>
    <row r="496" spans="18:25" x14ac:dyDescent="0.25">
      <c r="R496" s="333"/>
      <c r="T496" s="331"/>
      <c r="U496" s="334"/>
      <c r="W496" s="306"/>
      <c r="X496" s="306"/>
      <c r="Y496" s="304"/>
    </row>
    <row r="497" spans="18:25" x14ac:dyDescent="0.25">
      <c r="R497" s="333"/>
      <c r="T497" s="331"/>
      <c r="U497" s="334"/>
      <c r="W497" s="306"/>
      <c r="X497" s="306"/>
      <c r="Y497" s="304"/>
    </row>
    <row r="498" spans="18:25" x14ac:dyDescent="0.25">
      <c r="R498" s="333"/>
      <c r="T498" s="331"/>
      <c r="U498" s="334"/>
      <c r="W498" s="306"/>
      <c r="X498" s="306"/>
      <c r="Y498" s="304"/>
    </row>
    <row r="499" spans="18:25" x14ac:dyDescent="0.25">
      <c r="R499" s="333"/>
      <c r="T499" s="331"/>
      <c r="U499" s="334"/>
      <c r="W499" s="306"/>
      <c r="X499" s="306"/>
      <c r="Y499" s="304"/>
    </row>
    <row r="500" spans="18:25" x14ac:dyDescent="0.25">
      <c r="R500" s="333"/>
      <c r="T500" s="331"/>
      <c r="U500" s="334"/>
      <c r="W500" s="306"/>
      <c r="X500" s="306"/>
      <c r="Y500" s="304"/>
    </row>
    <row r="501" spans="18:25" x14ac:dyDescent="0.25">
      <c r="R501" s="333"/>
      <c r="T501" s="331"/>
      <c r="U501" s="334"/>
      <c r="W501" s="306"/>
      <c r="X501" s="306"/>
      <c r="Y501" s="304"/>
    </row>
    <row r="502" spans="18:25" x14ac:dyDescent="0.25">
      <c r="R502" s="333"/>
      <c r="T502" s="331"/>
      <c r="U502" s="334"/>
      <c r="W502" s="306"/>
      <c r="X502" s="306"/>
      <c r="Y502" s="304"/>
    </row>
    <row r="503" spans="18:25" x14ac:dyDescent="0.25">
      <c r="R503" s="333"/>
      <c r="T503" s="331"/>
      <c r="U503" s="334"/>
      <c r="W503" s="306"/>
      <c r="X503" s="306"/>
      <c r="Y503" s="304"/>
    </row>
    <row r="504" spans="18:25" x14ac:dyDescent="0.25">
      <c r="R504" s="333"/>
      <c r="T504" s="331"/>
      <c r="U504" s="334"/>
      <c r="W504" s="306"/>
      <c r="X504" s="306"/>
      <c r="Y504" s="304"/>
    </row>
    <row r="505" spans="18:25" x14ac:dyDescent="0.25">
      <c r="R505" s="333"/>
      <c r="T505" s="331"/>
      <c r="U505" s="334"/>
      <c r="W505" s="306"/>
      <c r="X505" s="306"/>
      <c r="Y505" s="304"/>
    </row>
    <row r="506" spans="18:25" x14ac:dyDescent="0.25">
      <c r="R506" s="333"/>
      <c r="T506" s="331"/>
      <c r="U506" s="334"/>
      <c r="W506" s="306"/>
      <c r="X506" s="306"/>
      <c r="Y506" s="304"/>
    </row>
    <row r="507" spans="18:25" x14ac:dyDescent="0.25">
      <c r="R507" s="333"/>
      <c r="T507" s="331"/>
      <c r="U507" s="334"/>
      <c r="W507" s="306"/>
      <c r="X507" s="306"/>
      <c r="Y507" s="304"/>
    </row>
    <row r="508" spans="18:25" x14ac:dyDescent="0.25">
      <c r="R508" s="333"/>
      <c r="T508" s="331"/>
      <c r="U508" s="334"/>
      <c r="W508" s="306"/>
      <c r="X508" s="306"/>
      <c r="Y508" s="304"/>
    </row>
    <row r="509" spans="18:25" x14ac:dyDescent="0.25">
      <c r="R509" s="333"/>
      <c r="T509" s="331"/>
      <c r="U509" s="334"/>
      <c r="W509" s="306"/>
      <c r="X509" s="306"/>
      <c r="Y509" s="304"/>
    </row>
    <row r="510" spans="18:25" x14ac:dyDescent="0.25">
      <c r="R510" s="333"/>
      <c r="T510" s="331"/>
      <c r="U510" s="334"/>
      <c r="W510" s="306"/>
      <c r="X510" s="306"/>
      <c r="Y510" s="304"/>
    </row>
    <row r="511" spans="18:25" x14ac:dyDescent="0.25">
      <c r="R511" s="333"/>
      <c r="T511" s="331"/>
      <c r="U511" s="334"/>
      <c r="W511" s="306"/>
      <c r="X511" s="306"/>
      <c r="Y511" s="304"/>
    </row>
    <row r="512" spans="18:25" x14ac:dyDescent="0.25">
      <c r="R512" s="333"/>
      <c r="T512" s="331"/>
      <c r="U512" s="334"/>
      <c r="W512" s="306"/>
      <c r="X512" s="306"/>
      <c r="Y512" s="304"/>
    </row>
    <row r="513" spans="18:25" x14ac:dyDescent="0.25">
      <c r="R513" s="333"/>
      <c r="T513" s="331"/>
      <c r="U513" s="334"/>
      <c r="W513" s="306"/>
      <c r="X513" s="306"/>
      <c r="Y513" s="304"/>
    </row>
    <row r="514" spans="18:25" x14ac:dyDescent="0.25">
      <c r="R514" s="333"/>
      <c r="T514" s="331"/>
      <c r="U514" s="334"/>
      <c r="W514" s="306"/>
      <c r="X514" s="306"/>
      <c r="Y514" s="304"/>
    </row>
    <row r="515" spans="18:25" x14ac:dyDescent="0.25">
      <c r="R515" s="333"/>
      <c r="T515" s="331"/>
      <c r="U515" s="334"/>
      <c r="W515" s="306"/>
      <c r="X515" s="306"/>
      <c r="Y515" s="304"/>
    </row>
    <row r="516" spans="18:25" x14ac:dyDescent="0.25">
      <c r="R516" s="333"/>
      <c r="T516" s="331"/>
      <c r="U516" s="334"/>
      <c r="W516" s="306"/>
      <c r="X516" s="306"/>
      <c r="Y516" s="304"/>
    </row>
    <row r="517" spans="18:25" x14ac:dyDescent="0.25">
      <c r="R517" s="333"/>
      <c r="T517" s="331"/>
      <c r="U517" s="334"/>
      <c r="W517" s="306"/>
      <c r="X517" s="306"/>
      <c r="Y517" s="304"/>
    </row>
    <row r="518" spans="18:25" x14ac:dyDescent="0.25">
      <c r="R518" s="333"/>
      <c r="T518" s="331"/>
      <c r="U518" s="334"/>
      <c r="W518" s="306"/>
      <c r="X518" s="306"/>
      <c r="Y518" s="304"/>
    </row>
    <row r="519" spans="18:25" x14ac:dyDescent="0.25">
      <c r="R519" s="333"/>
      <c r="T519" s="331"/>
      <c r="U519" s="334"/>
      <c r="W519" s="306"/>
      <c r="X519" s="306"/>
      <c r="Y519" s="304"/>
    </row>
    <row r="520" spans="18:25" x14ac:dyDescent="0.25">
      <c r="R520" s="333"/>
      <c r="T520" s="331"/>
      <c r="U520" s="334"/>
      <c r="W520" s="306"/>
      <c r="X520" s="306"/>
      <c r="Y520" s="304"/>
    </row>
    <row r="521" spans="18:25" x14ac:dyDescent="0.25">
      <c r="R521" s="333"/>
      <c r="T521" s="331"/>
      <c r="U521" s="334"/>
      <c r="W521" s="306"/>
      <c r="X521" s="306"/>
      <c r="Y521" s="304"/>
    </row>
    <row r="522" spans="18:25" x14ac:dyDescent="0.25">
      <c r="R522" s="333"/>
      <c r="T522" s="331"/>
      <c r="U522" s="334"/>
      <c r="W522" s="306"/>
      <c r="X522" s="306"/>
      <c r="Y522" s="304"/>
    </row>
    <row r="523" spans="18:25" x14ac:dyDescent="0.25">
      <c r="R523" s="333"/>
      <c r="T523" s="331"/>
      <c r="U523" s="334"/>
      <c r="W523" s="306"/>
      <c r="X523" s="306"/>
      <c r="Y523" s="304"/>
    </row>
    <row r="524" spans="18:25" x14ac:dyDescent="0.25">
      <c r="R524" s="333"/>
      <c r="T524" s="331"/>
      <c r="U524" s="334"/>
      <c r="W524" s="306"/>
      <c r="X524" s="306"/>
      <c r="Y524" s="304"/>
    </row>
    <row r="525" spans="18:25" x14ac:dyDescent="0.25">
      <c r="R525" s="333"/>
      <c r="T525" s="331"/>
      <c r="U525" s="334"/>
      <c r="W525" s="306"/>
      <c r="X525" s="306"/>
      <c r="Y525" s="304"/>
    </row>
    <row r="526" spans="18:25" x14ac:dyDescent="0.25">
      <c r="R526" s="333"/>
      <c r="T526" s="331"/>
      <c r="U526" s="334"/>
      <c r="W526" s="306"/>
      <c r="X526" s="306"/>
      <c r="Y526" s="304"/>
    </row>
    <row r="527" spans="18:25" x14ac:dyDescent="0.25">
      <c r="R527" s="333"/>
      <c r="T527" s="331"/>
      <c r="U527" s="334"/>
      <c r="W527" s="306"/>
      <c r="X527" s="306"/>
      <c r="Y527" s="304"/>
    </row>
    <row r="528" spans="18:25" x14ac:dyDescent="0.25">
      <c r="R528" s="333"/>
      <c r="T528" s="331"/>
      <c r="U528" s="334"/>
      <c r="W528" s="306"/>
      <c r="X528" s="306"/>
      <c r="Y528" s="304"/>
    </row>
    <row r="529" spans="18:25" x14ac:dyDescent="0.25">
      <c r="R529" s="333"/>
      <c r="T529" s="331"/>
      <c r="U529" s="334"/>
      <c r="W529" s="306"/>
      <c r="X529" s="306"/>
      <c r="Y529" s="304"/>
    </row>
    <row r="530" spans="18:25" x14ac:dyDescent="0.25">
      <c r="R530" s="333"/>
      <c r="T530" s="331"/>
      <c r="U530" s="334"/>
      <c r="W530" s="306"/>
      <c r="X530" s="306"/>
      <c r="Y530" s="304"/>
    </row>
    <row r="531" spans="18:25" x14ac:dyDescent="0.25">
      <c r="R531" s="333"/>
      <c r="T531" s="331"/>
      <c r="U531" s="334"/>
      <c r="W531" s="306"/>
      <c r="X531" s="306"/>
      <c r="Y531" s="304"/>
    </row>
    <row r="532" spans="18:25" x14ac:dyDescent="0.25">
      <c r="R532" s="333"/>
      <c r="T532" s="331"/>
      <c r="U532" s="334"/>
      <c r="W532" s="306"/>
      <c r="X532" s="306"/>
      <c r="Y532" s="304"/>
    </row>
    <row r="533" spans="18:25" x14ac:dyDescent="0.25">
      <c r="R533" s="333"/>
      <c r="T533" s="331"/>
      <c r="U533" s="334"/>
      <c r="W533" s="306"/>
      <c r="X533" s="306"/>
      <c r="Y533" s="304"/>
    </row>
    <row r="534" spans="18:25" x14ac:dyDescent="0.25">
      <c r="R534" s="333"/>
      <c r="T534" s="331"/>
      <c r="U534" s="334"/>
      <c r="W534" s="306"/>
      <c r="X534" s="306"/>
      <c r="Y534" s="304"/>
    </row>
    <row r="535" spans="18:25" x14ac:dyDescent="0.25">
      <c r="R535" s="333"/>
      <c r="T535" s="331"/>
      <c r="U535" s="334"/>
      <c r="W535" s="306"/>
      <c r="X535" s="306"/>
      <c r="Y535" s="304"/>
    </row>
    <row r="536" spans="18:25" x14ac:dyDescent="0.25">
      <c r="R536" s="333"/>
      <c r="T536" s="331"/>
      <c r="U536" s="334"/>
      <c r="W536" s="306"/>
      <c r="X536" s="306"/>
      <c r="Y536" s="304"/>
    </row>
    <row r="537" spans="18:25" x14ac:dyDescent="0.25">
      <c r="R537" s="333"/>
      <c r="T537" s="331"/>
      <c r="U537" s="334"/>
      <c r="W537" s="306"/>
      <c r="X537" s="306"/>
      <c r="Y537" s="304"/>
    </row>
    <row r="538" spans="18:25" x14ac:dyDescent="0.25">
      <c r="R538" s="333"/>
      <c r="T538" s="331"/>
      <c r="U538" s="334"/>
      <c r="W538" s="306"/>
      <c r="X538" s="306"/>
      <c r="Y538" s="304"/>
    </row>
    <row r="539" spans="18:25" x14ac:dyDescent="0.25">
      <c r="R539" s="333"/>
      <c r="T539" s="331"/>
      <c r="U539" s="334"/>
      <c r="W539" s="306"/>
      <c r="X539" s="306"/>
      <c r="Y539" s="304"/>
    </row>
    <row r="540" spans="18:25" x14ac:dyDescent="0.25">
      <c r="R540" s="333"/>
      <c r="T540" s="331"/>
      <c r="U540" s="334"/>
      <c r="W540" s="306"/>
      <c r="X540" s="306"/>
      <c r="Y540" s="304"/>
    </row>
    <row r="541" spans="18:25" x14ac:dyDescent="0.25">
      <c r="R541" s="333"/>
      <c r="T541" s="331"/>
      <c r="U541" s="334"/>
      <c r="W541" s="306"/>
      <c r="X541" s="306"/>
      <c r="Y541" s="304"/>
    </row>
    <row r="542" spans="18:25" x14ac:dyDescent="0.25">
      <c r="R542" s="333"/>
      <c r="T542" s="331"/>
      <c r="U542" s="334"/>
      <c r="W542" s="306"/>
      <c r="X542" s="306"/>
      <c r="Y542" s="304"/>
    </row>
    <row r="543" spans="18:25" x14ac:dyDescent="0.25">
      <c r="R543" s="333"/>
      <c r="T543" s="331"/>
      <c r="U543" s="334"/>
      <c r="W543" s="306"/>
      <c r="X543" s="306"/>
      <c r="Y543" s="304"/>
    </row>
    <row r="544" spans="18:25" x14ac:dyDescent="0.25">
      <c r="R544" s="333"/>
      <c r="T544" s="331"/>
      <c r="U544" s="334"/>
      <c r="W544" s="306"/>
      <c r="X544" s="306"/>
      <c r="Y544" s="304"/>
    </row>
    <row r="545" spans="18:25" x14ac:dyDescent="0.25">
      <c r="R545" s="333"/>
      <c r="T545" s="331"/>
      <c r="U545" s="334"/>
      <c r="W545" s="306"/>
      <c r="X545" s="306"/>
      <c r="Y545" s="304"/>
    </row>
    <row r="546" spans="18:25" x14ac:dyDescent="0.25">
      <c r="R546" s="333"/>
      <c r="T546" s="331"/>
      <c r="U546" s="334"/>
      <c r="W546" s="306"/>
      <c r="X546" s="306"/>
      <c r="Y546" s="304"/>
    </row>
    <row r="547" spans="18:25" x14ac:dyDescent="0.25">
      <c r="R547" s="333"/>
      <c r="T547" s="331"/>
      <c r="U547" s="334"/>
      <c r="W547" s="306"/>
      <c r="X547" s="306"/>
      <c r="Y547" s="304"/>
    </row>
    <row r="548" spans="18:25" x14ac:dyDescent="0.25">
      <c r="R548" s="333"/>
      <c r="T548" s="331"/>
      <c r="U548" s="334"/>
      <c r="W548" s="306"/>
      <c r="X548" s="306"/>
      <c r="Y548" s="304"/>
    </row>
    <row r="549" spans="18:25" x14ac:dyDescent="0.25">
      <c r="R549" s="333"/>
      <c r="T549" s="331"/>
      <c r="U549" s="334"/>
      <c r="W549" s="306"/>
      <c r="X549" s="306"/>
      <c r="Y549" s="304"/>
    </row>
    <row r="550" spans="18:25" x14ac:dyDescent="0.25">
      <c r="R550" s="333"/>
      <c r="T550" s="331"/>
      <c r="U550" s="334"/>
      <c r="W550" s="306"/>
      <c r="X550" s="306"/>
      <c r="Y550" s="304"/>
    </row>
    <row r="551" spans="18:25" x14ac:dyDescent="0.25">
      <c r="R551" s="333"/>
      <c r="T551" s="331"/>
      <c r="U551" s="334"/>
      <c r="W551" s="306"/>
      <c r="X551" s="306"/>
      <c r="Y551" s="304"/>
    </row>
    <row r="552" spans="18:25" x14ac:dyDescent="0.25">
      <c r="R552" s="333"/>
      <c r="T552" s="331"/>
      <c r="U552" s="334"/>
      <c r="W552" s="306"/>
      <c r="X552" s="306"/>
      <c r="Y552" s="304"/>
    </row>
    <row r="553" spans="18:25" x14ac:dyDescent="0.25">
      <c r="R553" s="333"/>
      <c r="T553" s="331"/>
      <c r="U553" s="334"/>
      <c r="W553" s="306"/>
      <c r="X553" s="306"/>
      <c r="Y553" s="304"/>
    </row>
    <row r="554" spans="18:25" x14ac:dyDescent="0.25">
      <c r="R554" s="333"/>
      <c r="T554" s="331"/>
      <c r="U554" s="334"/>
      <c r="W554" s="306"/>
      <c r="X554" s="306"/>
      <c r="Y554" s="304"/>
    </row>
    <row r="555" spans="18:25" x14ac:dyDescent="0.25">
      <c r="R555" s="333"/>
      <c r="T555" s="331"/>
      <c r="U555" s="334"/>
      <c r="W555" s="306"/>
      <c r="X555" s="306"/>
      <c r="Y555" s="304"/>
    </row>
    <row r="556" spans="18:25" x14ac:dyDescent="0.25">
      <c r="R556" s="333"/>
      <c r="T556" s="331"/>
      <c r="U556" s="334"/>
      <c r="W556" s="306"/>
      <c r="X556" s="306"/>
      <c r="Y556" s="304"/>
    </row>
    <row r="557" spans="18:25" x14ac:dyDescent="0.25">
      <c r="R557" s="333"/>
      <c r="T557" s="331"/>
      <c r="U557" s="334"/>
      <c r="W557" s="306"/>
      <c r="X557" s="306"/>
      <c r="Y557" s="304"/>
    </row>
    <row r="558" spans="18:25" x14ac:dyDescent="0.25">
      <c r="R558" s="333"/>
      <c r="T558" s="331"/>
      <c r="U558" s="334"/>
      <c r="W558" s="306"/>
      <c r="X558" s="306"/>
      <c r="Y558" s="304"/>
    </row>
    <row r="559" spans="18:25" x14ac:dyDescent="0.25">
      <c r="R559" s="333"/>
      <c r="T559" s="331"/>
      <c r="U559" s="334"/>
      <c r="W559" s="306"/>
      <c r="X559" s="306"/>
      <c r="Y559" s="304"/>
    </row>
    <row r="560" spans="18:25" x14ac:dyDescent="0.25">
      <c r="R560" s="333"/>
      <c r="T560" s="331"/>
      <c r="U560" s="334"/>
      <c r="W560" s="306"/>
      <c r="X560" s="306"/>
      <c r="Y560" s="304"/>
    </row>
    <row r="561" spans="18:25" x14ac:dyDescent="0.25">
      <c r="R561" s="333"/>
      <c r="T561" s="331"/>
      <c r="U561" s="334"/>
      <c r="W561" s="306"/>
      <c r="X561" s="306"/>
      <c r="Y561" s="304"/>
    </row>
    <row r="562" spans="18:25" x14ac:dyDescent="0.25">
      <c r="R562" s="333"/>
      <c r="T562" s="331"/>
      <c r="U562" s="334"/>
      <c r="W562" s="306"/>
      <c r="X562" s="306"/>
      <c r="Y562" s="304"/>
    </row>
    <row r="563" spans="18:25" x14ac:dyDescent="0.25">
      <c r="R563" s="333"/>
      <c r="T563" s="331"/>
      <c r="U563" s="334"/>
      <c r="W563" s="306"/>
      <c r="X563" s="306"/>
      <c r="Y563" s="304"/>
    </row>
    <row r="564" spans="18:25" x14ac:dyDescent="0.25">
      <c r="R564" s="333"/>
      <c r="T564" s="331"/>
      <c r="U564" s="334"/>
      <c r="W564" s="306"/>
      <c r="X564" s="306"/>
      <c r="Y564" s="304"/>
    </row>
    <row r="565" spans="18:25" x14ac:dyDescent="0.25">
      <c r="R565" s="333"/>
      <c r="T565" s="331"/>
      <c r="U565" s="334"/>
      <c r="W565" s="306"/>
      <c r="X565" s="306"/>
      <c r="Y565" s="304"/>
    </row>
    <row r="566" spans="18:25" x14ac:dyDescent="0.25">
      <c r="R566" s="333"/>
      <c r="T566" s="331"/>
      <c r="U566" s="334"/>
      <c r="W566" s="306"/>
      <c r="X566" s="306"/>
      <c r="Y566" s="304"/>
    </row>
    <row r="567" spans="18:25" x14ac:dyDescent="0.25">
      <c r="R567" s="333"/>
      <c r="T567" s="331"/>
      <c r="U567" s="334"/>
      <c r="W567" s="306"/>
      <c r="X567" s="306"/>
      <c r="Y567" s="304"/>
    </row>
    <row r="568" spans="18:25" x14ac:dyDescent="0.25">
      <c r="R568" s="333"/>
      <c r="T568" s="331"/>
      <c r="U568" s="334"/>
      <c r="W568" s="306"/>
      <c r="X568" s="306"/>
      <c r="Y568" s="304"/>
    </row>
    <row r="569" spans="18:25" x14ac:dyDescent="0.25">
      <c r="R569" s="333"/>
      <c r="T569" s="331"/>
      <c r="U569" s="334"/>
      <c r="W569" s="306"/>
      <c r="X569" s="306"/>
      <c r="Y569" s="304"/>
    </row>
    <row r="570" spans="18:25" x14ac:dyDescent="0.25">
      <c r="R570" s="333"/>
      <c r="T570" s="331"/>
      <c r="U570" s="334"/>
      <c r="W570" s="306"/>
      <c r="X570" s="306"/>
      <c r="Y570" s="304"/>
    </row>
    <row r="571" spans="18:25" x14ac:dyDescent="0.25">
      <c r="R571" s="333"/>
      <c r="T571" s="331"/>
      <c r="U571" s="334"/>
      <c r="W571" s="306"/>
      <c r="X571" s="306"/>
      <c r="Y571" s="304"/>
    </row>
    <row r="572" spans="18:25" x14ac:dyDescent="0.25">
      <c r="R572" s="333"/>
      <c r="T572" s="331"/>
      <c r="U572" s="334"/>
      <c r="W572" s="306"/>
      <c r="X572" s="306"/>
      <c r="Y572" s="304"/>
    </row>
    <row r="573" spans="18:25" x14ac:dyDescent="0.25">
      <c r="R573" s="333"/>
      <c r="T573" s="331"/>
      <c r="U573" s="334"/>
      <c r="W573" s="306"/>
      <c r="X573" s="306"/>
      <c r="Y573" s="304"/>
    </row>
    <row r="574" spans="18:25" x14ac:dyDescent="0.25">
      <c r="R574" s="333"/>
      <c r="T574" s="331"/>
      <c r="U574" s="334"/>
      <c r="W574" s="306"/>
      <c r="X574" s="306"/>
      <c r="Y574" s="304"/>
    </row>
    <row r="575" spans="18:25" x14ac:dyDescent="0.25">
      <c r="R575" s="333"/>
      <c r="T575" s="331"/>
      <c r="U575" s="334"/>
      <c r="W575" s="306"/>
      <c r="X575" s="306"/>
      <c r="Y575" s="304"/>
    </row>
    <row r="576" spans="18:25" x14ac:dyDescent="0.25">
      <c r="R576" s="333"/>
      <c r="T576" s="331"/>
      <c r="U576" s="334"/>
      <c r="W576" s="306"/>
      <c r="X576" s="306"/>
      <c r="Y576" s="304"/>
    </row>
    <row r="577" spans="18:25" x14ac:dyDescent="0.25">
      <c r="R577" s="333"/>
      <c r="T577" s="331"/>
      <c r="U577" s="334"/>
      <c r="W577" s="306"/>
      <c r="X577" s="306"/>
      <c r="Y577" s="304"/>
    </row>
    <row r="578" spans="18:25" x14ac:dyDescent="0.25">
      <c r="R578" s="333"/>
      <c r="T578" s="331"/>
      <c r="U578" s="334"/>
      <c r="W578" s="306"/>
      <c r="X578" s="306"/>
      <c r="Y578" s="304"/>
    </row>
    <row r="579" spans="18:25" x14ac:dyDescent="0.25">
      <c r="R579" s="333"/>
      <c r="T579" s="331"/>
      <c r="U579" s="334"/>
      <c r="W579" s="306"/>
      <c r="X579" s="306"/>
      <c r="Y579" s="304"/>
    </row>
    <row r="580" spans="18:25" x14ac:dyDescent="0.25">
      <c r="R580" s="333"/>
      <c r="T580" s="331"/>
      <c r="U580" s="334"/>
      <c r="W580" s="306"/>
      <c r="X580" s="306"/>
      <c r="Y580" s="304"/>
    </row>
    <row r="581" spans="18:25" x14ac:dyDescent="0.25">
      <c r="R581" s="333"/>
      <c r="T581" s="331"/>
      <c r="U581" s="334"/>
      <c r="W581" s="306"/>
      <c r="X581" s="306"/>
      <c r="Y581" s="304"/>
    </row>
    <row r="582" spans="18:25" x14ac:dyDescent="0.25">
      <c r="R582" s="333"/>
      <c r="T582" s="331"/>
      <c r="U582" s="334"/>
      <c r="W582" s="306"/>
      <c r="X582" s="306"/>
      <c r="Y582" s="304"/>
    </row>
    <row r="583" spans="18:25" x14ac:dyDescent="0.25">
      <c r="R583" s="333"/>
      <c r="T583" s="331"/>
      <c r="U583" s="334"/>
      <c r="W583" s="306"/>
      <c r="X583" s="306"/>
      <c r="Y583" s="304"/>
    </row>
    <row r="584" spans="18:25" x14ac:dyDescent="0.25">
      <c r="R584" s="333"/>
      <c r="T584" s="331"/>
      <c r="U584" s="334"/>
      <c r="W584" s="306"/>
      <c r="X584" s="306"/>
      <c r="Y584" s="304"/>
    </row>
    <row r="585" spans="18:25" x14ac:dyDescent="0.25">
      <c r="R585" s="333"/>
      <c r="T585" s="331"/>
      <c r="U585" s="334"/>
      <c r="W585" s="306"/>
      <c r="X585" s="306"/>
      <c r="Y585" s="304"/>
    </row>
    <row r="586" spans="18:25" x14ac:dyDescent="0.25">
      <c r="R586" s="333"/>
      <c r="T586" s="331"/>
      <c r="U586" s="334"/>
      <c r="W586" s="306"/>
      <c r="X586" s="306"/>
      <c r="Y586" s="304"/>
    </row>
    <row r="587" spans="18:25" x14ac:dyDescent="0.25">
      <c r="R587" s="333"/>
      <c r="T587" s="331"/>
      <c r="U587" s="334"/>
      <c r="W587" s="306"/>
      <c r="X587" s="306"/>
      <c r="Y587" s="304"/>
    </row>
    <row r="588" spans="18:25" x14ac:dyDescent="0.25">
      <c r="R588" s="333"/>
      <c r="T588" s="331"/>
      <c r="U588" s="334"/>
      <c r="W588" s="306"/>
      <c r="X588" s="306"/>
      <c r="Y588" s="304"/>
    </row>
    <row r="589" spans="18:25" x14ac:dyDescent="0.25">
      <c r="R589" s="333"/>
      <c r="T589" s="331"/>
      <c r="U589" s="334"/>
      <c r="W589" s="306"/>
      <c r="X589" s="306"/>
      <c r="Y589" s="304"/>
    </row>
    <row r="590" spans="18:25" x14ac:dyDescent="0.25">
      <c r="R590" s="333"/>
      <c r="T590" s="331"/>
      <c r="U590" s="334"/>
      <c r="W590" s="306"/>
      <c r="X590" s="306"/>
      <c r="Y590" s="304"/>
    </row>
    <row r="591" spans="18:25" x14ac:dyDescent="0.25">
      <c r="R591" s="333"/>
      <c r="T591" s="331"/>
      <c r="U591" s="334"/>
      <c r="W591" s="306"/>
      <c r="X591" s="306"/>
      <c r="Y591" s="304"/>
    </row>
    <row r="592" spans="18:25" x14ac:dyDescent="0.25">
      <c r="R592" s="333"/>
      <c r="T592" s="331"/>
      <c r="U592" s="334"/>
      <c r="W592" s="306"/>
      <c r="X592" s="306"/>
      <c r="Y592" s="304"/>
    </row>
    <row r="593" spans="18:25" x14ac:dyDescent="0.25">
      <c r="R593" s="333"/>
      <c r="T593" s="331"/>
      <c r="U593" s="334"/>
      <c r="W593" s="306"/>
      <c r="X593" s="306"/>
      <c r="Y593" s="304"/>
    </row>
    <row r="594" spans="18:25" x14ac:dyDescent="0.25">
      <c r="R594" s="333"/>
      <c r="T594" s="331"/>
      <c r="U594" s="334"/>
      <c r="W594" s="306"/>
      <c r="X594" s="306"/>
      <c r="Y594" s="304"/>
    </row>
    <row r="595" spans="18:25" x14ac:dyDescent="0.25">
      <c r="R595" s="333"/>
      <c r="T595" s="331"/>
      <c r="U595" s="334"/>
      <c r="W595" s="306"/>
      <c r="X595" s="306"/>
      <c r="Y595" s="304"/>
    </row>
    <row r="596" spans="18:25" x14ac:dyDescent="0.25">
      <c r="R596" s="333"/>
      <c r="T596" s="331"/>
      <c r="U596" s="334"/>
      <c r="W596" s="306"/>
      <c r="X596" s="306"/>
      <c r="Y596" s="304"/>
    </row>
    <row r="597" spans="18:25" x14ac:dyDescent="0.25">
      <c r="R597" s="333"/>
      <c r="T597" s="331"/>
      <c r="U597" s="334"/>
      <c r="W597" s="306"/>
      <c r="X597" s="306"/>
      <c r="Y597" s="304"/>
    </row>
    <row r="598" spans="18:25" x14ac:dyDescent="0.25">
      <c r="R598" s="333"/>
      <c r="T598" s="331"/>
      <c r="U598" s="334"/>
      <c r="W598" s="306"/>
      <c r="X598" s="306"/>
      <c r="Y598" s="304"/>
    </row>
    <row r="599" spans="18:25" x14ac:dyDescent="0.25">
      <c r="R599" s="333"/>
      <c r="T599" s="331"/>
      <c r="U599" s="334"/>
      <c r="W599" s="306"/>
      <c r="X599" s="306"/>
      <c r="Y599" s="304"/>
    </row>
    <row r="600" spans="18:25" x14ac:dyDescent="0.25">
      <c r="R600" s="333"/>
      <c r="T600" s="331"/>
      <c r="U600" s="334"/>
      <c r="W600" s="306"/>
      <c r="X600" s="306"/>
      <c r="Y600" s="304"/>
    </row>
    <row r="601" spans="18:25" x14ac:dyDescent="0.25">
      <c r="R601" s="333"/>
      <c r="T601" s="331"/>
      <c r="U601" s="334"/>
      <c r="W601" s="306"/>
      <c r="X601" s="306"/>
      <c r="Y601" s="304"/>
    </row>
    <row r="602" spans="18:25" x14ac:dyDescent="0.25">
      <c r="R602" s="333"/>
      <c r="T602" s="331"/>
      <c r="U602" s="334"/>
      <c r="W602" s="306"/>
      <c r="X602" s="306"/>
      <c r="Y602" s="304"/>
    </row>
    <row r="603" spans="18:25" x14ac:dyDescent="0.25">
      <c r="R603" s="333"/>
      <c r="T603" s="331"/>
      <c r="U603" s="334"/>
      <c r="W603" s="306"/>
      <c r="X603" s="306"/>
      <c r="Y603" s="304"/>
    </row>
    <row r="604" spans="18:25" x14ac:dyDescent="0.25">
      <c r="R604" s="333"/>
      <c r="T604" s="331"/>
      <c r="U604" s="334"/>
      <c r="W604" s="306"/>
      <c r="X604" s="306"/>
      <c r="Y604" s="304"/>
    </row>
    <row r="605" spans="18:25" x14ac:dyDescent="0.25">
      <c r="R605" s="333"/>
      <c r="T605" s="331"/>
      <c r="U605" s="334"/>
      <c r="W605" s="306"/>
      <c r="X605" s="306"/>
      <c r="Y605" s="304"/>
    </row>
    <row r="606" spans="18:25" x14ac:dyDescent="0.25">
      <c r="R606" s="333"/>
      <c r="T606" s="331"/>
      <c r="U606" s="334"/>
      <c r="W606" s="306"/>
      <c r="X606" s="306"/>
      <c r="Y606" s="304"/>
    </row>
    <row r="607" spans="18:25" x14ac:dyDescent="0.25">
      <c r="R607" s="333"/>
      <c r="T607" s="331"/>
      <c r="U607" s="334"/>
      <c r="W607" s="306"/>
      <c r="X607" s="306"/>
      <c r="Y607" s="304"/>
    </row>
    <row r="608" spans="18:25" x14ac:dyDescent="0.25">
      <c r="R608" s="333"/>
      <c r="T608" s="331"/>
      <c r="U608" s="334"/>
      <c r="W608" s="306"/>
      <c r="X608" s="306"/>
      <c r="Y608" s="304"/>
    </row>
    <row r="609" spans="18:25" x14ac:dyDescent="0.25">
      <c r="R609" s="333"/>
      <c r="T609" s="331"/>
      <c r="U609" s="334"/>
      <c r="W609" s="306"/>
      <c r="X609" s="306"/>
      <c r="Y609" s="304"/>
    </row>
    <row r="610" spans="18:25" x14ac:dyDescent="0.25">
      <c r="R610" s="333"/>
      <c r="T610" s="331"/>
      <c r="U610" s="334"/>
      <c r="W610" s="306"/>
      <c r="X610" s="306"/>
      <c r="Y610" s="304"/>
    </row>
    <row r="611" spans="18:25" x14ac:dyDescent="0.25">
      <c r="R611" s="333"/>
      <c r="T611" s="331"/>
      <c r="U611" s="334"/>
      <c r="W611" s="306"/>
      <c r="X611" s="306"/>
      <c r="Y611" s="304"/>
    </row>
    <row r="612" spans="18:25" x14ac:dyDescent="0.25">
      <c r="R612" s="333"/>
      <c r="T612" s="331"/>
      <c r="U612" s="334"/>
      <c r="W612" s="306"/>
      <c r="X612" s="306"/>
      <c r="Y612" s="304"/>
    </row>
    <row r="613" spans="18:25" x14ac:dyDescent="0.25">
      <c r="R613" s="333"/>
      <c r="T613" s="331"/>
      <c r="U613" s="334"/>
      <c r="W613" s="306"/>
      <c r="X613" s="306"/>
      <c r="Y613" s="304"/>
    </row>
    <row r="614" spans="18:25" x14ac:dyDescent="0.25">
      <c r="R614" s="333"/>
      <c r="T614" s="331"/>
      <c r="U614" s="334"/>
      <c r="W614" s="306"/>
      <c r="X614" s="306"/>
      <c r="Y614" s="304"/>
    </row>
    <row r="615" spans="18:25" x14ac:dyDescent="0.25">
      <c r="R615" s="333"/>
      <c r="T615" s="331"/>
      <c r="U615" s="334"/>
      <c r="W615" s="306"/>
      <c r="X615" s="306"/>
      <c r="Y615" s="304"/>
    </row>
    <row r="616" spans="18:25" x14ac:dyDescent="0.25">
      <c r="R616" s="333"/>
      <c r="T616" s="331"/>
      <c r="U616" s="334"/>
      <c r="W616" s="306"/>
      <c r="X616" s="306"/>
      <c r="Y616" s="304"/>
    </row>
    <row r="617" spans="18:25" x14ac:dyDescent="0.25">
      <c r="R617" s="333"/>
      <c r="T617" s="331"/>
      <c r="U617" s="334"/>
      <c r="W617" s="306"/>
      <c r="X617" s="306"/>
      <c r="Y617" s="304"/>
    </row>
    <row r="618" spans="18:25" x14ac:dyDescent="0.25">
      <c r="R618" s="333"/>
      <c r="T618" s="331"/>
      <c r="U618" s="334"/>
      <c r="W618" s="306"/>
      <c r="X618" s="306"/>
      <c r="Y618" s="304"/>
    </row>
    <row r="619" spans="18:25" x14ac:dyDescent="0.25">
      <c r="R619" s="333"/>
      <c r="T619" s="331"/>
      <c r="U619" s="334"/>
      <c r="W619" s="306"/>
      <c r="X619" s="306"/>
      <c r="Y619" s="304"/>
    </row>
    <row r="620" spans="18:25" x14ac:dyDescent="0.25">
      <c r="R620" s="333"/>
      <c r="T620" s="331"/>
      <c r="U620" s="334"/>
      <c r="W620" s="306"/>
      <c r="X620" s="306"/>
      <c r="Y620" s="304"/>
    </row>
    <row r="621" spans="18:25" x14ac:dyDescent="0.25">
      <c r="R621" s="333"/>
      <c r="T621" s="331"/>
      <c r="U621" s="334"/>
      <c r="W621" s="306"/>
      <c r="X621" s="306"/>
      <c r="Y621" s="304"/>
    </row>
    <row r="622" spans="18:25" x14ac:dyDescent="0.25">
      <c r="R622" s="333"/>
      <c r="T622" s="331"/>
      <c r="U622" s="334"/>
      <c r="W622" s="306"/>
      <c r="X622" s="306"/>
      <c r="Y622" s="304"/>
    </row>
    <row r="623" spans="18:25" x14ac:dyDescent="0.25">
      <c r="R623" s="333"/>
      <c r="T623" s="331"/>
      <c r="U623" s="334"/>
      <c r="W623" s="306"/>
      <c r="X623" s="306"/>
      <c r="Y623" s="304"/>
    </row>
    <row r="624" spans="18:25" x14ac:dyDescent="0.25">
      <c r="R624" s="333"/>
      <c r="T624" s="331"/>
      <c r="U624" s="334"/>
      <c r="W624" s="306"/>
      <c r="X624" s="306"/>
      <c r="Y624" s="304"/>
    </row>
    <row r="625" spans="18:25" x14ac:dyDescent="0.25">
      <c r="R625" s="333"/>
      <c r="T625" s="331"/>
      <c r="U625" s="334"/>
      <c r="W625" s="306"/>
      <c r="X625" s="306"/>
      <c r="Y625" s="304"/>
    </row>
    <row r="626" spans="18:25" x14ac:dyDescent="0.25">
      <c r="R626" s="333"/>
      <c r="T626" s="331"/>
      <c r="U626" s="334"/>
      <c r="W626" s="306"/>
      <c r="X626" s="306"/>
      <c r="Y626" s="304"/>
    </row>
    <row r="627" spans="18:25" x14ac:dyDescent="0.25">
      <c r="R627" s="333"/>
      <c r="T627" s="331"/>
      <c r="U627" s="334"/>
      <c r="W627" s="306"/>
      <c r="X627" s="306"/>
      <c r="Y627" s="304"/>
    </row>
    <row r="628" spans="18:25" x14ac:dyDescent="0.25">
      <c r="R628" s="333"/>
      <c r="T628" s="331"/>
      <c r="U628" s="334"/>
      <c r="W628" s="306"/>
      <c r="X628" s="306"/>
      <c r="Y628" s="304"/>
    </row>
    <row r="629" spans="18:25" x14ac:dyDescent="0.25">
      <c r="R629" s="333"/>
      <c r="T629" s="331"/>
      <c r="U629" s="334"/>
      <c r="W629" s="306"/>
      <c r="X629" s="306"/>
      <c r="Y629" s="304"/>
    </row>
    <row r="630" spans="18:25" x14ac:dyDescent="0.25">
      <c r="R630" s="333"/>
      <c r="T630" s="331"/>
      <c r="U630" s="334"/>
      <c r="W630" s="306"/>
      <c r="X630" s="306"/>
      <c r="Y630" s="304"/>
    </row>
    <row r="631" spans="18:25" x14ac:dyDescent="0.25">
      <c r="R631" s="333"/>
      <c r="T631" s="331"/>
      <c r="U631" s="334"/>
      <c r="W631" s="306"/>
      <c r="X631" s="306"/>
      <c r="Y631" s="304"/>
    </row>
    <row r="632" spans="18:25" x14ac:dyDescent="0.25">
      <c r="R632" s="333"/>
      <c r="T632" s="331"/>
      <c r="U632" s="334"/>
      <c r="W632" s="306"/>
      <c r="X632" s="306"/>
      <c r="Y632" s="304"/>
    </row>
    <row r="633" spans="18:25" x14ac:dyDescent="0.25">
      <c r="R633" s="333"/>
      <c r="T633" s="331"/>
      <c r="U633" s="334"/>
      <c r="W633" s="306"/>
      <c r="X633" s="306"/>
      <c r="Y633" s="304"/>
    </row>
    <row r="634" spans="18:25" x14ac:dyDescent="0.25">
      <c r="R634" s="333"/>
      <c r="T634" s="331"/>
      <c r="U634" s="334"/>
      <c r="W634" s="306"/>
      <c r="X634" s="306"/>
      <c r="Y634" s="304"/>
    </row>
    <row r="635" spans="18:25" x14ac:dyDescent="0.25">
      <c r="R635" s="333"/>
      <c r="T635" s="331"/>
      <c r="U635" s="334"/>
      <c r="W635" s="306"/>
      <c r="X635" s="306"/>
      <c r="Y635" s="304"/>
    </row>
    <row r="636" spans="18:25" x14ac:dyDescent="0.25">
      <c r="R636" s="333"/>
      <c r="T636" s="331"/>
      <c r="U636" s="334"/>
      <c r="W636" s="306"/>
      <c r="X636" s="306"/>
      <c r="Y636" s="304"/>
    </row>
    <row r="637" spans="18:25" x14ac:dyDescent="0.25">
      <c r="R637" s="333"/>
      <c r="T637" s="331"/>
      <c r="U637" s="334"/>
      <c r="W637" s="306"/>
      <c r="X637" s="306"/>
      <c r="Y637" s="304"/>
    </row>
    <row r="638" spans="18:25" x14ac:dyDescent="0.25">
      <c r="R638" s="333"/>
      <c r="T638" s="331"/>
      <c r="U638" s="334"/>
      <c r="W638" s="306"/>
      <c r="X638" s="306"/>
      <c r="Y638" s="304"/>
    </row>
    <row r="639" spans="18:25" x14ac:dyDescent="0.25">
      <c r="R639" s="333"/>
      <c r="T639" s="331"/>
      <c r="U639" s="334"/>
      <c r="W639" s="306"/>
      <c r="X639" s="306"/>
      <c r="Y639" s="304"/>
    </row>
    <row r="640" spans="18:25" x14ac:dyDescent="0.25">
      <c r="R640" s="333"/>
      <c r="T640" s="331"/>
      <c r="U640" s="334"/>
      <c r="W640" s="306"/>
      <c r="X640" s="306"/>
      <c r="Y640" s="304"/>
    </row>
    <row r="641" spans="18:25" x14ac:dyDescent="0.25">
      <c r="R641" s="333"/>
      <c r="T641" s="331"/>
      <c r="U641" s="334"/>
      <c r="W641" s="306"/>
      <c r="X641" s="306"/>
      <c r="Y641" s="304"/>
    </row>
    <row r="642" spans="18:25" x14ac:dyDescent="0.25">
      <c r="R642" s="333"/>
      <c r="T642" s="331"/>
      <c r="U642" s="334"/>
      <c r="W642" s="306"/>
      <c r="X642" s="306"/>
      <c r="Y642" s="304"/>
    </row>
    <row r="643" spans="18:25" x14ac:dyDescent="0.25">
      <c r="R643" s="333"/>
      <c r="T643" s="331"/>
      <c r="U643" s="334"/>
      <c r="W643" s="306"/>
      <c r="X643" s="306"/>
      <c r="Y643" s="304"/>
    </row>
    <row r="644" spans="18:25" x14ac:dyDescent="0.25">
      <c r="R644" s="333"/>
      <c r="T644" s="331"/>
      <c r="U644" s="334"/>
      <c r="W644" s="306"/>
      <c r="X644" s="306"/>
      <c r="Y644" s="304"/>
    </row>
    <row r="645" spans="18:25" x14ac:dyDescent="0.25">
      <c r="R645" s="333"/>
      <c r="T645" s="331"/>
      <c r="U645" s="334"/>
      <c r="W645" s="306"/>
      <c r="X645" s="306"/>
      <c r="Y645" s="304"/>
    </row>
    <row r="646" spans="18:25" x14ac:dyDescent="0.25">
      <c r="R646" s="333"/>
      <c r="T646" s="331"/>
      <c r="U646" s="334"/>
      <c r="W646" s="306"/>
      <c r="X646" s="306"/>
      <c r="Y646" s="304"/>
    </row>
    <row r="647" spans="18:25" x14ac:dyDescent="0.25">
      <c r="R647" s="333"/>
      <c r="T647" s="331"/>
      <c r="U647" s="334"/>
      <c r="W647" s="306"/>
      <c r="X647" s="306"/>
      <c r="Y647" s="304"/>
    </row>
    <row r="648" spans="18:25" x14ac:dyDescent="0.25">
      <c r="R648" s="333"/>
      <c r="T648" s="331"/>
      <c r="U648" s="334"/>
      <c r="W648" s="306"/>
      <c r="X648" s="306"/>
      <c r="Y648" s="304"/>
    </row>
    <row r="649" spans="18:25" x14ac:dyDescent="0.25">
      <c r="R649" s="333"/>
      <c r="T649" s="331"/>
      <c r="U649" s="334"/>
      <c r="W649" s="306"/>
      <c r="X649" s="306"/>
      <c r="Y649" s="304"/>
    </row>
    <row r="650" spans="18:25" x14ac:dyDescent="0.25">
      <c r="R650" s="333"/>
      <c r="T650" s="331"/>
      <c r="U650" s="334"/>
      <c r="W650" s="306"/>
      <c r="X650" s="306"/>
      <c r="Y650" s="304"/>
    </row>
    <row r="651" spans="18:25" x14ac:dyDescent="0.25">
      <c r="R651" s="333"/>
      <c r="T651" s="331"/>
      <c r="U651" s="334"/>
      <c r="W651" s="306"/>
      <c r="X651" s="306"/>
      <c r="Y651" s="304"/>
    </row>
    <row r="652" spans="18:25" x14ac:dyDescent="0.25">
      <c r="R652" s="333"/>
      <c r="T652" s="331"/>
      <c r="U652" s="334"/>
      <c r="W652" s="306"/>
      <c r="X652" s="306"/>
      <c r="Y652" s="304"/>
    </row>
    <row r="653" spans="18:25" x14ac:dyDescent="0.25">
      <c r="R653" s="333"/>
      <c r="T653" s="331"/>
      <c r="U653" s="334"/>
      <c r="W653" s="306"/>
      <c r="X653" s="306"/>
      <c r="Y653" s="304"/>
    </row>
    <row r="654" spans="18:25" x14ac:dyDescent="0.25">
      <c r="R654" s="333"/>
      <c r="T654" s="331"/>
      <c r="U654" s="334"/>
      <c r="W654" s="306"/>
      <c r="X654" s="306"/>
      <c r="Y654" s="304"/>
    </row>
    <row r="655" spans="18:25" x14ac:dyDescent="0.25">
      <c r="R655" s="333"/>
      <c r="T655" s="331"/>
      <c r="U655" s="334"/>
      <c r="W655" s="306"/>
      <c r="X655" s="306"/>
      <c r="Y655" s="304"/>
    </row>
    <row r="656" spans="18:25" x14ac:dyDescent="0.25">
      <c r="R656" s="333"/>
      <c r="T656" s="331"/>
      <c r="U656" s="334"/>
      <c r="W656" s="306"/>
      <c r="X656" s="306"/>
      <c r="Y656" s="304"/>
    </row>
    <row r="657" spans="18:25" x14ac:dyDescent="0.25">
      <c r="R657" s="333"/>
      <c r="T657" s="331"/>
      <c r="U657" s="334"/>
      <c r="W657" s="306"/>
      <c r="X657" s="306"/>
      <c r="Y657" s="304"/>
    </row>
    <row r="658" spans="18:25" x14ac:dyDescent="0.25">
      <c r="R658" s="333"/>
      <c r="T658" s="331"/>
      <c r="U658" s="334"/>
      <c r="W658" s="306"/>
      <c r="X658" s="306"/>
      <c r="Y658" s="304"/>
    </row>
    <row r="659" spans="18:25" x14ac:dyDescent="0.25">
      <c r="R659" s="333"/>
      <c r="T659" s="331"/>
      <c r="U659" s="334"/>
      <c r="W659" s="306"/>
      <c r="X659" s="306"/>
      <c r="Y659" s="304"/>
    </row>
    <row r="660" spans="18:25" x14ac:dyDescent="0.25">
      <c r="R660" s="333"/>
      <c r="T660" s="331"/>
      <c r="U660" s="334"/>
      <c r="W660" s="306"/>
      <c r="X660" s="306"/>
      <c r="Y660" s="304"/>
    </row>
    <row r="661" spans="18:25" x14ac:dyDescent="0.25">
      <c r="R661" s="333"/>
      <c r="T661" s="331"/>
      <c r="U661" s="334"/>
      <c r="W661" s="306"/>
      <c r="X661" s="306"/>
      <c r="Y661" s="304"/>
    </row>
    <row r="662" spans="18:25" x14ac:dyDescent="0.25">
      <c r="R662" s="333"/>
      <c r="T662" s="331"/>
      <c r="U662" s="334"/>
      <c r="W662" s="306"/>
      <c r="X662" s="306"/>
      <c r="Y662" s="304"/>
    </row>
    <row r="663" spans="18:25" x14ac:dyDescent="0.25">
      <c r="R663" s="333"/>
      <c r="T663" s="331"/>
      <c r="U663" s="334"/>
      <c r="W663" s="306"/>
      <c r="X663" s="306"/>
      <c r="Y663" s="304"/>
    </row>
    <row r="664" spans="18:25" x14ac:dyDescent="0.25">
      <c r="R664" s="333"/>
      <c r="T664" s="331"/>
      <c r="U664" s="334"/>
      <c r="W664" s="306"/>
      <c r="X664" s="306"/>
      <c r="Y664" s="304"/>
    </row>
    <row r="665" spans="18:25" x14ac:dyDescent="0.25">
      <c r="R665" s="333"/>
      <c r="T665" s="331"/>
      <c r="U665" s="334"/>
      <c r="W665" s="306"/>
      <c r="X665" s="306"/>
      <c r="Y665" s="304"/>
    </row>
    <row r="666" spans="18:25" x14ac:dyDescent="0.25">
      <c r="R666" s="333"/>
      <c r="T666" s="331"/>
      <c r="U666" s="334"/>
      <c r="W666" s="306"/>
      <c r="X666" s="306"/>
      <c r="Y666" s="304"/>
    </row>
    <row r="667" spans="18:25" x14ac:dyDescent="0.25">
      <c r="R667" s="333"/>
      <c r="T667" s="331"/>
      <c r="U667" s="334"/>
      <c r="W667" s="306"/>
      <c r="X667" s="306"/>
      <c r="Y667" s="304"/>
    </row>
    <row r="668" spans="18:25" x14ac:dyDescent="0.25">
      <c r="R668" s="333"/>
      <c r="T668" s="331"/>
      <c r="U668" s="334"/>
      <c r="W668" s="306"/>
      <c r="X668" s="306"/>
      <c r="Y668" s="304"/>
    </row>
    <row r="669" spans="18:25" x14ac:dyDescent="0.25">
      <c r="R669" s="333"/>
      <c r="T669" s="331"/>
      <c r="U669" s="334"/>
      <c r="W669" s="306"/>
      <c r="X669" s="306"/>
      <c r="Y669" s="304"/>
    </row>
    <row r="670" spans="18:25" x14ac:dyDescent="0.25">
      <c r="R670" s="333"/>
      <c r="T670" s="331"/>
      <c r="U670" s="334"/>
      <c r="W670" s="306"/>
      <c r="X670" s="306"/>
      <c r="Y670" s="304"/>
    </row>
    <row r="671" spans="18:25" x14ac:dyDescent="0.25">
      <c r="R671" s="333"/>
      <c r="T671" s="331"/>
      <c r="U671" s="334"/>
      <c r="W671" s="306"/>
      <c r="X671" s="306"/>
      <c r="Y671" s="304"/>
    </row>
    <row r="672" spans="18:25" x14ac:dyDescent="0.25">
      <c r="R672" s="333"/>
      <c r="T672" s="331"/>
      <c r="U672" s="334"/>
      <c r="W672" s="306"/>
      <c r="X672" s="306"/>
      <c r="Y672" s="304"/>
    </row>
    <row r="673" spans="18:25" x14ac:dyDescent="0.25">
      <c r="R673" s="333"/>
      <c r="T673" s="331"/>
      <c r="U673" s="334"/>
      <c r="W673" s="306"/>
      <c r="X673" s="306"/>
      <c r="Y673" s="304"/>
    </row>
    <row r="674" spans="18:25" x14ac:dyDescent="0.25">
      <c r="R674" s="333"/>
      <c r="T674" s="331"/>
      <c r="U674" s="334"/>
      <c r="W674" s="306"/>
      <c r="X674" s="306"/>
      <c r="Y674" s="304"/>
    </row>
    <row r="675" spans="18:25" x14ac:dyDescent="0.25">
      <c r="R675" s="333"/>
      <c r="T675" s="331"/>
      <c r="U675" s="334"/>
      <c r="W675" s="306"/>
      <c r="X675" s="306"/>
      <c r="Y675" s="304"/>
    </row>
    <row r="676" spans="18:25" x14ac:dyDescent="0.25">
      <c r="R676" s="333"/>
      <c r="T676" s="331"/>
      <c r="U676" s="334"/>
      <c r="W676" s="306"/>
      <c r="X676" s="306"/>
      <c r="Y676" s="304"/>
    </row>
    <row r="677" spans="18:25" x14ac:dyDescent="0.25">
      <c r="R677" s="333"/>
      <c r="T677" s="331"/>
      <c r="U677" s="334"/>
      <c r="W677" s="306"/>
      <c r="X677" s="306"/>
      <c r="Y677" s="304"/>
    </row>
    <row r="678" spans="18:25" x14ac:dyDescent="0.25">
      <c r="R678" s="333"/>
      <c r="T678" s="331"/>
      <c r="U678" s="334"/>
      <c r="W678" s="306"/>
      <c r="X678" s="306"/>
      <c r="Y678" s="304"/>
    </row>
    <row r="679" spans="18:25" x14ac:dyDescent="0.25">
      <c r="R679" s="333"/>
      <c r="T679" s="331"/>
      <c r="U679" s="334"/>
      <c r="W679" s="306"/>
      <c r="X679" s="306"/>
      <c r="Y679" s="304"/>
    </row>
    <row r="680" spans="18:25" x14ac:dyDescent="0.25">
      <c r="R680" s="333"/>
      <c r="T680" s="331"/>
      <c r="U680" s="334"/>
      <c r="W680" s="306"/>
      <c r="X680" s="306"/>
      <c r="Y680" s="304"/>
    </row>
    <row r="681" spans="18:25" x14ac:dyDescent="0.25">
      <c r="R681" s="333"/>
      <c r="T681" s="331"/>
      <c r="U681" s="334"/>
      <c r="W681" s="306"/>
      <c r="X681" s="306"/>
      <c r="Y681" s="304"/>
    </row>
    <row r="682" spans="18:25" x14ac:dyDescent="0.25">
      <c r="R682" s="333"/>
      <c r="T682" s="331"/>
      <c r="U682" s="334"/>
      <c r="W682" s="306"/>
      <c r="X682" s="306"/>
      <c r="Y682" s="304"/>
    </row>
    <row r="683" spans="18:25" x14ac:dyDescent="0.25">
      <c r="R683" s="333"/>
      <c r="T683" s="331"/>
      <c r="U683" s="334"/>
      <c r="W683" s="306"/>
      <c r="X683" s="306"/>
      <c r="Y683" s="304"/>
    </row>
    <row r="684" spans="18:25" x14ac:dyDescent="0.25">
      <c r="R684" s="333"/>
      <c r="T684" s="331"/>
      <c r="U684" s="334"/>
      <c r="W684" s="306"/>
      <c r="X684" s="306"/>
      <c r="Y684" s="304"/>
    </row>
    <row r="685" spans="18:25" x14ac:dyDescent="0.25">
      <c r="R685" s="333"/>
      <c r="T685" s="331"/>
      <c r="U685" s="334"/>
      <c r="W685" s="306"/>
      <c r="X685" s="306"/>
      <c r="Y685" s="304"/>
    </row>
    <row r="686" spans="18:25" x14ac:dyDescent="0.25">
      <c r="R686" s="333"/>
      <c r="T686" s="331"/>
      <c r="U686" s="334"/>
      <c r="W686" s="306"/>
      <c r="X686" s="306"/>
      <c r="Y686" s="304"/>
    </row>
    <row r="687" spans="18:25" x14ac:dyDescent="0.25">
      <c r="R687" s="333"/>
      <c r="T687" s="331"/>
      <c r="U687" s="334"/>
      <c r="W687" s="306"/>
      <c r="X687" s="306"/>
      <c r="Y687" s="304"/>
    </row>
    <row r="688" spans="18:25" x14ac:dyDescent="0.25">
      <c r="R688" s="333"/>
      <c r="T688" s="331"/>
      <c r="U688" s="334"/>
      <c r="W688" s="306"/>
      <c r="X688" s="306"/>
      <c r="Y688" s="304"/>
    </row>
    <row r="689" spans="18:25" x14ac:dyDescent="0.25">
      <c r="R689" s="333"/>
      <c r="T689" s="331"/>
      <c r="U689" s="334"/>
      <c r="W689" s="306"/>
      <c r="X689" s="306"/>
      <c r="Y689" s="304"/>
    </row>
    <row r="690" spans="18:25" x14ac:dyDescent="0.25">
      <c r="R690" s="333"/>
      <c r="T690" s="331"/>
      <c r="U690" s="334"/>
      <c r="W690" s="306"/>
      <c r="X690" s="306"/>
      <c r="Y690" s="304"/>
    </row>
    <row r="691" spans="18:25" x14ac:dyDescent="0.25">
      <c r="R691" s="333"/>
      <c r="T691" s="331"/>
      <c r="U691" s="334"/>
      <c r="W691" s="306"/>
      <c r="X691" s="306"/>
      <c r="Y691" s="304"/>
    </row>
    <row r="692" spans="18:25" x14ac:dyDescent="0.25">
      <c r="R692" s="333"/>
      <c r="T692" s="331"/>
      <c r="U692" s="334"/>
      <c r="W692" s="306"/>
      <c r="X692" s="306"/>
      <c r="Y692" s="304"/>
    </row>
    <row r="693" spans="18:25" x14ac:dyDescent="0.25">
      <c r="R693" s="333"/>
      <c r="T693" s="331"/>
      <c r="U693" s="334"/>
      <c r="W693" s="306"/>
      <c r="X693" s="306"/>
      <c r="Y693" s="304"/>
    </row>
    <row r="694" spans="18:25" x14ac:dyDescent="0.25">
      <c r="R694" s="333"/>
      <c r="T694" s="331"/>
      <c r="U694" s="334"/>
      <c r="W694" s="306"/>
      <c r="X694" s="306"/>
      <c r="Y694" s="304"/>
    </row>
    <row r="695" spans="18:25" x14ac:dyDescent="0.25">
      <c r="R695" s="333"/>
      <c r="T695" s="331"/>
      <c r="U695" s="334"/>
      <c r="W695" s="306"/>
      <c r="X695" s="306"/>
      <c r="Y695" s="304"/>
    </row>
    <row r="696" spans="18:25" x14ac:dyDescent="0.25">
      <c r="R696" s="333"/>
      <c r="T696" s="331"/>
      <c r="U696" s="334"/>
      <c r="W696" s="306"/>
      <c r="X696" s="306"/>
      <c r="Y696" s="304"/>
    </row>
    <row r="697" spans="18:25" x14ac:dyDescent="0.25">
      <c r="R697" s="333"/>
      <c r="T697" s="331"/>
      <c r="U697" s="334"/>
      <c r="W697" s="306"/>
      <c r="X697" s="306"/>
      <c r="Y697" s="304"/>
    </row>
    <row r="698" spans="18:25" x14ac:dyDescent="0.25">
      <c r="R698" s="333"/>
      <c r="T698" s="331"/>
      <c r="U698" s="334"/>
      <c r="W698" s="306"/>
      <c r="X698" s="306"/>
      <c r="Y698" s="304"/>
    </row>
    <row r="699" spans="18:25" x14ac:dyDescent="0.25">
      <c r="R699" s="333"/>
      <c r="T699" s="331"/>
      <c r="U699" s="334"/>
      <c r="W699" s="306"/>
      <c r="X699" s="306"/>
      <c r="Y699" s="304"/>
    </row>
    <row r="700" spans="18:25" x14ac:dyDescent="0.25">
      <c r="R700" s="333"/>
      <c r="T700" s="331"/>
      <c r="U700" s="334"/>
      <c r="W700" s="306"/>
      <c r="X700" s="306"/>
      <c r="Y700" s="304"/>
    </row>
    <row r="701" spans="18:25" x14ac:dyDescent="0.25">
      <c r="R701" s="333"/>
      <c r="T701" s="331"/>
      <c r="U701" s="334"/>
      <c r="W701" s="306"/>
      <c r="X701" s="306"/>
      <c r="Y701" s="304"/>
    </row>
    <row r="702" spans="18:25" x14ac:dyDescent="0.25">
      <c r="R702" s="333"/>
      <c r="T702" s="331"/>
      <c r="U702" s="334"/>
      <c r="W702" s="306"/>
      <c r="X702" s="306"/>
      <c r="Y702" s="304"/>
    </row>
    <row r="703" spans="18:25" x14ac:dyDescent="0.25">
      <c r="R703" s="333"/>
      <c r="T703" s="331"/>
      <c r="U703" s="334"/>
      <c r="W703" s="306"/>
      <c r="X703" s="306"/>
      <c r="Y703" s="304"/>
    </row>
    <row r="704" spans="18:25" x14ac:dyDescent="0.25">
      <c r="R704" s="333"/>
      <c r="T704" s="331"/>
      <c r="U704" s="334"/>
      <c r="W704" s="306"/>
      <c r="X704" s="306"/>
      <c r="Y704" s="304"/>
    </row>
    <row r="705" spans="18:25" x14ac:dyDescent="0.25">
      <c r="R705" s="333"/>
      <c r="T705" s="331"/>
      <c r="U705" s="334"/>
      <c r="W705" s="306"/>
      <c r="X705" s="306"/>
      <c r="Y705" s="304"/>
    </row>
    <row r="706" spans="18:25" x14ac:dyDescent="0.25">
      <c r="R706" s="333"/>
      <c r="T706" s="331"/>
      <c r="U706" s="334"/>
      <c r="W706" s="306"/>
      <c r="X706" s="306"/>
      <c r="Y706" s="304"/>
    </row>
    <row r="707" spans="18:25" x14ac:dyDescent="0.25">
      <c r="R707" s="333"/>
      <c r="T707" s="331"/>
      <c r="U707" s="334"/>
      <c r="W707" s="306"/>
      <c r="X707" s="306"/>
      <c r="Y707" s="304"/>
    </row>
    <row r="708" spans="18:25" x14ac:dyDescent="0.25">
      <c r="R708" s="333"/>
      <c r="T708" s="331"/>
      <c r="U708" s="334"/>
      <c r="W708" s="306"/>
      <c r="X708" s="306"/>
      <c r="Y708" s="304"/>
    </row>
    <row r="709" spans="18:25" x14ac:dyDescent="0.25">
      <c r="R709" s="333"/>
      <c r="T709" s="331"/>
      <c r="U709" s="334"/>
      <c r="W709" s="306"/>
      <c r="X709" s="306"/>
      <c r="Y709" s="304"/>
    </row>
    <row r="710" spans="18:25" x14ac:dyDescent="0.25">
      <c r="R710" s="333"/>
      <c r="T710" s="331"/>
      <c r="U710" s="334"/>
      <c r="W710" s="306"/>
      <c r="X710" s="306"/>
      <c r="Y710" s="304"/>
    </row>
    <row r="711" spans="18:25" x14ac:dyDescent="0.25">
      <c r="R711" s="333"/>
      <c r="T711" s="331"/>
      <c r="U711" s="334"/>
      <c r="W711" s="306"/>
      <c r="X711" s="306"/>
      <c r="Y711" s="304"/>
    </row>
    <row r="712" spans="18:25" x14ac:dyDescent="0.25">
      <c r="R712" s="333"/>
      <c r="T712" s="331"/>
      <c r="U712" s="334"/>
      <c r="W712" s="306"/>
      <c r="X712" s="306"/>
      <c r="Y712" s="304"/>
    </row>
    <row r="713" spans="18:25" x14ac:dyDescent="0.25">
      <c r="R713" s="333"/>
      <c r="T713" s="331"/>
      <c r="U713" s="334"/>
      <c r="W713" s="306"/>
      <c r="X713" s="306"/>
      <c r="Y713" s="304"/>
    </row>
    <row r="714" spans="18:25" x14ac:dyDescent="0.25">
      <c r="R714" s="333"/>
      <c r="T714" s="331"/>
      <c r="U714" s="334"/>
      <c r="W714" s="306"/>
      <c r="X714" s="306"/>
      <c r="Y714" s="304"/>
    </row>
    <row r="715" spans="18:25" x14ac:dyDescent="0.25">
      <c r="R715" s="333"/>
      <c r="T715" s="331"/>
      <c r="U715" s="334"/>
      <c r="W715" s="306"/>
      <c r="X715" s="306"/>
      <c r="Y715" s="304"/>
    </row>
    <row r="716" spans="18:25" x14ac:dyDescent="0.25">
      <c r="R716" s="333"/>
      <c r="T716" s="331"/>
      <c r="U716" s="334"/>
      <c r="W716" s="306"/>
      <c r="X716" s="306"/>
      <c r="Y716" s="304"/>
    </row>
    <row r="717" spans="18:25" x14ac:dyDescent="0.25">
      <c r="R717" s="333"/>
      <c r="T717" s="331"/>
      <c r="U717" s="334"/>
      <c r="W717" s="306"/>
      <c r="X717" s="306"/>
      <c r="Y717" s="304"/>
    </row>
    <row r="718" spans="18:25" x14ac:dyDescent="0.25">
      <c r="R718" s="333"/>
      <c r="T718" s="331"/>
      <c r="U718" s="334"/>
      <c r="W718" s="306"/>
      <c r="X718" s="306"/>
      <c r="Y718" s="304"/>
    </row>
    <row r="719" spans="18:25" x14ac:dyDescent="0.25">
      <c r="R719" s="333"/>
      <c r="T719" s="331"/>
      <c r="U719" s="334"/>
      <c r="W719" s="306"/>
      <c r="X719" s="306"/>
      <c r="Y719" s="304"/>
    </row>
    <row r="720" spans="18:25" x14ac:dyDescent="0.25">
      <c r="R720" s="333"/>
      <c r="T720" s="331"/>
      <c r="U720" s="334"/>
      <c r="W720" s="306"/>
      <c r="X720" s="306"/>
      <c r="Y720" s="304"/>
    </row>
    <row r="721" spans="18:25" x14ac:dyDescent="0.25">
      <c r="R721" s="333"/>
      <c r="T721" s="331"/>
      <c r="U721" s="334"/>
      <c r="W721" s="306"/>
      <c r="X721" s="306"/>
      <c r="Y721" s="304"/>
    </row>
    <row r="722" spans="18:25" x14ac:dyDescent="0.25">
      <c r="R722" s="333"/>
      <c r="T722" s="331"/>
      <c r="U722" s="334"/>
      <c r="W722" s="306"/>
      <c r="X722" s="306"/>
      <c r="Y722" s="304"/>
    </row>
    <row r="723" spans="18:25" x14ac:dyDescent="0.25">
      <c r="R723" s="333"/>
      <c r="T723" s="331"/>
      <c r="U723" s="334"/>
      <c r="W723" s="306"/>
      <c r="X723" s="306"/>
      <c r="Y723" s="304"/>
    </row>
    <row r="724" spans="18:25" x14ac:dyDescent="0.25">
      <c r="R724" s="333"/>
      <c r="T724" s="331"/>
      <c r="U724" s="334"/>
      <c r="W724" s="306"/>
      <c r="X724" s="306"/>
      <c r="Y724" s="304"/>
    </row>
    <row r="725" spans="18:25" x14ac:dyDescent="0.25">
      <c r="R725" s="333"/>
      <c r="T725" s="331"/>
      <c r="U725" s="334"/>
      <c r="W725" s="306"/>
      <c r="X725" s="306"/>
      <c r="Y725" s="304"/>
    </row>
    <row r="726" spans="18:25" x14ac:dyDescent="0.25">
      <c r="R726" s="333"/>
      <c r="T726" s="331"/>
      <c r="U726" s="334"/>
      <c r="W726" s="306"/>
      <c r="X726" s="306"/>
      <c r="Y726" s="304"/>
    </row>
    <row r="727" spans="18:25" x14ac:dyDescent="0.25">
      <c r="R727" s="333"/>
      <c r="T727" s="331"/>
      <c r="U727" s="334"/>
      <c r="W727" s="306"/>
      <c r="X727" s="306"/>
      <c r="Y727" s="304"/>
    </row>
    <row r="728" spans="18:25" x14ac:dyDescent="0.25">
      <c r="R728" s="333"/>
      <c r="T728" s="331"/>
      <c r="U728" s="334"/>
      <c r="W728" s="306"/>
      <c r="X728" s="306"/>
      <c r="Y728" s="304"/>
    </row>
    <row r="729" spans="18:25" x14ac:dyDescent="0.25">
      <c r="R729" s="333"/>
      <c r="T729" s="331"/>
      <c r="U729" s="334"/>
      <c r="W729" s="306"/>
      <c r="X729" s="306"/>
      <c r="Y729" s="304"/>
    </row>
    <row r="730" spans="18:25" x14ac:dyDescent="0.25">
      <c r="R730" s="333"/>
      <c r="T730" s="331"/>
      <c r="U730" s="334"/>
      <c r="W730" s="306"/>
      <c r="X730" s="306"/>
      <c r="Y730" s="304"/>
    </row>
    <row r="731" spans="18:25" x14ac:dyDescent="0.25">
      <c r="R731" s="333"/>
      <c r="T731" s="331"/>
      <c r="U731" s="334"/>
      <c r="W731" s="306"/>
      <c r="X731" s="306"/>
      <c r="Y731" s="304"/>
    </row>
    <row r="732" spans="18:25" x14ac:dyDescent="0.25">
      <c r="R732" s="333"/>
      <c r="T732" s="331"/>
      <c r="U732" s="334"/>
      <c r="W732" s="306"/>
      <c r="X732" s="306"/>
      <c r="Y732" s="304"/>
    </row>
    <row r="733" spans="18:25" x14ac:dyDescent="0.25">
      <c r="R733" s="333"/>
      <c r="T733" s="331"/>
      <c r="U733" s="334"/>
      <c r="W733" s="306"/>
      <c r="X733" s="306"/>
      <c r="Y733" s="304"/>
    </row>
    <row r="734" spans="18:25" x14ac:dyDescent="0.25">
      <c r="R734" s="333"/>
      <c r="T734" s="331"/>
      <c r="U734" s="334"/>
      <c r="W734" s="306"/>
      <c r="X734" s="306"/>
      <c r="Y734" s="304"/>
    </row>
    <row r="735" spans="18:25" x14ac:dyDescent="0.25">
      <c r="R735" s="333"/>
      <c r="T735" s="331"/>
      <c r="U735" s="334"/>
      <c r="W735" s="306"/>
      <c r="X735" s="306"/>
      <c r="Y735" s="304"/>
    </row>
    <row r="736" spans="18:25" x14ac:dyDescent="0.25">
      <c r="R736" s="333"/>
      <c r="T736" s="331"/>
      <c r="U736" s="334"/>
      <c r="W736" s="306"/>
      <c r="X736" s="306"/>
      <c r="Y736" s="304"/>
    </row>
    <row r="737" spans="18:25" x14ac:dyDescent="0.25">
      <c r="R737" s="333"/>
      <c r="T737" s="331"/>
      <c r="U737" s="334"/>
      <c r="W737" s="306"/>
      <c r="X737" s="306"/>
      <c r="Y737" s="304"/>
    </row>
    <row r="738" spans="18:25" x14ac:dyDescent="0.25">
      <c r="R738" s="333"/>
      <c r="T738" s="331"/>
      <c r="U738" s="334"/>
      <c r="W738" s="306"/>
      <c r="X738" s="306"/>
      <c r="Y738" s="304"/>
    </row>
    <row r="739" spans="18:25" x14ac:dyDescent="0.25">
      <c r="R739" s="333"/>
      <c r="T739" s="331"/>
      <c r="U739" s="334"/>
      <c r="W739" s="306"/>
      <c r="X739" s="306"/>
      <c r="Y739" s="304"/>
    </row>
    <row r="740" spans="18:25" x14ac:dyDescent="0.25">
      <c r="R740" s="333"/>
      <c r="T740" s="331"/>
      <c r="U740" s="334"/>
      <c r="W740" s="306"/>
      <c r="X740" s="306"/>
      <c r="Y740" s="304"/>
    </row>
    <row r="741" spans="18:25" x14ac:dyDescent="0.25">
      <c r="R741" s="333"/>
      <c r="T741" s="331"/>
      <c r="U741" s="334"/>
      <c r="W741" s="306"/>
      <c r="X741" s="306"/>
      <c r="Y741" s="304"/>
    </row>
    <row r="742" spans="18:25" x14ac:dyDescent="0.25">
      <c r="R742" s="333"/>
      <c r="T742" s="331"/>
      <c r="U742" s="334"/>
      <c r="W742" s="306"/>
      <c r="X742" s="306"/>
      <c r="Y742" s="304"/>
    </row>
    <row r="743" spans="18:25" x14ac:dyDescent="0.25">
      <c r="R743" s="333"/>
      <c r="T743" s="331"/>
      <c r="U743" s="334"/>
      <c r="W743" s="306"/>
      <c r="X743" s="306"/>
      <c r="Y743" s="304"/>
    </row>
    <row r="744" spans="18:25" x14ac:dyDescent="0.25">
      <c r="R744" s="333"/>
      <c r="T744" s="331"/>
      <c r="U744" s="334"/>
      <c r="W744" s="306"/>
      <c r="X744" s="306"/>
      <c r="Y744" s="304"/>
    </row>
    <row r="745" spans="18:25" x14ac:dyDescent="0.25">
      <c r="R745" s="333"/>
      <c r="T745" s="331"/>
      <c r="U745" s="334"/>
      <c r="W745" s="306"/>
      <c r="X745" s="306"/>
      <c r="Y745" s="304"/>
    </row>
    <row r="746" spans="18:25" x14ac:dyDescent="0.25">
      <c r="R746" s="333"/>
      <c r="T746" s="331"/>
      <c r="U746" s="334"/>
      <c r="W746" s="306"/>
      <c r="X746" s="306"/>
      <c r="Y746" s="304"/>
    </row>
    <row r="747" spans="18:25" x14ac:dyDescent="0.25">
      <c r="R747" s="333"/>
      <c r="T747" s="331"/>
      <c r="U747" s="334"/>
      <c r="W747" s="306"/>
      <c r="X747" s="306"/>
      <c r="Y747" s="304"/>
    </row>
    <row r="748" spans="18:25" x14ac:dyDescent="0.25">
      <c r="R748" s="333"/>
      <c r="T748" s="331"/>
      <c r="U748" s="334"/>
      <c r="W748" s="306"/>
      <c r="X748" s="306"/>
      <c r="Y748" s="304"/>
    </row>
    <row r="749" spans="18:25" x14ac:dyDescent="0.25">
      <c r="R749" s="333"/>
      <c r="T749" s="331"/>
      <c r="U749" s="334"/>
      <c r="W749" s="306"/>
      <c r="X749" s="306"/>
      <c r="Y749" s="304"/>
    </row>
    <row r="750" spans="18:25" x14ac:dyDescent="0.25">
      <c r="R750" s="333"/>
      <c r="T750" s="331"/>
      <c r="U750" s="334"/>
      <c r="W750" s="306"/>
      <c r="X750" s="306"/>
      <c r="Y750" s="304"/>
    </row>
    <row r="751" spans="18:25" x14ac:dyDescent="0.25">
      <c r="R751" s="333"/>
      <c r="T751" s="331"/>
      <c r="U751" s="334"/>
      <c r="W751" s="306"/>
      <c r="X751" s="306"/>
      <c r="Y751" s="304"/>
    </row>
    <row r="752" spans="18:25" x14ac:dyDescent="0.25">
      <c r="R752" s="333"/>
      <c r="T752" s="331"/>
      <c r="U752" s="334"/>
      <c r="W752" s="306"/>
      <c r="X752" s="306"/>
      <c r="Y752" s="304"/>
    </row>
    <row r="753" spans="18:25" x14ac:dyDescent="0.25">
      <c r="R753" s="333"/>
      <c r="T753" s="331"/>
      <c r="U753" s="334"/>
      <c r="W753" s="306"/>
      <c r="X753" s="306"/>
      <c r="Y753" s="304"/>
    </row>
    <row r="754" spans="18:25" x14ac:dyDescent="0.25">
      <c r="R754" s="333"/>
      <c r="T754" s="331"/>
      <c r="U754" s="334"/>
      <c r="W754" s="306"/>
      <c r="X754" s="306"/>
      <c r="Y754" s="304"/>
    </row>
    <row r="755" spans="18:25" x14ac:dyDescent="0.25">
      <c r="R755" s="333"/>
      <c r="T755" s="331"/>
      <c r="U755" s="334"/>
      <c r="W755" s="306"/>
      <c r="X755" s="306"/>
      <c r="Y755" s="304"/>
    </row>
    <row r="756" spans="18:25" x14ac:dyDescent="0.25">
      <c r="R756" s="333"/>
      <c r="T756" s="331"/>
      <c r="U756" s="334"/>
      <c r="W756" s="306"/>
      <c r="X756" s="306"/>
      <c r="Y756" s="304"/>
    </row>
    <row r="757" spans="18:25" x14ac:dyDescent="0.25">
      <c r="R757" s="333"/>
      <c r="T757" s="331"/>
      <c r="U757" s="334"/>
      <c r="W757" s="306"/>
      <c r="X757" s="306"/>
      <c r="Y757" s="304"/>
    </row>
    <row r="758" spans="18:25" x14ac:dyDescent="0.25">
      <c r="R758" s="333"/>
      <c r="T758" s="331"/>
      <c r="U758" s="334"/>
      <c r="W758" s="306"/>
      <c r="X758" s="306"/>
      <c r="Y758" s="304"/>
    </row>
    <row r="759" spans="18:25" x14ac:dyDescent="0.25">
      <c r="R759" s="333"/>
      <c r="T759" s="331"/>
      <c r="U759" s="334"/>
      <c r="W759" s="306"/>
      <c r="X759" s="306"/>
      <c r="Y759" s="304"/>
    </row>
    <row r="760" spans="18:25" x14ac:dyDescent="0.25">
      <c r="R760" s="333"/>
      <c r="T760" s="331"/>
      <c r="U760" s="334"/>
      <c r="W760" s="306"/>
      <c r="X760" s="306"/>
      <c r="Y760" s="304"/>
    </row>
    <row r="761" spans="18:25" x14ac:dyDescent="0.25">
      <c r="R761" s="333"/>
      <c r="T761" s="331"/>
      <c r="U761" s="334"/>
      <c r="W761" s="306"/>
      <c r="X761" s="306"/>
      <c r="Y761" s="304"/>
    </row>
    <row r="762" spans="18:25" x14ac:dyDescent="0.25">
      <c r="R762" s="333"/>
      <c r="T762" s="331"/>
      <c r="U762" s="334"/>
      <c r="W762" s="306"/>
      <c r="X762" s="306"/>
      <c r="Y762" s="304"/>
    </row>
    <row r="763" spans="18:25" x14ac:dyDescent="0.25">
      <c r="R763" s="333"/>
      <c r="T763" s="331"/>
      <c r="U763" s="334"/>
      <c r="W763" s="306"/>
      <c r="X763" s="306"/>
      <c r="Y763" s="304"/>
    </row>
    <row r="764" spans="18:25" x14ac:dyDescent="0.25">
      <c r="R764" s="333"/>
      <c r="T764" s="331"/>
      <c r="U764" s="334"/>
      <c r="W764" s="306"/>
      <c r="X764" s="306"/>
      <c r="Y764" s="304"/>
    </row>
    <row r="765" spans="18:25" x14ac:dyDescent="0.25">
      <c r="R765" s="333"/>
      <c r="T765" s="331"/>
      <c r="U765" s="334"/>
      <c r="W765" s="306"/>
      <c r="X765" s="306"/>
      <c r="Y765" s="304"/>
    </row>
    <row r="766" spans="18:25" x14ac:dyDescent="0.25">
      <c r="R766" s="333"/>
      <c r="T766" s="331"/>
      <c r="U766" s="334"/>
      <c r="W766" s="306"/>
      <c r="X766" s="306"/>
      <c r="Y766" s="304"/>
    </row>
    <row r="767" spans="18:25" x14ac:dyDescent="0.25">
      <c r="R767" s="333"/>
      <c r="T767" s="331"/>
      <c r="U767" s="334"/>
      <c r="W767" s="306"/>
      <c r="X767" s="306"/>
      <c r="Y767" s="304"/>
    </row>
    <row r="768" spans="18:25" x14ac:dyDescent="0.25">
      <c r="R768" s="333"/>
      <c r="T768" s="331"/>
      <c r="U768" s="334"/>
      <c r="W768" s="306"/>
      <c r="X768" s="306"/>
      <c r="Y768" s="304"/>
    </row>
    <row r="769" spans="18:25" x14ac:dyDescent="0.25">
      <c r="R769" s="333"/>
      <c r="T769" s="331"/>
      <c r="U769" s="334"/>
      <c r="W769" s="306"/>
      <c r="X769" s="306"/>
      <c r="Y769" s="304"/>
    </row>
    <row r="770" spans="18:25" x14ac:dyDescent="0.25">
      <c r="R770" s="333"/>
      <c r="T770" s="331"/>
      <c r="U770" s="334"/>
      <c r="W770" s="306"/>
      <c r="X770" s="306"/>
      <c r="Y770" s="304"/>
    </row>
    <row r="771" spans="18:25" x14ac:dyDescent="0.25">
      <c r="R771" s="333"/>
      <c r="T771" s="331"/>
      <c r="U771" s="334"/>
      <c r="W771" s="306"/>
      <c r="X771" s="306"/>
      <c r="Y771" s="304"/>
    </row>
    <row r="772" spans="18:25" x14ac:dyDescent="0.25">
      <c r="R772" s="333"/>
      <c r="T772" s="331"/>
      <c r="U772" s="334"/>
      <c r="W772" s="306"/>
      <c r="X772" s="306"/>
      <c r="Y772" s="304"/>
    </row>
    <row r="773" spans="18:25" x14ac:dyDescent="0.25">
      <c r="R773" s="333"/>
      <c r="T773" s="331"/>
      <c r="U773" s="334"/>
      <c r="W773" s="306"/>
      <c r="X773" s="306"/>
      <c r="Y773" s="304"/>
    </row>
    <row r="774" spans="18:25" x14ac:dyDescent="0.25">
      <c r="R774" s="333"/>
      <c r="T774" s="331"/>
      <c r="U774" s="334"/>
      <c r="W774" s="306"/>
      <c r="X774" s="306"/>
      <c r="Y774" s="304"/>
    </row>
    <row r="775" spans="18:25" x14ac:dyDescent="0.25">
      <c r="R775" s="333"/>
      <c r="T775" s="331"/>
      <c r="U775" s="334"/>
      <c r="W775" s="306"/>
      <c r="X775" s="306"/>
      <c r="Y775" s="304"/>
    </row>
    <row r="776" spans="18:25" x14ac:dyDescent="0.25">
      <c r="R776" s="333"/>
      <c r="T776" s="331"/>
      <c r="U776" s="334"/>
      <c r="W776" s="306"/>
      <c r="X776" s="306"/>
      <c r="Y776" s="304"/>
    </row>
    <row r="777" spans="18:25" x14ac:dyDescent="0.25">
      <c r="R777" s="333"/>
      <c r="T777" s="331"/>
      <c r="U777" s="334"/>
      <c r="W777" s="306"/>
      <c r="X777" s="306"/>
      <c r="Y777" s="304"/>
    </row>
    <row r="778" spans="18:25" x14ac:dyDescent="0.25">
      <c r="R778" s="333"/>
      <c r="T778" s="331"/>
      <c r="U778" s="334"/>
      <c r="W778" s="306"/>
      <c r="X778" s="306"/>
      <c r="Y778" s="304"/>
    </row>
    <row r="779" spans="18:25" x14ac:dyDescent="0.25">
      <c r="R779" s="333"/>
      <c r="T779" s="331"/>
      <c r="U779" s="334"/>
      <c r="W779" s="306"/>
      <c r="X779" s="306"/>
      <c r="Y779" s="304"/>
    </row>
    <row r="780" spans="18:25" x14ac:dyDescent="0.25">
      <c r="R780" s="333"/>
      <c r="T780" s="331"/>
      <c r="U780" s="334"/>
      <c r="W780" s="306"/>
      <c r="X780" s="306"/>
      <c r="Y780" s="304"/>
    </row>
    <row r="781" spans="18:25" x14ac:dyDescent="0.25">
      <c r="R781" s="333"/>
      <c r="T781" s="331"/>
      <c r="U781" s="334"/>
      <c r="W781" s="306"/>
      <c r="X781" s="306"/>
      <c r="Y781" s="304"/>
    </row>
    <row r="782" spans="18:25" x14ac:dyDescent="0.25">
      <c r="R782" s="333"/>
      <c r="T782" s="331"/>
      <c r="U782" s="334"/>
      <c r="W782" s="306"/>
      <c r="X782" s="306"/>
      <c r="Y782" s="304"/>
    </row>
    <row r="783" spans="18:25" x14ac:dyDescent="0.25">
      <c r="R783" s="333"/>
      <c r="T783" s="331"/>
      <c r="U783" s="334"/>
      <c r="W783" s="306"/>
      <c r="X783" s="306"/>
      <c r="Y783" s="304"/>
    </row>
    <row r="784" spans="18:25" x14ac:dyDescent="0.25">
      <c r="R784" s="333"/>
      <c r="T784" s="331"/>
      <c r="U784" s="334"/>
      <c r="W784" s="306"/>
      <c r="X784" s="306"/>
      <c r="Y784" s="304"/>
    </row>
    <row r="785" spans="18:25" x14ac:dyDescent="0.25">
      <c r="R785" s="333"/>
      <c r="T785" s="331"/>
      <c r="U785" s="334"/>
      <c r="W785" s="306"/>
      <c r="X785" s="306"/>
      <c r="Y785" s="304"/>
    </row>
    <row r="786" spans="18:25" x14ac:dyDescent="0.25">
      <c r="R786" s="333"/>
      <c r="T786" s="331"/>
      <c r="U786" s="334"/>
      <c r="W786" s="306"/>
      <c r="X786" s="306"/>
      <c r="Y786" s="304"/>
    </row>
    <row r="787" spans="18:25" x14ac:dyDescent="0.25">
      <c r="R787" s="333"/>
      <c r="T787" s="331"/>
      <c r="U787" s="334"/>
      <c r="W787" s="306"/>
      <c r="X787" s="306"/>
      <c r="Y787" s="304"/>
    </row>
    <row r="788" spans="18:25" x14ac:dyDescent="0.25">
      <c r="R788" s="333"/>
      <c r="T788" s="331"/>
      <c r="U788" s="334"/>
      <c r="W788" s="306"/>
      <c r="X788" s="306"/>
      <c r="Y788" s="304"/>
    </row>
    <row r="789" spans="18:25" x14ac:dyDescent="0.25">
      <c r="R789" s="333"/>
      <c r="T789" s="331"/>
      <c r="U789" s="334"/>
      <c r="W789" s="306"/>
      <c r="X789" s="306"/>
      <c r="Y789" s="304"/>
    </row>
    <row r="790" spans="18:25" x14ac:dyDescent="0.25">
      <c r="R790" s="333"/>
      <c r="T790" s="331"/>
      <c r="U790" s="334"/>
      <c r="W790" s="306"/>
      <c r="X790" s="306"/>
      <c r="Y790" s="304"/>
    </row>
    <row r="791" spans="18:25" x14ac:dyDescent="0.25">
      <c r="R791" s="333"/>
      <c r="T791" s="331"/>
      <c r="U791" s="334"/>
      <c r="W791" s="306"/>
      <c r="X791" s="306"/>
      <c r="Y791" s="304"/>
    </row>
    <row r="792" spans="18:25" x14ac:dyDescent="0.25">
      <c r="R792" s="333"/>
      <c r="T792" s="331"/>
      <c r="U792" s="334"/>
      <c r="W792" s="306"/>
      <c r="X792" s="306"/>
      <c r="Y792" s="304"/>
    </row>
    <row r="793" spans="18:25" x14ac:dyDescent="0.25">
      <c r="R793" s="333"/>
      <c r="T793" s="331"/>
      <c r="U793" s="334"/>
      <c r="W793" s="306"/>
      <c r="X793" s="306"/>
      <c r="Y793" s="304"/>
    </row>
    <row r="794" spans="18:25" x14ac:dyDescent="0.25">
      <c r="R794" s="333"/>
      <c r="T794" s="331"/>
      <c r="U794" s="334"/>
      <c r="W794" s="306"/>
      <c r="X794" s="306"/>
      <c r="Y794" s="304"/>
    </row>
    <row r="795" spans="18:25" x14ac:dyDescent="0.25">
      <c r="R795" s="333"/>
      <c r="T795" s="331"/>
      <c r="U795" s="334"/>
      <c r="W795" s="306"/>
      <c r="X795" s="306"/>
      <c r="Y795" s="304"/>
    </row>
    <row r="796" spans="18:25" x14ac:dyDescent="0.25">
      <c r="R796" s="333"/>
      <c r="T796" s="331"/>
      <c r="U796" s="334"/>
      <c r="W796" s="306"/>
      <c r="X796" s="306"/>
      <c r="Y796" s="304"/>
    </row>
    <row r="797" spans="18:25" x14ac:dyDescent="0.25">
      <c r="R797" s="333"/>
      <c r="T797" s="331"/>
      <c r="U797" s="334"/>
      <c r="W797" s="306"/>
      <c r="X797" s="306"/>
      <c r="Y797" s="304"/>
    </row>
    <row r="798" spans="18:25" x14ac:dyDescent="0.25">
      <c r="R798" s="333"/>
      <c r="T798" s="331"/>
      <c r="U798" s="334"/>
      <c r="W798" s="306"/>
      <c r="X798" s="306"/>
      <c r="Y798" s="304"/>
    </row>
    <row r="799" spans="18:25" x14ac:dyDescent="0.25">
      <c r="R799" s="333"/>
      <c r="T799" s="331"/>
      <c r="U799" s="334"/>
      <c r="W799" s="306"/>
      <c r="X799" s="306"/>
      <c r="Y799" s="304"/>
    </row>
    <row r="800" spans="18:25" x14ac:dyDescent="0.25">
      <c r="R800" s="333"/>
      <c r="T800" s="331"/>
      <c r="U800" s="334"/>
      <c r="W800" s="306"/>
      <c r="X800" s="306"/>
      <c r="Y800" s="304"/>
    </row>
    <row r="801" spans="18:25" x14ac:dyDescent="0.25">
      <c r="R801" s="333"/>
      <c r="T801" s="331"/>
      <c r="U801" s="334"/>
      <c r="W801" s="306"/>
      <c r="X801" s="306"/>
      <c r="Y801" s="304"/>
    </row>
    <row r="802" spans="18:25" x14ac:dyDescent="0.25">
      <c r="R802" s="333"/>
      <c r="T802" s="331"/>
      <c r="U802" s="334"/>
      <c r="W802" s="306"/>
      <c r="X802" s="306"/>
      <c r="Y802" s="304"/>
    </row>
    <row r="803" spans="18:25" x14ac:dyDescent="0.25">
      <c r="R803" s="333"/>
      <c r="T803" s="331"/>
      <c r="U803" s="334"/>
      <c r="W803" s="306"/>
      <c r="X803" s="306"/>
      <c r="Y803" s="304"/>
    </row>
    <row r="804" spans="18:25" x14ac:dyDescent="0.25">
      <c r="R804" s="333"/>
      <c r="T804" s="331"/>
      <c r="U804" s="334"/>
      <c r="W804" s="306"/>
      <c r="X804" s="306"/>
      <c r="Y804" s="304"/>
    </row>
    <row r="805" spans="18:25" x14ac:dyDescent="0.25">
      <c r="R805" s="333"/>
      <c r="T805" s="331"/>
      <c r="U805" s="334"/>
      <c r="W805" s="306"/>
      <c r="X805" s="306"/>
      <c r="Y805" s="304"/>
    </row>
    <row r="806" spans="18:25" x14ac:dyDescent="0.25">
      <c r="R806" s="333"/>
      <c r="T806" s="331"/>
      <c r="U806" s="334"/>
      <c r="W806" s="306"/>
      <c r="X806" s="306"/>
      <c r="Y806" s="304"/>
    </row>
    <row r="807" spans="18:25" x14ac:dyDescent="0.25">
      <c r="R807" s="333"/>
      <c r="T807" s="331"/>
      <c r="U807" s="334"/>
      <c r="W807" s="306"/>
      <c r="X807" s="306"/>
      <c r="Y807" s="304"/>
    </row>
    <row r="808" spans="18:25" x14ac:dyDescent="0.25">
      <c r="R808" s="333"/>
      <c r="T808" s="331"/>
      <c r="U808" s="334"/>
      <c r="W808" s="306"/>
      <c r="X808" s="306"/>
      <c r="Y808" s="304"/>
    </row>
    <row r="809" spans="18:25" x14ac:dyDescent="0.25">
      <c r="R809" s="333"/>
      <c r="T809" s="331"/>
      <c r="U809" s="334"/>
      <c r="W809" s="306"/>
      <c r="X809" s="306"/>
      <c r="Y809" s="304"/>
    </row>
    <row r="810" spans="18:25" x14ac:dyDescent="0.25">
      <c r="R810" s="333"/>
      <c r="T810" s="331"/>
      <c r="U810" s="334"/>
      <c r="W810" s="306"/>
      <c r="X810" s="306"/>
      <c r="Y810" s="304"/>
    </row>
    <row r="811" spans="18:25" x14ac:dyDescent="0.25">
      <c r="R811" s="333"/>
      <c r="T811" s="331"/>
      <c r="U811" s="334"/>
      <c r="W811" s="306"/>
      <c r="X811" s="306"/>
      <c r="Y811" s="304"/>
    </row>
    <row r="812" spans="18:25" x14ac:dyDescent="0.25">
      <c r="R812" s="333"/>
      <c r="T812" s="331"/>
      <c r="U812" s="334"/>
      <c r="W812" s="306"/>
      <c r="X812" s="306"/>
      <c r="Y812" s="304"/>
    </row>
    <row r="813" spans="18:25" x14ac:dyDescent="0.25">
      <c r="R813" s="333"/>
      <c r="T813" s="331"/>
      <c r="U813" s="334"/>
      <c r="W813" s="306"/>
      <c r="X813" s="306"/>
      <c r="Y813" s="304"/>
    </row>
    <row r="814" spans="18:25" x14ac:dyDescent="0.25">
      <c r="R814" s="333"/>
      <c r="T814" s="331"/>
      <c r="U814" s="334"/>
      <c r="W814" s="306"/>
      <c r="X814" s="306"/>
      <c r="Y814" s="304"/>
    </row>
    <row r="815" spans="18:25" x14ac:dyDescent="0.25">
      <c r="R815" s="333"/>
      <c r="T815" s="331"/>
      <c r="U815" s="334"/>
      <c r="W815" s="306"/>
      <c r="X815" s="306"/>
      <c r="Y815" s="304"/>
    </row>
    <row r="816" spans="18:25" x14ac:dyDescent="0.25">
      <c r="R816" s="333"/>
      <c r="T816" s="331"/>
      <c r="U816" s="334"/>
      <c r="W816" s="306"/>
      <c r="X816" s="306"/>
      <c r="Y816" s="304"/>
    </row>
    <row r="817" spans="18:25" x14ac:dyDescent="0.25">
      <c r="R817" s="333"/>
      <c r="T817" s="331"/>
      <c r="U817" s="334"/>
      <c r="W817" s="306"/>
      <c r="X817" s="306"/>
      <c r="Y817" s="304"/>
    </row>
    <row r="818" spans="18:25" x14ac:dyDescent="0.25">
      <c r="R818" s="333"/>
      <c r="T818" s="331"/>
      <c r="U818" s="334"/>
      <c r="W818" s="306"/>
      <c r="X818" s="306"/>
      <c r="Y818" s="304"/>
    </row>
    <row r="819" spans="18:25" x14ac:dyDescent="0.25">
      <c r="R819" s="333"/>
      <c r="T819" s="331"/>
      <c r="U819" s="334"/>
      <c r="W819" s="306"/>
      <c r="X819" s="306"/>
      <c r="Y819" s="304"/>
    </row>
    <row r="820" spans="18:25" x14ac:dyDescent="0.25">
      <c r="R820" s="333"/>
      <c r="T820" s="331"/>
      <c r="U820" s="334"/>
      <c r="W820" s="306"/>
      <c r="X820" s="306"/>
      <c r="Y820" s="304"/>
    </row>
    <row r="821" spans="18:25" x14ac:dyDescent="0.25">
      <c r="R821" s="333"/>
      <c r="T821" s="331"/>
      <c r="U821" s="334"/>
      <c r="W821" s="306"/>
      <c r="X821" s="306"/>
      <c r="Y821" s="304"/>
    </row>
    <row r="822" spans="18:25" x14ac:dyDescent="0.25">
      <c r="R822" s="333"/>
      <c r="T822" s="331"/>
      <c r="U822" s="334"/>
      <c r="W822" s="306"/>
      <c r="X822" s="306"/>
      <c r="Y822" s="304"/>
    </row>
    <row r="823" spans="18:25" x14ac:dyDescent="0.25">
      <c r="R823" s="333"/>
      <c r="T823" s="331"/>
      <c r="U823" s="334"/>
      <c r="W823" s="306"/>
      <c r="X823" s="306"/>
      <c r="Y823" s="304"/>
    </row>
    <row r="824" spans="18:25" x14ac:dyDescent="0.25">
      <c r="R824" s="333"/>
      <c r="T824" s="331"/>
      <c r="U824" s="334"/>
      <c r="W824" s="306"/>
      <c r="X824" s="306"/>
      <c r="Y824" s="304"/>
    </row>
    <row r="825" spans="18:25" x14ac:dyDescent="0.25">
      <c r="R825" s="333"/>
      <c r="T825" s="331"/>
      <c r="U825" s="334"/>
      <c r="W825" s="306"/>
      <c r="X825" s="306"/>
      <c r="Y825" s="304"/>
    </row>
    <row r="826" spans="18:25" x14ac:dyDescent="0.25">
      <c r="R826" s="333"/>
      <c r="T826" s="331"/>
      <c r="U826" s="334"/>
      <c r="W826" s="306"/>
      <c r="X826" s="306"/>
      <c r="Y826" s="304"/>
    </row>
    <row r="827" spans="18:25" x14ac:dyDescent="0.25">
      <c r="R827" s="333"/>
      <c r="T827" s="331"/>
      <c r="U827" s="334"/>
      <c r="W827" s="306"/>
      <c r="X827" s="306"/>
      <c r="Y827" s="304"/>
    </row>
    <row r="828" spans="18:25" x14ac:dyDescent="0.25">
      <c r="R828" s="333"/>
      <c r="T828" s="331"/>
      <c r="U828" s="334"/>
      <c r="W828" s="306"/>
      <c r="X828" s="306"/>
      <c r="Y828" s="304"/>
    </row>
    <row r="829" spans="18:25" x14ac:dyDescent="0.25">
      <c r="R829" s="333"/>
      <c r="T829" s="331"/>
      <c r="U829" s="334"/>
      <c r="W829" s="306"/>
      <c r="X829" s="306"/>
      <c r="Y829" s="304"/>
    </row>
    <row r="830" spans="18:25" x14ac:dyDescent="0.25">
      <c r="R830" s="333"/>
      <c r="T830" s="331"/>
      <c r="U830" s="334"/>
      <c r="W830" s="306"/>
      <c r="X830" s="306"/>
      <c r="Y830" s="304"/>
    </row>
    <row r="831" spans="18:25" x14ac:dyDescent="0.25">
      <c r="R831" s="333"/>
      <c r="T831" s="331"/>
      <c r="U831" s="334"/>
      <c r="W831" s="306"/>
      <c r="X831" s="306"/>
      <c r="Y831" s="304"/>
    </row>
    <row r="832" spans="18:25" x14ac:dyDescent="0.25">
      <c r="R832" s="333"/>
      <c r="T832" s="331"/>
      <c r="U832" s="334"/>
      <c r="W832" s="306"/>
      <c r="X832" s="306"/>
      <c r="Y832" s="304"/>
    </row>
    <row r="833" spans="18:25" x14ac:dyDescent="0.25">
      <c r="R833" s="333"/>
      <c r="T833" s="331"/>
      <c r="U833" s="334"/>
      <c r="W833" s="306"/>
      <c r="X833" s="306"/>
      <c r="Y833" s="304"/>
    </row>
    <row r="834" spans="18:25" x14ac:dyDescent="0.25">
      <c r="R834" s="333"/>
      <c r="T834" s="331"/>
      <c r="U834" s="334"/>
      <c r="W834" s="306"/>
      <c r="X834" s="306"/>
      <c r="Y834" s="304"/>
    </row>
    <row r="835" spans="18:25" x14ac:dyDescent="0.25">
      <c r="R835" s="333"/>
      <c r="T835" s="331"/>
      <c r="U835" s="334"/>
      <c r="W835" s="306"/>
      <c r="X835" s="306"/>
      <c r="Y835" s="304"/>
    </row>
    <row r="836" spans="18:25" x14ac:dyDescent="0.25">
      <c r="R836" s="333"/>
      <c r="T836" s="331"/>
      <c r="U836" s="334"/>
      <c r="W836" s="306"/>
      <c r="X836" s="306"/>
      <c r="Y836" s="304"/>
    </row>
    <row r="837" spans="18:25" x14ac:dyDescent="0.25">
      <c r="R837" s="333"/>
      <c r="T837" s="331"/>
      <c r="U837" s="334"/>
      <c r="W837" s="306"/>
      <c r="X837" s="306"/>
      <c r="Y837" s="304"/>
    </row>
    <row r="838" spans="18:25" x14ac:dyDescent="0.25">
      <c r="R838" s="333"/>
      <c r="T838" s="331"/>
      <c r="U838" s="334"/>
      <c r="W838" s="306"/>
      <c r="X838" s="306"/>
      <c r="Y838" s="304"/>
    </row>
    <row r="839" spans="18:25" x14ac:dyDescent="0.25">
      <c r="R839" s="333"/>
      <c r="T839" s="331"/>
      <c r="U839" s="334"/>
      <c r="W839" s="306"/>
      <c r="X839" s="306"/>
      <c r="Y839" s="304"/>
    </row>
    <row r="840" spans="18:25" x14ac:dyDescent="0.25">
      <c r="R840" s="333"/>
      <c r="T840" s="331"/>
      <c r="U840" s="334"/>
      <c r="W840" s="306"/>
      <c r="X840" s="306"/>
      <c r="Y840" s="304"/>
    </row>
    <row r="841" spans="18:25" x14ac:dyDescent="0.25">
      <c r="R841" s="333"/>
      <c r="T841" s="331"/>
      <c r="U841" s="334"/>
      <c r="W841" s="306"/>
      <c r="X841" s="306"/>
      <c r="Y841" s="304"/>
    </row>
    <row r="842" spans="18:25" x14ac:dyDescent="0.25">
      <c r="R842" s="333"/>
      <c r="T842" s="331"/>
      <c r="U842" s="334"/>
      <c r="W842" s="306"/>
      <c r="X842" s="306"/>
      <c r="Y842" s="304"/>
    </row>
    <row r="843" spans="18:25" x14ac:dyDescent="0.25">
      <c r="R843" s="333"/>
      <c r="T843" s="331"/>
      <c r="U843" s="334"/>
      <c r="W843" s="306"/>
      <c r="X843" s="306"/>
      <c r="Y843" s="304"/>
    </row>
    <row r="844" spans="18:25" x14ac:dyDescent="0.25">
      <c r="R844" s="333"/>
      <c r="T844" s="331"/>
      <c r="U844" s="334"/>
      <c r="W844" s="306"/>
      <c r="X844" s="306"/>
      <c r="Y844" s="304"/>
    </row>
    <row r="845" spans="18:25" x14ac:dyDescent="0.25">
      <c r="R845" s="333"/>
      <c r="T845" s="331"/>
      <c r="U845" s="334"/>
      <c r="W845" s="306"/>
      <c r="X845" s="306"/>
      <c r="Y845" s="304"/>
    </row>
    <row r="846" spans="18:25" x14ac:dyDescent="0.25">
      <c r="R846" s="333"/>
      <c r="T846" s="331"/>
      <c r="U846" s="334"/>
      <c r="W846" s="306"/>
      <c r="X846" s="306"/>
      <c r="Y846" s="304"/>
    </row>
    <row r="847" spans="18:25" x14ac:dyDescent="0.25">
      <c r="R847" s="333"/>
      <c r="T847" s="331"/>
      <c r="U847" s="334"/>
      <c r="W847" s="306"/>
      <c r="X847" s="306"/>
      <c r="Y847" s="304"/>
    </row>
    <row r="848" spans="18:25" x14ac:dyDescent="0.25">
      <c r="R848" s="333"/>
      <c r="T848" s="331"/>
      <c r="U848" s="334"/>
      <c r="W848" s="306"/>
      <c r="X848" s="306"/>
      <c r="Y848" s="304"/>
    </row>
    <row r="849" spans="18:25" x14ac:dyDescent="0.25">
      <c r="R849" s="333"/>
      <c r="T849" s="331"/>
      <c r="U849" s="334"/>
      <c r="W849" s="306"/>
      <c r="X849" s="306"/>
      <c r="Y849" s="304"/>
    </row>
    <row r="850" spans="18:25" x14ac:dyDescent="0.25">
      <c r="R850" s="333"/>
      <c r="T850" s="331"/>
      <c r="U850" s="334"/>
      <c r="W850" s="306"/>
      <c r="X850" s="306"/>
      <c r="Y850" s="304"/>
    </row>
    <row r="851" spans="18:25" x14ac:dyDescent="0.25">
      <c r="R851" s="333"/>
      <c r="T851" s="331"/>
      <c r="U851" s="334"/>
      <c r="W851" s="306"/>
      <c r="X851" s="306"/>
      <c r="Y851" s="304"/>
    </row>
    <row r="852" spans="18:25" x14ac:dyDescent="0.25">
      <c r="R852" s="333"/>
      <c r="T852" s="331"/>
      <c r="U852" s="334"/>
      <c r="W852" s="306"/>
      <c r="X852" s="306"/>
      <c r="Y852" s="304"/>
    </row>
    <row r="853" spans="18:25" x14ac:dyDescent="0.25">
      <c r="R853" s="333"/>
      <c r="T853" s="331"/>
      <c r="U853" s="334"/>
      <c r="W853" s="306"/>
      <c r="X853" s="306"/>
      <c r="Y853" s="304"/>
    </row>
    <row r="854" spans="18:25" x14ac:dyDescent="0.25">
      <c r="R854" s="333"/>
      <c r="T854" s="331"/>
      <c r="U854" s="334"/>
      <c r="W854" s="306"/>
      <c r="X854" s="306"/>
      <c r="Y854" s="304"/>
    </row>
    <row r="855" spans="18:25" x14ac:dyDescent="0.25">
      <c r="R855" s="333"/>
      <c r="T855" s="331"/>
      <c r="U855" s="334"/>
      <c r="W855" s="306"/>
      <c r="X855" s="306"/>
      <c r="Y855" s="304"/>
    </row>
    <row r="856" spans="18:25" x14ac:dyDescent="0.25">
      <c r="R856" s="333"/>
      <c r="T856" s="331"/>
      <c r="U856" s="334"/>
      <c r="W856" s="306"/>
      <c r="X856" s="306"/>
      <c r="Y856" s="304"/>
    </row>
    <row r="857" spans="18:25" x14ac:dyDescent="0.25">
      <c r="R857" s="333"/>
      <c r="T857" s="331"/>
      <c r="U857" s="334"/>
      <c r="W857" s="306"/>
      <c r="X857" s="306"/>
      <c r="Y857" s="304"/>
    </row>
    <row r="858" spans="18:25" x14ac:dyDescent="0.25">
      <c r="R858" s="333"/>
      <c r="T858" s="331"/>
      <c r="U858" s="334"/>
      <c r="W858" s="306"/>
      <c r="X858" s="306"/>
      <c r="Y858" s="304"/>
    </row>
    <row r="859" spans="18:25" x14ac:dyDescent="0.25">
      <c r="R859" s="333"/>
      <c r="T859" s="331"/>
      <c r="U859" s="334"/>
      <c r="W859" s="306"/>
      <c r="X859" s="306"/>
      <c r="Y859" s="304"/>
    </row>
    <row r="860" spans="18:25" x14ac:dyDescent="0.25">
      <c r="R860" s="333"/>
      <c r="T860" s="331"/>
      <c r="U860" s="334"/>
      <c r="W860" s="306"/>
      <c r="X860" s="306"/>
      <c r="Y860" s="304"/>
    </row>
    <row r="861" spans="18:25" x14ac:dyDescent="0.25">
      <c r="R861" s="333"/>
      <c r="T861" s="331"/>
      <c r="U861" s="334"/>
      <c r="W861" s="306"/>
      <c r="X861" s="306"/>
      <c r="Y861" s="304"/>
    </row>
    <row r="862" spans="18:25" x14ac:dyDescent="0.25">
      <c r="R862" s="333"/>
      <c r="T862" s="331"/>
      <c r="U862" s="334"/>
      <c r="W862" s="306"/>
      <c r="X862" s="306"/>
      <c r="Y862" s="304"/>
    </row>
    <row r="863" spans="18:25" x14ac:dyDescent="0.25">
      <c r="R863" s="333"/>
      <c r="T863" s="331"/>
      <c r="U863" s="334"/>
      <c r="W863" s="306"/>
      <c r="X863" s="306"/>
      <c r="Y863" s="304"/>
    </row>
    <row r="864" spans="18:25" x14ac:dyDescent="0.25">
      <c r="R864" s="333"/>
      <c r="T864" s="331"/>
      <c r="U864" s="334"/>
      <c r="W864" s="306"/>
      <c r="X864" s="306"/>
      <c r="Y864" s="304"/>
    </row>
    <row r="865" spans="18:25" x14ac:dyDescent="0.25">
      <c r="R865" s="333"/>
      <c r="T865" s="331"/>
      <c r="U865" s="334"/>
      <c r="W865" s="306"/>
      <c r="X865" s="306"/>
      <c r="Y865" s="304"/>
    </row>
    <row r="866" spans="18:25" x14ac:dyDescent="0.25">
      <c r="R866" s="333"/>
      <c r="T866" s="331"/>
      <c r="U866" s="334"/>
      <c r="W866" s="306"/>
      <c r="X866" s="306"/>
      <c r="Y866" s="304"/>
    </row>
    <row r="867" spans="18:25" x14ac:dyDescent="0.25">
      <c r="R867" s="333"/>
      <c r="T867" s="331"/>
      <c r="U867" s="334"/>
      <c r="W867" s="306"/>
      <c r="X867" s="306"/>
      <c r="Y867" s="304"/>
    </row>
    <row r="868" spans="18:25" x14ac:dyDescent="0.25">
      <c r="R868" s="333"/>
      <c r="T868" s="331"/>
      <c r="U868" s="334"/>
      <c r="W868" s="306"/>
      <c r="X868" s="306"/>
      <c r="Y868" s="304"/>
    </row>
    <row r="869" spans="18:25" x14ac:dyDescent="0.25">
      <c r="R869" s="333"/>
      <c r="T869" s="331"/>
      <c r="U869" s="334"/>
      <c r="W869" s="306"/>
      <c r="X869" s="306"/>
      <c r="Y869" s="304"/>
    </row>
    <row r="870" spans="18:25" x14ac:dyDescent="0.25">
      <c r="R870" s="333"/>
      <c r="T870" s="331"/>
      <c r="U870" s="334"/>
      <c r="W870" s="306"/>
      <c r="X870" s="306"/>
      <c r="Y870" s="304"/>
    </row>
    <row r="871" spans="18:25" x14ac:dyDescent="0.25">
      <c r="R871" s="333"/>
      <c r="T871" s="331"/>
      <c r="U871" s="334"/>
      <c r="W871" s="306"/>
      <c r="X871" s="306"/>
      <c r="Y871" s="304"/>
    </row>
    <row r="872" spans="18:25" x14ac:dyDescent="0.25">
      <c r="R872" s="333"/>
      <c r="T872" s="331"/>
      <c r="U872" s="334"/>
      <c r="W872" s="306"/>
      <c r="X872" s="306"/>
      <c r="Y872" s="304"/>
    </row>
    <row r="873" spans="18:25" x14ac:dyDescent="0.25">
      <c r="R873" s="333"/>
      <c r="T873" s="331"/>
      <c r="U873" s="334"/>
      <c r="W873" s="306"/>
      <c r="X873" s="306"/>
      <c r="Y873" s="304"/>
    </row>
    <row r="874" spans="18:25" x14ac:dyDescent="0.25">
      <c r="R874" s="333"/>
      <c r="T874" s="331"/>
      <c r="U874" s="334"/>
      <c r="W874" s="306"/>
      <c r="X874" s="306"/>
      <c r="Y874" s="304"/>
    </row>
    <row r="875" spans="18:25" x14ac:dyDescent="0.25">
      <c r="R875" s="333"/>
      <c r="T875" s="331"/>
      <c r="U875" s="334"/>
      <c r="W875" s="306"/>
      <c r="X875" s="306"/>
      <c r="Y875" s="304"/>
    </row>
    <row r="876" spans="18:25" x14ac:dyDescent="0.25">
      <c r="R876" s="333"/>
      <c r="T876" s="331"/>
      <c r="U876" s="334"/>
      <c r="W876" s="306"/>
      <c r="X876" s="306"/>
      <c r="Y876" s="304"/>
    </row>
    <row r="877" spans="18:25" x14ac:dyDescent="0.25">
      <c r="R877" s="333"/>
      <c r="T877" s="331"/>
      <c r="U877" s="334"/>
      <c r="W877" s="306"/>
      <c r="X877" s="306"/>
      <c r="Y877" s="304"/>
    </row>
    <row r="878" spans="18:25" x14ac:dyDescent="0.25">
      <c r="R878" s="333"/>
      <c r="T878" s="331"/>
      <c r="U878" s="334"/>
      <c r="W878" s="306"/>
      <c r="X878" s="306"/>
      <c r="Y878" s="304"/>
    </row>
    <row r="879" spans="18:25" x14ac:dyDescent="0.25">
      <c r="R879" s="333"/>
      <c r="T879" s="331"/>
      <c r="U879" s="334"/>
      <c r="W879" s="306"/>
      <c r="X879" s="306"/>
      <c r="Y879" s="304"/>
    </row>
    <row r="880" spans="18:25" x14ac:dyDescent="0.25">
      <c r="R880" s="333"/>
      <c r="T880" s="331"/>
      <c r="U880" s="334"/>
      <c r="W880" s="306"/>
      <c r="X880" s="306"/>
      <c r="Y880" s="304"/>
    </row>
    <row r="881" spans="18:25" x14ac:dyDescent="0.25">
      <c r="R881" s="333"/>
      <c r="T881" s="331"/>
      <c r="U881" s="334"/>
      <c r="W881" s="306"/>
      <c r="X881" s="306"/>
      <c r="Y881" s="304"/>
    </row>
    <row r="882" spans="18:25" x14ac:dyDescent="0.25">
      <c r="R882" s="333"/>
      <c r="T882" s="331"/>
      <c r="U882" s="334"/>
      <c r="W882" s="306"/>
      <c r="X882" s="306"/>
      <c r="Y882" s="304"/>
    </row>
    <row r="883" spans="18:25" x14ac:dyDescent="0.25">
      <c r="R883" s="333"/>
      <c r="T883" s="331"/>
      <c r="U883" s="334"/>
      <c r="W883" s="306"/>
      <c r="X883" s="306"/>
      <c r="Y883" s="304"/>
    </row>
    <row r="884" spans="18:25" x14ac:dyDescent="0.25">
      <c r="R884" s="333"/>
      <c r="T884" s="331"/>
      <c r="U884" s="334"/>
      <c r="W884" s="306"/>
      <c r="X884" s="306"/>
      <c r="Y884" s="304"/>
    </row>
    <row r="885" spans="18:25" x14ac:dyDescent="0.25">
      <c r="R885" s="333"/>
      <c r="T885" s="331"/>
      <c r="U885" s="334"/>
      <c r="W885" s="306"/>
      <c r="X885" s="306"/>
      <c r="Y885" s="304"/>
    </row>
    <row r="886" spans="18:25" x14ac:dyDescent="0.25">
      <c r="R886" s="333"/>
      <c r="T886" s="331"/>
      <c r="U886" s="334"/>
      <c r="W886" s="306"/>
      <c r="X886" s="306"/>
      <c r="Y886" s="304"/>
    </row>
    <row r="887" spans="18:25" x14ac:dyDescent="0.25">
      <c r="R887" s="333"/>
      <c r="T887" s="331"/>
      <c r="U887" s="334"/>
      <c r="W887" s="306"/>
      <c r="X887" s="306"/>
      <c r="Y887" s="304"/>
    </row>
    <row r="888" spans="18:25" x14ac:dyDescent="0.25">
      <c r="R888" s="333"/>
      <c r="T888" s="331"/>
      <c r="U888" s="334"/>
      <c r="W888" s="306"/>
      <c r="X888" s="306"/>
      <c r="Y888" s="304"/>
    </row>
    <row r="889" spans="18:25" x14ac:dyDescent="0.25">
      <c r="R889" s="333"/>
      <c r="T889" s="331"/>
      <c r="U889" s="334"/>
      <c r="W889" s="306"/>
      <c r="X889" s="306"/>
      <c r="Y889" s="304"/>
    </row>
    <row r="890" spans="18:25" x14ac:dyDescent="0.25">
      <c r="R890" s="333"/>
      <c r="T890" s="331"/>
      <c r="U890" s="334"/>
      <c r="W890" s="306"/>
      <c r="X890" s="306"/>
      <c r="Y890" s="304"/>
    </row>
    <row r="891" spans="18:25" x14ac:dyDescent="0.25">
      <c r="R891" s="333"/>
      <c r="T891" s="331"/>
      <c r="U891" s="334"/>
      <c r="W891" s="306"/>
      <c r="X891" s="306"/>
      <c r="Y891" s="304"/>
    </row>
    <row r="892" spans="18:25" x14ac:dyDescent="0.25">
      <c r="R892" s="333"/>
      <c r="T892" s="331"/>
      <c r="U892" s="334"/>
      <c r="W892" s="306"/>
      <c r="X892" s="306"/>
      <c r="Y892" s="304"/>
    </row>
    <row r="893" spans="18:25" x14ac:dyDescent="0.25">
      <c r="R893" s="333"/>
      <c r="T893" s="331"/>
      <c r="U893" s="334"/>
      <c r="W893" s="306"/>
      <c r="X893" s="306"/>
      <c r="Y893" s="304"/>
    </row>
    <row r="894" spans="18:25" x14ac:dyDescent="0.25">
      <c r="R894" s="333"/>
      <c r="T894" s="331"/>
      <c r="U894" s="334"/>
      <c r="W894" s="306"/>
      <c r="X894" s="306"/>
      <c r="Y894" s="304"/>
    </row>
    <row r="895" spans="18:25" x14ac:dyDescent="0.25">
      <c r="R895" s="333"/>
      <c r="T895" s="331"/>
      <c r="U895" s="334"/>
      <c r="W895" s="306"/>
      <c r="X895" s="306"/>
      <c r="Y895" s="304"/>
    </row>
    <row r="896" spans="18:25" x14ac:dyDescent="0.25">
      <c r="R896" s="333"/>
      <c r="T896" s="331"/>
      <c r="U896" s="334"/>
      <c r="W896" s="306"/>
      <c r="X896" s="306"/>
      <c r="Y896" s="304"/>
    </row>
    <row r="897" spans="18:25" x14ac:dyDescent="0.25">
      <c r="R897" s="333"/>
      <c r="T897" s="331"/>
      <c r="U897" s="334"/>
      <c r="W897" s="306"/>
      <c r="X897" s="306"/>
      <c r="Y897" s="304"/>
    </row>
    <row r="898" spans="18:25" x14ac:dyDescent="0.25">
      <c r="R898" s="333"/>
      <c r="T898" s="331"/>
      <c r="U898" s="334"/>
      <c r="W898" s="306"/>
      <c r="X898" s="306"/>
      <c r="Y898" s="304"/>
    </row>
    <row r="899" spans="18:25" x14ac:dyDescent="0.25">
      <c r="R899" s="333"/>
      <c r="T899" s="331"/>
      <c r="U899" s="334"/>
      <c r="W899" s="306"/>
      <c r="X899" s="306"/>
      <c r="Y899" s="304"/>
    </row>
    <row r="900" spans="18:25" x14ac:dyDescent="0.25">
      <c r="R900" s="333"/>
      <c r="T900" s="331"/>
      <c r="U900" s="334"/>
      <c r="W900" s="306"/>
      <c r="X900" s="306"/>
      <c r="Y900" s="304"/>
    </row>
    <row r="901" spans="18:25" x14ac:dyDescent="0.25">
      <c r="R901" s="333"/>
      <c r="T901" s="331"/>
      <c r="U901" s="334"/>
      <c r="W901" s="306"/>
      <c r="X901" s="306"/>
      <c r="Y901" s="304"/>
    </row>
    <row r="902" spans="18:25" x14ac:dyDescent="0.25">
      <c r="R902" s="333"/>
      <c r="T902" s="331"/>
      <c r="U902" s="334"/>
      <c r="W902" s="306"/>
      <c r="X902" s="306"/>
      <c r="Y902" s="304"/>
    </row>
    <row r="903" spans="18:25" x14ac:dyDescent="0.25">
      <c r="R903" s="333"/>
      <c r="T903" s="331"/>
      <c r="U903" s="334"/>
      <c r="W903" s="306"/>
      <c r="X903" s="306"/>
      <c r="Y903" s="304"/>
    </row>
    <row r="904" spans="18:25" x14ac:dyDescent="0.25">
      <c r="R904" s="333"/>
      <c r="T904" s="331"/>
      <c r="U904" s="334"/>
      <c r="W904" s="306"/>
      <c r="X904" s="306"/>
      <c r="Y904" s="304"/>
    </row>
    <row r="905" spans="18:25" x14ac:dyDescent="0.25">
      <c r="R905" s="333"/>
      <c r="T905" s="331"/>
      <c r="U905" s="334"/>
      <c r="W905" s="306"/>
      <c r="X905" s="306"/>
      <c r="Y905" s="304"/>
    </row>
    <row r="906" spans="18:25" x14ac:dyDescent="0.25">
      <c r="R906" s="333"/>
      <c r="T906" s="331"/>
      <c r="U906" s="334"/>
      <c r="W906" s="306"/>
      <c r="X906" s="306"/>
      <c r="Y906" s="304"/>
    </row>
    <row r="907" spans="18:25" x14ac:dyDescent="0.25">
      <c r="R907" s="333"/>
      <c r="T907" s="331"/>
      <c r="U907" s="334"/>
      <c r="W907" s="306"/>
      <c r="X907" s="306"/>
      <c r="Y907" s="304"/>
    </row>
    <row r="908" spans="18:25" x14ac:dyDescent="0.25">
      <c r="R908" s="333"/>
      <c r="T908" s="331"/>
      <c r="U908" s="334"/>
      <c r="W908" s="306"/>
      <c r="X908" s="306"/>
      <c r="Y908" s="304"/>
    </row>
    <row r="909" spans="18:25" x14ac:dyDescent="0.25">
      <c r="R909" s="333"/>
      <c r="T909" s="331"/>
      <c r="U909" s="334"/>
      <c r="W909" s="306"/>
      <c r="X909" s="306"/>
      <c r="Y909" s="304"/>
    </row>
    <row r="910" spans="18:25" x14ac:dyDescent="0.25">
      <c r="R910" s="333"/>
      <c r="T910" s="331"/>
      <c r="U910" s="334"/>
      <c r="W910" s="306"/>
      <c r="X910" s="306"/>
      <c r="Y910" s="304"/>
    </row>
    <row r="911" spans="18:25" x14ac:dyDescent="0.25">
      <c r="R911" s="333"/>
      <c r="T911" s="331"/>
      <c r="U911" s="334"/>
      <c r="W911" s="306"/>
      <c r="X911" s="306"/>
      <c r="Y911" s="304"/>
    </row>
    <row r="912" spans="18:25" x14ac:dyDescent="0.25">
      <c r="R912" s="333"/>
      <c r="T912" s="331"/>
      <c r="U912" s="334"/>
      <c r="W912" s="306"/>
      <c r="X912" s="306"/>
      <c r="Y912" s="304"/>
    </row>
    <row r="913" spans="18:25" x14ac:dyDescent="0.25">
      <c r="R913" s="333"/>
      <c r="T913" s="331"/>
      <c r="U913" s="334"/>
      <c r="W913" s="306"/>
      <c r="X913" s="306"/>
      <c r="Y913" s="304"/>
    </row>
    <row r="914" spans="18:25" x14ac:dyDescent="0.25">
      <c r="R914" s="333"/>
      <c r="T914" s="331"/>
      <c r="U914" s="334"/>
      <c r="W914" s="306"/>
      <c r="X914" s="306"/>
      <c r="Y914" s="304"/>
    </row>
    <row r="915" spans="18:25" x14ac:dyDescent="0.25">
      <c r="R915" s="333"/>
      <c r="T915" s="331"/>
      <c r="U915" s="334"/>
      <c r="W915" s="306"/>
      <c r="X915" s="306"/>
      <c r="Y915" s="304"/>
    </row>
    <row r="916" spans="18:25" x14ac:dyDescent="0.25">
      <c r="R916" s="333"/>
      <c r="T916" s="331"/>
      <c r="U916" s="334"/>
      <c r="W916" s="306"/>
      <c r="X916" s="306"/>
      <c r="Y916" s="304"/>
    </row>
    <row r="917" spans="18:25" x14ac:dyDescent="0.25">
      <c r="R917" s="333"/>
      <c r="T917" s="331"/>
      <c r="U917" s="334"/>
      <c r="W917" s="306"/>
      <c r="X917" s="306"/>
      <c r="Y917" s="304"/>
    </row>
    <row r="918" spans="18:25" x14ac:dyDescent="0.25">
      <c r="R918" s="333"/>
      <c r="T918" s="331"/>
      <c r="U918" s="334"/>
      <c r="W918" s="306"/>
      <c r="X918" s="306"/>
      <c r="Y918" s="304"/>
    </row>
    <row r="919" spans="18:25" x14ac:dyDescent="0.25">
      <c r="R919" s="333"/>
      <c r="T919" s="331"/>
      <c r="U919" s="334"/>
      <c r="W919" s="306"/>
      <c r="X919" s="306"/>
      <c r="Y919" s="304"/>
    </row>
    <row r="920" spans="18:25" x14ac:dyDescent="0.25">
      <c r="R920" s="333"/>
      <c r="T920" s="331"/>
      <c r="U920" s="334"/>
      <c r="W920" s="306"/>
      <c r="X920" s="306"/>
      <c r="Y920" s="304"/>
    </row>
    <row r="921" spans="18:25" x14ac:dyDescent="0.25">
      <c r="R921" s="333"/>
      <c r="T921" s="331"/>
      <c r="U921" s="334"/>
      <c r="W921" s="306"/>
      <c r="X921" s="306"/>
      <c r="Y921" s="304"/>
    </row>
    <row r="922" spans="18:25" x14ac:dyDescent="0.25">
      <c r="R922" s="333"/>
      <c r="T922" s="331"/>
      <c r="U922" s="334"/>
      <c r="W922" s="306"/>
      <c r="X922" s="306"/>
      <c r="Y922" s="304"/>
    </row>
    <row r="923" spans="18:25" x14ac:dyDescent="0.25">
      <c r="R923" s="333"/>
      <c r="T923" s="331"/>
      <c r="U923" s="334"/>
      <c r="W923" s="306"/>
      <c r="X923" s="306"/>
      <c r="Y923" s="304"/>
    </row>
    <row r="924" spans="18:25" x14ac:dyDescent="0.25">
      <c r="R924" s="333"/>
      <c r="T924" s="331"/>
      <c r="U924" s="334"/>
      <c r="W924" s="306"/>
      <c r="X924" s="306"/>
      <c r="Y924" s="304"/>
    </row>
    <row r="925" spans="18:25" x14ac:dyDescent="0.25">
      <c r="R925" s="333"/>
      <c r="T925" s="331"/>
      <c r="U925" s="334"/>
      <c r="W925" s="306"/>
      <c r="X925" s="306"/>
      <c r="Y925" s="304"/>
    </row>
    <row r="926" spans="18:25" x14ac:dyDescent="0.25">
      <c r="R926" s="333"/>
      <c r="T926" s="331"/>
      <c r="U926" s="334"/>
      <c r="W926" s="306"/>
      <c r="X926" s="306"/>
      <c r="Y926" s="304"/>
    </row>
    <row r="927" spans="18:25" x14ac:dyDescent="0.25">
      <c r="R927" s="333"/>
      <c r="T927" s="331"/>
      <c r="U927" s="334"/>
      <c r="W927" s="306"/>
      <c r="X927" s="306"/>
      <c r="Y927" s="304"/>
    </row>
    <row r="928" spans="18:25" x14ac:dyDescent="0.25">
      <c r="R928" s="333"/>
      <c r="T928" s="331"/>
      <c r="U928" s="334"/>
      <c r="W928" s="306"/>
      <c r="X928" s="306"/>
      <c r="Y928" s="304"/>
    </row>
    <row r="929" spans="18:25" x14ac:dyDescent="0.25">
      <c r="R929" s="333"/>
      <c r="T929" s="331"/>
      <c r="U929" s="334"/>
      <c r="W929" s="306"/>
      <c r="X929" s="306"/>
      <c r="Y929" s="304"/>
    </row>
    <row r="930" spans="18:25" x14ac:dyDescent="0.25">
      <c r="R930" s="333"/>
      <c r="T930" s="331"/>
      <c r="U930" s="334"/>
      <c r="W930" s="306"/>
      <c r="X930" s="306"/>
      <c r="Y930" s="304"/>
    </row>
    <row r="931" spans="18:25" x14ac:dyDescent="0.25">
      <c r="R931" s="333"/>
      <c r="T931" s="331"/>
      <c r="U931" s="334"/>
      <c r="W931" s="306"/>
      <c r="X931" s="306"/>
      <c r="Y931" s="304"/>
    </row>
    <row r="932" spans="18:25" x14ac:dyDescent="0.25">
      <c r="R932" s="333"/>
      <c r="T932" s="331"/>
      <c r="U932" s="334"/>
      <c r="W932" s="306"/>
      <c r="X932" s="306"/>
      <c r="Y932" s="304"/>
    </row>
    <row r="933" spans="18:25" x14ac:dyDescent="0.25">
      <c r="R933" s="333"/>
      <c r="T933" s="331"/>
      <c r="U933" s="334"/>
      <c r="W933" s="306"/>
      <c r="X933" s="306"/>
      <c r="Y933" s="304"/>
    </row>
    <row r="934" spans="18:25" x14ac:dyDescent="0.25">
      <c r="R934" s="333"/>
      <c r="T934" s="331"/>
      <c r="U934" s="334"/>
      <c r="W934" s="306"/>
      <c r="X934" s="306"/>
      <c r="Y934" s="304"/>
    </row>
    <row r="935" spans="18:25" x14ac:dyDescent="0.25">
      <c r="R935" s="333"/>
      <c r="T935" s="331"/>
      <c r="U935" s="334"/>
      <c r="W935" s="306"/>
      <c r="X935" s="306"/>
      <c r="Y935" s="304"/>
    </row>
    <row r="936" spans="18:25" x14ac:dyDescent="0.25">
      <c r="R936" s="333"/>
      <c r="T936" s="331"/>
      <c r="U936" s="334"/>
      <c r="W936" s="306"/>
      <c r="X936" s="306"/>
      <c r="Y936" s="304"/>
    </row>
    <row r="937" spans="18:25" x14ac:dyDescent="0.25">
      <c r="R937" s="333"/>
      <c r="T937" s="331"/>
      <c r="U937" s="334"/>
      <c r="W937" s="306"/>
      <c r="X937" s="306"/>
      <c r="Y937" s="304"/>
    </row>
    <row r="938" spans="18:25" x14ac:dyDescent="0.25">
      <c r="R938" s="333"/>
      <c r="T938" s="331"/>
      <c r="U938" s="334"/>
      <c r="W938" s="306"/>
      <c r="X938" s="306"/>
      <c r="Y938" s="304"/>
    </row>
    <row r="939" spans="18:25" x14ac:dyDescent="0.25">
      <c r="R939" s="333"/>
      <c r="T939" s="331"/>
      <c r="U939" s="334"/>
      <c r="W939" s="306"/>
      <c r="X939" s="306"/>
      <c r="Y939" s="304"/>
    </row>
    <row r="940" spans="18:25" x14ac:dyDescent="0.25">
      <c r="R940" s="333"/>
      <c r="T940" s="331"/>
      <c r="U940" s="334"/>
      <c r="W940" s="306"/>
      <c r="X940" s="306"/>
      <c r="Y940" s="304"/>
    </row>
    <row r="941" spans="18:25" x14ac:dyDescent="0.25">
      <c r="R941" s="333"/>
      <c r="T941" s="331"/>
      <c r="U941" s="334"/>
      <c r="W941" s="306"/>
      <c r="X941" s="306"/>
      <c r="Y941" s="304"/>
    </row>
    <row r="942" spans="18:25" x14ac:dyDescent="0.25">
      <c r="R942" s="333"/>
      <c r="T942" s="331"/>
      <c r="U942" s="334"/>
      <c r="W942" s="306"/>
      <c r="X942" s="306"/>
      <c r="Y942" s="304"/>
    </row>
    <row r="943" spans="18:25" x14ac:dyDescent="0.25">
      <c r="R943" s="333"/>
      <c r="T943" s="331"/>
      <c r="U943" s="334"/>
      <c r="W943" s="306"/>
      <c r="X943" s="306"/>
      <c r="Y943" s="304"/>
    </row>
    <row r="944" spans="18:25" x14ac:dyDescent="0.25">
      <c r="R944" s="333"/>
      <c r="T944" s="331"/>
      <c r="U944" s="334"/>
      <c r="W944" s="306"/>
      <c r="X944" s="306"/>
      <c r="Y944" s="304"/>
    </row>
    <row r="945" spans="18:25" x14ac:dyDescent="0.25">
      <c r="R945" s="333"/>
      <c r="T945" s="331"/>
      <c r="U945" s="334"/>
      <c r="W945" s="306"/>
      <c r="X945" s="306"/>
      <c r="Y945" s="304"/>
    </row>
    <row r="946" spans="18:25" x14ac:dyDescent="0.25">
      <c r="R946" s="333"/>
      <c r="T946" s="331"/>
      <c r="U946" s="334"/>
      <c r="W946" s="306"/>
      <c r="X946" s="306"/>
      <c r="Y946" s="304"/>
    </row>
    <row r="947" spans="18:25" x14ac:dyDescent="0.25">
      <c r="R947" s="333"/>
      <c r="T947" s="331"/>
      <c r="U947" s="334"/>
      <c r="W947" s="306"/>
      <c r="X947" s="306"/>
      <c r="Y947" s="304"/>
    </row>
    <row r="948" spans="18:25" x14ac:dyDescent="0.25">
      <c r="R948" s="333"/>
      <c r="T948" s="331"/>
      <c r="U948" s="334"/>
      <c r="W948" s="306"/>
      <c r="X948" s="306"/>
      <c r="Y948" s="304"/>
    </row>
    <row r="949" spans="18:25" x14ac:dyDescent="0.25">
      <c r="R949" s="333"/>
      <c r="T949" s="331"/>
      <c r="U949" s="334"/>
      <c r="W949" s="306"/>
      <c r="X949" s="306"/>
      <c r="Y949" s="304"/>
    </row>
    <row r="950" spans="18:25" x14ac:dyDescent="0.25">
      <c r="R950" s="333"/>
      <c r="T950" s="331"/>
      <c r="U950" s="334"/>
      <c r="W950" s="306"/>
      <c r="X950" s="306"/>
      <c r="Y950" s="304"/>
    </row>
    <row r="951" spans="18:25" x14ac:dyDescent="0.25">
      <c r="R951" s="333"/>
      <c r="T951" s="331"/>
      <c r="U951" s="334"/>
      <c r="W951" s="306"/>
      <c r="X951" s="306"/>
      <c r="Y951" s="304"/>
    </row>
    <row r="952" spans="18:25" x14ac:dyDescent="0.25">
      <c r="R952" s="333"/>
      <c r="T952" s="331"/>
      <c r="U952" s="334"/>
      <c r="W952" s="306"/>
      <c r="X952" s="306"/>
      <c r="Y952" s="304"/>
    </row>
    <row r="953" spans="18:25" x14ac:dyDescent="0.25">
      <c r="R953" s="333"/>
      <c r="T953" s="331"/>
      <c r="U953" s="334"/>
      <c r="W953" s="306"/>
      <c r="X953" s="306"/>
      <c r="Y953" s="304"/>
    </row>
    <row r="954" spans="18:25" x14ac:dyDescent="0.25">
      <c r="R954" s="333"/>
      <c r="T954" s="331"/>
      <c r="U954" s="334"/>
      <c r="W954" s="306"/>
      <c r="X954" s="306"/>
      <c r="Y954" s="304"/>
    </row>
    <row r="955" spans="18:25" x14ac:dyDescent="0.25">
      <c r="R955" s="333"/>
      <c r="T955" s="331"/>
      <c r="U955" s="334"/>
      <c r="W955" s="306"/>
      <c r="X955" s="306"/>
      <c r="Y955" s="304"/>
    </row>
    <row r="956" spans="18:25" x14ac:dyDescent="0.25">
      <c r="R956" s="333"/>
      <c r="T956" s="331"/>
      <c r="U956" s="334"/>
      <c r="W956" s="306"/>
      <c r="X956" s="306"/>
      <c r="Y956" s="304"/>
    </row>
    <row r="957" spans="18:25" x14ac:dyDescent="0.25">
      <c r="R957" s="333"/>
      <c r="T957" s="331"/>
      <c r="U957" s="334"/>
      <c r="W957" s="306"/>
      <c r="X957" s="306"/>
      <c r="Y957" s="304"/>
    </row>
    <row r="958" spans="18:25" x14ac:dyDescent="0.25">
      <c r="R958" s="333"/>
      <c r="T958" s="331"/>
      <c r="U958" s="334"/>
      <c r="W958" s="306"/>
      <c r="X958" s="306"/>
      <c r="Y958" s="304"/>
    </row>
    <row r="959" spans="18:25" x14ac:dyDescent="0.25">
      <c r="R959" s="333"/>
      <c r="T959" s="331"/>
      <c r="U959" s="334"/>
      <c r="W959" s="306"/>
      <c r="X959" s="306"/>
      <c r="Y959" s="304"/>
    </row>
    <row r="960" spans="18:25" x14ac:dyDescent="0.25">
      <c r="R960" s="333"/>
      <c r="T960" s="331"/>
      <c r="U960" s="334"/>
      <c r="W960" s="306"/>
      <c r="X960" s="306"/>
      <c r="Y960" s="304"/>
    </row>
    <row r="961" spans="18:25" x14ac:dyDescent="0.25">
      <c r="R961" s="333"/>
      <c r="T961" s="331"/>
      <c r="U961" s="334"/>
      <c r="W961" s="306"/>
      <c r="X961" s="306"/>
      <c r="Y961" s="304"/>
    </row>
    <row r="962" spans="18:25" x14ac:dyDescent="0.25">
      <c r="R962" s="333"/>
      <c r="T962" s="331"/>
      <c r="U962" s="334"/>
      <c r="W962" s="306"/>
      <c r="X962" s="306"/>
      <c r="Y962" s="304"/>
    </row>
    <row r="963" spans="18:25" x14ac:dyDescent="0.25">
      <c r="R963" s="333"/>
      <c r="T963" s="331"/>
      <c r="U963" s="334"/>
      <c r="W963" s="306"/>
      <c r="X963" s="306"/>
      <c r="Y963" s="304"/>
    </row>
    <row r="964" spans="18:25" x14ac:dyDescent="0.25">
      <c r="R964" s="333"/>
      <c r="T964" s="331"/>
      <c r="U964" s="334"/>
      <c r="W964" s="306"/>
      <c r="X964" s="306"/>
      <c r="Y964" s="304"/>
    </row>
    <row r="965" spans="18:25" x14ac:dyDescent="0.25">
      <c r="R965" s="333"/>
      <c r="T965" s="331"/>
      <c r="U965" s="334"/>
      <c r="W965" s="306"/>
      <c r="X965" s="306"/>
      <c r="Y965" s="304"/>
    </row>
    <row r="966" spans="18:25" x14ac:dyDescent="0.25">
      <c r="R966" s="333"/>
      <c r="T966" s="331"/>
      <c r="U966" s="334"/>
      <c r="W966" s="306"/>
      <c r="X966" s="306"/>
      <c r="Y966" s="304"/>
    </row>
    <row r="967" spans="18:25" x14ac:dyDescent="0.25">
      <c r="R967" s="333"/>
      <c r="T967" s="331"/>
      <c r="U967" s="334"/>
      <c r="W967" s="306"/>
      <c r="X967" s="306"/>
      <c r="Y967" s="304"/>
    </row>
    <row r="968" spans="18:25" x14ac:dyDescent="0.25">
      <c r="R968" s="333"/>
      <c r="T968" s="331"/>
      <c r="U968" s="334"/>
      <c r="W968" s="306"/>
      <c r="X968" s="306"/>
      <c r="Y968" s="304"/>
    </row>
    <row r="969" spans="18:25" x14ac:dyDescent="0.25">
      <c r="R969" s="333"/>
      <c r="T969" s="331"/>
      <c r="U969" s="334"/>
      <c r="W969" s="306"/>
      <c r="X969" s="306"/>
      <c r="Y969" s="304"/>
    </row>
    <row r="970" spans="18:25" x14ac:dyDescent="0.25">
      <c r="R970" s="333"/>
      <c r="T970" s="331"/>
      <c r="U970" s="334"/>
      <c r="W970" s="306"/>
      <c r="X970" s="306"/>
      <c r="Y970" s="304"/>
    </row>
    <row r="971" spans="18:25" x14ac:dyDescent="0.25">
      <c r="R971" s="333"/>
      <c r="T971" s="331"/>
      <c r="U971" s="334"/>
      <c r="W971" s="306"/>
      <c r="X971" s="306"/>
      <c r="Y971" s="304"/>
    </row>
    <row r="972" spans="18:25" x14ac:dyDescent="0.25">
      <c r="R972" s="333"/>
      <c r="T972" s="331"/>
      <c r="U972" s="334"/>
      <c r="W972" s="306"/>
      <c r="X972" s="306"/>
      <c r="Y972" s="304"/>
    </row>
    <row r="973" spans="18:25" x14ac:dyDescent="0.25">
      <c r="R973" s="333"/>
      <c r="T973" s="331"/>
      <c r="U973" s="334"/>
      <c r="W973" s="306"/>
      <c r="X973" s="306"/>
      <c r="Y973" s="304"/>
    </row>
    <row r="974" spans="18:25" x14ac:dyDescent="0.25">
      <c r="R974" s="333"/>
      <c r="T974" s="331"/>
      <c r="U974" s="334"/>
      <c r="W974" s="306"/>
      <c r="X974" s="306"/>
      <c r="Y974" s="304"/>
    </row>
    <row r="975" spans="18:25" x14ac:dyDescent="0.25">
      <c r="R975" s="333"/>
      <c r="T975" s="331"/>
      <c r="U975" s="334"/>
      <c r="W975" s="306"/>
      <c r="X975" s="306"/>
      <c r="Y975" s="304"/>
    </row>
    <row r="976" spans="18:25" x14ac:dyDescent="0.25">
      <c r="R976" s="333"/>
      <c r="T976" s="331"/>
      <c r="U976" s="334"/>
      <c r="W976" s="306"/>
      <c r="X976" s="306"/>
      <c r="Y976" s="304"/>
    </row>
    <row r="977" spans="18:25" x14ac:dyDescent="0.25">
      <c r="R977" s="333"/>
      <c r="T977" s="331"/>
      <c r="U977" s="334"/>
      <c r="W977" s="306"/>
      <c r="X977" s="306"/>
      <c r="Y977" s="304"/>
    </row>
    <row r="978" spans="18:25" x14ac:dyDescent="0.25">
      <c r="R978" s="333"/>
      <c r="T978" s="331"/>
      <c r="U978" s="334"/>
      <c r="W978" s="306"/>
      <c r="X978" s="306"/>
      <c r="Y978" s="304"/>
    </row>
    <row r="979" spans="18:25" x14ac:dyDescent="0.25">
      <c r="R979" s="333"/>
      <c r="T979" s="331"/>
      <c r="U979" s="334"/>
      <c r="W979" s="306"/>
      <c r="X979" s="306"/>
      <c r="Y979" s="304"/>
    </row>
    <row r="980" spans="18:25" x14ac:dyDescent="0.25">
      <c r="R980" s="333"/>
      <c r="T980" s="331"/>
      <c r="U980" s="334"/>
      <c r="W980" s="306"/>
      <c r="X980" s="306"/>
      <c r="Y980" s="304"/>
    </row>
    <row r="981" spans="18:25" x14ac:dyDescent="0.25">
      <c r="R981" s="333"/>
      <c r="T981" s="331"/>
      <c r="U981" s="334"/>
      <c r="W981" s="306"/>
      <c r="X981" s="306"/>
      <c r="Y981" s="304"/>
    </row>
    <row r="982" spans="18:25" x14ac:dyDescent="0.25">
      <c r="R982" s="333"/>
      <c r="T982" s="331"/>
      <c r="U982" s="334"/>
      <c r="W982" s="306"/>
      <c r="X982" s="306"/>
      <c r="Y982" s="304"/>
    </row>
    <row r="983" spans="18:25" x14ac:dyDescent="0.25">
      <c r="R983" s="333"/>
      <c r="T983" s="331"/>
      <c r="U983" s="334"/>
      <c r="W983" s="306"/>
      <c r="X983" s="306"/>
      <c r="Y983" s="304"/>
    </row>
    <row r="984" spans="18:25" x14ac:dyDescent="0.25">
      <c r="R984" s="333"/>
      <c r="T984" s="331"/>
      <c r="U984" s="334"/>
      <c r="W984" s="306"/>
      <c r="X984" s="306"/>
      <c r="Y984" s="304"/>
    </row>
    <row r="985" spans="18:25" x14ac:dyDescent="0.25">
      <c r="R985" s="333"/>
      <c r="T985" s="331"/>
      <c r="U985" s="334"/>
      <c r="W985" s="306"/>
      <c r="X985" s="306"/>
      <c r="Y985" s="304"/>
    </row>
    <row r="986" spans="18:25" x14ac:dyDescent="0.25">
      <c r="R986" s="333"/>
      <c r="T986" s="331"/>
      <c r="U986" s="334"/>
      <c r="W986" s="306"/>
      <c r="X986" s="306"/>
      <c r="Y986" s="304"/>
    </row>
    <row r="987" spans="18:25" x14ac:dyDescent="0.25">
      <c r="R987" s="333"/>
      <c r="T987" s="331"/>
      <c r="U987" s="334"/>
      <c r="W987" s="306"/>
      <c r="X987" s="306"/>
      <c r="Y987" s="304"/>
    </row>
    <row r="988" spans="18:25" x14ac:dyDescent="0.25">
      <c r="R988" s="333"/>
      <c r="T988" s="331"/>
      <c r="U988" s="334"/>
      <c r="W988" s="306"/>
      <c r="X988" s="306"/>
      <c r="Y988" s="304"/>
    </row>
    <row r="989" spans="18:25" x14ac:dyDescent="0.25">
      <c r="R989" s="333"/>
      <c r="T989" s="331"/>
      <c r="U989" s="334"/>
      <c r="W989" s="306"/>
      <c r="X989" s="306"/>
      <c r="Y989" s="304"/>
    </row>
    <row r="990" spans="18:25" x14ac:dyDescent="0.25">
      <c r="R990" s="333"/>
      <c r="T990" s="331"/>
      <c r="U990" s="334"/>
      <c r="W990" s="306"/>
      <c r="X990" s="306"/>
      <c r="Y990" s="304"/>
    </row>
    <row r="991" spans="18:25" x14ac:dyDescent="0.25">
      <c r="R991" s="333"/>
      <c r="T991" s="331"/>
      <c r="U991" s="334"/>
      <c r="W991" s="306"/>
      <c r="X991" s="306"/>
      <c r="Y991" s="304"/>
    </row>
    <row r="992" spans="18:25" x14ac:dyDescent="0.25">
      <c r="R992" s="333"/>
      <c r="T992" s="331"/>
      <c r="U992" s="334"/>
      <c r="W992" s="306"/>
      <c r="X992" s="306"/>
      <c r="Y992" s="304"/>
    </row>
    <row r="993" spans="18:25" x14ac:dyDescent="0.25">
      <c r="R993" s="333"/>
      <c r="T993" s="331"/>
      <c r="U993" s="334"/>
      <c r="W993" s="306"/>
      <c r="X993" s="306"/>
      <c r="Y993" s="304"/>
    </row>
    <row r="994" spans="18:25" x14ac:dyDescent="0.25">
      <c r="R994" s="333"/>
      <c r="T994" s="331"/>
      <c r="U994" s="334"/>
      <c r="W994" s="306"/>
      <c r="X994" s="306"/>
      <c r="Y994" s="304"/>
    </row>
    <row r="995" spans="18:25" x14ac:dyDescent="0.25">
      <c r="R995" s="333"/>
      <c r="T995" s="331"/>
      <c r="U995" s="334"/>
      <c r="W995" s="306"/>
      <c r="X995" s="306"/>
      <c r="Y995" s="304"/>
    </row>
    <row r="996" spans="18:25" x14ac:dyDescent="0.25">
      <c r="R996" s="333"/>
      <c r="T996" s="331"/>
      <c r="U996" s="334"/>
      <c r="W996" s="306"/>
      <c r="X996" s="306"/>
      <c r="Y996" s="304"/>
    </row>
    <row r="997" spans="18:25" x14ac:dyDescent="0.25">
      <c r="R997" s="333"/>
      <c r="T997" s="331"/>
      <c r="U997" s="334"/>
      <c r="W997" s="306"/>
      <c r="X997" s="306"/>
      <c r="Y997" s="304"/>
    </row>
    <row r="998" spans="18:25" x14ac:dyDescent="0.25">
      <c r="R998" s="333"/>
      <c r="T998" s="331"/>
      <c r="U998" s="334"/>
      <c r="W998" s="306"/>
      <c r="X998" s="306"/>
      <c r="Y998" s="304"/>
    </row>
    <row r="999" spans="18:25" x14ac:dyDescent="0.25">
      <c r="R999" s="333"/>
      <c r="T999" s="331"/>
      <c r="U999" s="334"/>
      <c r="W999" s="306"/>
      <c r="X999" s="306"/>
      <c r="Y999" s="304"/>
    </row>
    <row r="1000" spans="18:25" x14ac:dyDescent="0.25">
      <c r="R1000" s="333"/>
      <c r="T1000" s="331"/>
      <c r="U1000" s="334"/>
      <c r="W1000" s="306"/>
      <c r="X1000" s="306"/>
      <c r="Y1000" s="304"/>
    </row>
    <row r="1001" spans="18:25" x14ac:dyDescent="0.25">
      <c r="R1001" s="333"/>
      <c r="T1001" s="331"/>
      <c r="U1001" s="334"/>
      <c r="W1001" s="306"/>
      <c r="X1001" s="306"/>
      <c r="Y1001" s="304"/>
    </row>
    <row r="1002" spans="18:25" x14ac:dyDescent="0.25">
      <c r="R1002" s="333"/>
      <c r="T1002" s="331"/>
      <c r="U1002" s="334"/>
      <c r="W1002" s="306"/>
      <c r="X1002" s="306"/>
      <c r="Y1002" s="304"/>
    </row>
    <row r="1003" spans="18:25" x14ac:dyDescent="0.25">
      <c r="R1003" s="333"/>
      <c r="T1003" s="331"/>
      <c r="U1003" s="334"/>
      <c r="W1003" s="306"/>
      <c r="X1003" s="306"/>
      <c r="Y1003" s="304"/>
    </row>
    <row r="1004" spans="18:25" x14ac:dyDescent="0.25">
      <c r="R1004" s="333"/>
      <c r="T1004" s="331"/>
      <c r="U1004" s="334"/>
      <c r="W1004" s="306"/>
      <c r="X1004" s="306"/>
      <c r="Y1004" s="304"/>
    </row>
    <row r="1005" spans="18:25" x14ac:dyDescent="0.25">
      <c r="R1005" s="333"/>
      <c r="T1005" s="331"/>
      <c r="U1005" s="334"/>
      <c r="W1005" s="306"/>
      <c r="X1005" s="306"/>
      <c r="Y1005" s="304"/>
    </row>
    <row r="1006" spans="18:25" x14ac:dyDescent="0.25">
      <c r="R1006" s="333"/>
      <c r="T1006" s="331"/>
      <c r="U1006" s="334"/>
      <c r="W1006" s="306"/>
      <c r="X1006" s="306"/>
      <c r="Y1006" s="304"/>
    </row>
    <row r="1007" spans="18:25" x14ac:dyDescent="0.25">
      <c r="R1007" s="333"/>
      <c r="T1007" s="331"/>
      <c r="U1007" s="334"/>
      <c r="W1007" s="306"/>
      <c r="X1007" s="306"/>
      <c r="Y1007" s="304"/>
    </row>
    <row r="1008" spans="18:25" x14ac:dyDescent="0.25">
      <c r="R1008" s="333"/>
      <c r="T1008" s="331"/>
      <c r="U1008" s="334"/>
      <c r="W1008" s="306"/>
      <c r="X1008" s="306"/>
      <c r="Y1008" s="304"/>
    </row>
    <row r="1009" spans="18:25" x14ac:dyDescent="0.25">
      <c r="R1009" s="333"/>
      <c r="T1009" s="331"/>
      <c r="U1009" s="334"/>
      <c r="W1009" s="306"/>
      <c r="X1009" s="306"/>
      <c r="Y1009" s="304"/>
    </row>
    <row r="1010" spans="18:25" x14ac:dyDescent="0.25">
      <c r="R1010" s="333"/>
      <c r="T1010" s="331"/>
      <c r="U1010" s="334"/>
      <c r="W1010" s="306"/>
      <c r="X1010" s="306"/>
      <c r="Y1010" s="304"/>
    </row>
    <row r="1011" spans="18:25" x14ac:dyDescent="0.25">
      <c r="R1011" s="333"/>
      <c r="T1011" s="331"/>
      <c r="U1011" s="334"/>
      <c r="W1011" s="306"/>
      <c r="X1011" s="306"/>
      <c r="Y1011" s="304"/>
    </row>
    <row r="1012" spans="18:25" x14ac:dyDescent="0.25">
      <c r="R1012" s="333"/>
      <c r="T1012" s="331"/>
      <c r="U1012" s="334"/>
      <c r="W1012" s="306"/>
      <c r="X1012" s="306"/>
      <c r="Y1012" s="304"/>
    </row>
    <row r="1013" spans="18:25" x14ac:dyDescent="0.25">
      <c r="R1013" s="333"/>
      <c r="T1013" s="331"/>
      <c r="U1013" s="334"/>
      <c r="W1013" s="306"/>
      <c r="X1013" s="306"/>
      <c r="Y1013" s="304"/>
    </row>
    <row r="1014" spans="18:25" x14ac:dyDescent="0.25">
      <c r="R1014" s="333"/>
      <c r="T1014" s="331"/>
      <c r="U1014" s="334"/>
      <c r="W1014" s="306"/>
      <c r="X1014" s="306"/>
      <c r="Y1014" s="304"/>
    </row>
    <row r="1015" spans="18:25" x14ac:dyDescent="0.25">
      <c r="R1015" s="333"/>
      <c r="T1015" s="331"/>
      <c r="U1015" s="334"/>
      <c r="W1015" s="306"/>
      <c r="X1015" s="306"/>
      <c r="Y1015" s="304"/>
    </row>
    <row r="1016" spans="18:25" x14ac:dyDescent="0.25">
      <c r="R1016" s="333"/>
      <c r="T1016" s="331"/>
      <c r="U1016" s="334"/>
      <c r="W1016" s="306"/>
      <c r="X1016" s="306"/>
      <c r="Y1016" s="304"/>
    </row>
    <row r="1017" spans="18:25" x14ac:dyDescent="0.25">
      <c r="R1017" s="333"/>
      <c r="T1017" s="331"/>
      <c r="U1017" s="334"/>
      <c r="W1017" s="306"/>
      <c r="X1017" s="306"/>
      <c r="Y1017" s="304"/>
    </row>
    <row r="1018" spans="18:25" x14ac:dyDescent="0.25">
      <c r="R1018" s="333"/>
      <c r="T1018" s="331"/>
      <c r="U1018" s="334"/>
      <c r="W1018" s="306"/>
      <c r="X1018" s="306"/>
      <c r="Y1018" s="304"/>
    </row>
    <row r="1019" spans="18:25" x14ac:dyDescent="0.25">
      <c r="R1019" s="333"/>
      <c r="T1019" s="331"/>
      <c r="U1019" s="334"/>
      <c r="W1019" s="306"/>
      <c r="X1019" s="306"/>
      <c r="Y1019" s="304"/>
    </row>
    <row r="1020" spans="18:25" x14ac:dyDescent="0.25">
      <c r="R1020" s="333"/>
      <c r="T1020" s="331"/>
      <c r="U1020" s="334"/>
      <c r="W1020" s="306"/>
      <c r="X1020" s="306"/>
      <c r="Y1020" s="304"/>
    </row>
    <row r="1021" spans="18:25" x14ac:dyDescent="0.25">
      <c r="R1021" s="333"/>
      <c r="T1021" s="331"/>
      <c r="U1021" s="334"/>
      <c r="W1021" s="306"/>
      <c r="X1021" s="306"/>
      <c r="Y1021" s="304"/>
    </row>
    <row r="1022" spans="18:25" x14ac:dyDescent="0.25">
      <c r="R1022" s="333"/>
      <c r="T1022" s="331"/>
      <c r="U1022" s="334"/>
      <c r="W1022" s="306"/>
      <c r="X1022" s="306"/>
      <c r="Y1022" s="304"/>
    </row>
    <row r="1023" spans="18:25" x14ac:dyDescent="0.25">
      <c r="R1023" s="333"/>
      <c r="T1023" s="331"/>
      <c r="U1023" s="334"/>
      <c r="W1023" s="306"/>
      <c r="X1023" s="306"/>
      <c r="Y1023" s="304"/>
    </row>
    <row r="1024" spans="18:25" x14ac:dyDescent="0.25">
      <c r="R1024" s="333"/>
      <c r="T1024" s="331"/>
      <c r="U1024" s="334"/>
      <c r="W1024" s="306"/>
      <c r="X1024" s="306"/>
      <c r="Y1024" s="304"/>
    </row>
    <row r="1025" spans="18:25" x14ac:dyDescent="0.25">
      <c r="R1025" s="333"/>
      <c r="T1025" s="331"/>
      <c r="U1025" s="334"/>
      <c r="W1025" s="306"/>
      <c r="X1025" s="306"/>
      <c r="Y1025" s="304"/>
    </row>
    <row r="1026" spans="18:25" x14ac:dyDescent="0.25">
      <c r="R1026" s="333"/>
      <c r="T1026" s="331"/>
      <c r="U1026" s="334"/>
      <c r="W1026" s="306"/>
      <c r="X1026" s="306"/>
      <c r="Y1026" s="304"/>
    </row>
    <row r="1027" spans="18:25" x14ac:dyDescent="0.25">
      <c r="R1027" s="333"/>
      <c r="T1027" s="331"/>
      <c r="U1027" s="334"/>
      <c r="W1027" s="306"/>
      <c r="X1027" s="306"/>
      <c r="Y1027" s="304"/>
    </row>
    <row r="1028" spans="18:25" x14ac:dyDescent="0.25">
      <c r="R1028" s="333"/>
      <c r="T1028" s="331"/>
      <c r="U1028" s="334"/>
      <c r="W1028" s="306"/>
      <c r="X1028" s="306"/>
      <c r="Y1028" s="304"/>
    </row>
    <row r="1029" spans="18:25" x14ac:dyDescent="0.25">
      <c r="R1029" s="333"/>
      <c r="T1029" s="331"/>
      <c r="U1029" s="334"/>
      <c r="W1029" s="306"/>
      <c r="X1029" s="306"/>
      <c r="Y1029" s="304"/>
    </row>
    <row r="1030" spans="18:25" x14ac:dyDescent="0.25">
      <c r="R1030" s="333"/>
      <c r="T1030" s="331"/>
      <c r="U1030" s="334"/>
      <c r="W1030" s="306"/>
      <c r="X1030" s="306"/>
      <c r="Y1030" s="304"/>
    </row>
    <row r="1031" spans="18:25" x14ac:dyDescent="0.25">
      <c r="R1031" s="333"/>
      <c r="T1031" s="331"/>
      <c r="U1031" s="334"/>
      <c r="W1031" s="306"/>
      <c r="X1031" s="306"/>
      <c r="Y1031" s="304"/>
    </row>
    <row r="1032" spans="18:25" x14ac:dyDescent="0.25">
      <c r="R1032" s="333"/>
      <c r="T1032" s="331"/>
      <c r="U1032" s="334"/>
      <c r="W1032" s="306"/>
      <c r="X1032" s="306"/>
      <c r="Y1032" s="304"/>
    </row>
    <row r="1033" spans="18:25" x14ac:dyDescent="0.25">
      <c r="R1033" s="333"/>
      <c r="T1033" s="331"/>
      <c r="U1033" s="334"/>
      <c r="W1033" s="306"/>
      <c r="X1033" s="306"/>
      <c r="Y1033" s="304"/>
    </row>
    <row r="1034" spans="18:25" x14ac:dyDescent="0.25">
      <c r="R1034" s="333"/>
      <c r="T1034" s="331"/>
      <c r="U1034" s="334"/>
      <c r="W1034" s="306"/>
      <c r="X1034" s="306"/>
      <c r="Y1034" s="304"/>
    </row>
    <row r="1035" spans="18:25" x14ac:dyDescent="0.25">
      <c r="R1035" s="333"/>
      <c r="T1035" s="331"/>
      <c r="U1035" s="334"/>
      <c r="W1035" s="306"/>
      <c r="X1035" s="306"/>
      <c r="Y1035" s="304"/>
    </row>
    <row r="1036" spans="18:25" x14ac:dyDescent="0.25">
      <c r="R1036" s="333"/>
      <c r="T1036" s="331"/>
      <c r="U1036" s="334"/>
      <c r="W1036" s="306"/>
      <c r="X1036" s="306"/>
      <c r="Y1036" s="304"/>
    </row>
    <row r="1037" spans="18:25" x14ac:dyDescent="0.25">
      <c r="R1037" s="333"/>
      <c r="T1037" s="331"/>
      <c r="U1037" s="334"/>
      <c r="W1037" s="306"/>
      <c r="X1037" s="306"/>
      <c r="Y1037" s="304"/>
    </row>
    <row r="1038" spans="18:25" x14ac:dyDescent="0.25">
      <c r="R1038" s="333"/>
      <c r="T1038" s="331"/>
      <c r="U1038" s="334"/>
      <c r="W1038" s="306"/>
      <c r="X1038" s="306"/>
      <c r="Y1038" s="304"/>
    </row>
    <row r="1039" spans="18:25" x14ac:dyDescent="0.25">
      <c r="R1039" s="333"/>
      <c r="T1039" s="331"/>
      <c r="U1039" s="334"/>
      <c r="W1039" s="306"/>
      <c r="X1039" s="306"/>
      <c r="Y1039" s="304"/>
    </row>
    <row r="1040" spans="18:25" x14ac:dyDescent="0.25">
      <c r="R1040" s="333"/>
      <c r="T1040" s="331"/>
      <c r="U1040" s="334"/>
      <c r="W1040" s="306"/>
      <c r="X1040" s="306"/>
      <c r="Y1040" s="304"/>
    </row>
    <row r="1041" spans="18:25" x14ac:dyDescent="0.25">
      <c r="R1041" s="333"/>
      <c r="T1041" s="331"/>
      <c r="U1041" s="334"/>
      <c r="W1041" s="306"/>
      <c r="X1041" s="306"/>
      <c r="Y1041" s="304"/>
    </row>
    <row r="1042" spans="18:25" x14ac:dyDescent="0.25">
      <c r="R1042" s="333"/>
      <c r="T1042" s="331"/>
      <c r="U1042" s="334"/>
      <c r="W1042" s="306"/>
      <c r="X1042" s="306"/>
      <c r="Y1042" s="304"/>
    </row>
    <row r="1043" spans="18:25" x14ac:dyDescent="0.25">
      <c r="R1043" s="333"/>
      <c r="T1043" s="331"/>
      <c r="U1043" s="334"/>
      <c r="W1043" s="306"/>
      <c r="X1043" s="306"/>
      <c r="Y1043" s="304"/>
    </row>
    <row r="1044" spans="18:25" x14ac:dyDescent="0.25">
      <c r="R1044" s="333"/>
      <c r="T1044" s="331"/>
      <c r="U1044" s="334"/>
      <c r="W1044" s="306"/>
      <c r="X1044" s="306"/>
      <c r="Y1044" s="304"/>
    </row>
    <row r="1045" spans="18:25" x14ac:dyDescent="0.25">
      <c r="R1045" s="333"/>
      <c r="T1045" s="331"/>
      <c r="U1045" s="334"/>
      <c r="W1045" s="306"/>
      <c r="X1045" s="306"/>
      <c r="Y1045" s="304"/>
    </row>
    <row r="1046" spans="18:25" x14ac:dyDescent="0.25">
      <c r="R1046" s="333"/>
      <c r="T1046" s="331"/>
      <c r="U1046" s="334"/>
      <c r="W1046" s="306"/>
      <c r="X1046" s="306"/>
      <c r="Y1046" s="304"/>
    </row>
    <row r="1047" spans="18:25" x14ac:dyDescent="0.25">
      <c r="R1047" s="333"/>
      <c r="T1047" s="331"/>
      <c r="U1047" s="334"/>
      <c r="W1047" s="306"/>
      <c r="X1047" s="306"/>
      <c r="Y1047" s="304"/>
    </row>
    <row r="1048" spans="18:25" x14ac:dyDescent="0.25">
      <c r="R1048" s="333"/>
      <c r="T1048" s="331"/>
      <c r="U1048" s="334"/>
      <c r="W1048" s="306"/>
      <c r="X1048" s="306"/>
      <c r="Y1048" s="304"/>
    </row>
    <row r="1049" spans="18:25" x14ac:dyDescent="0.25">
      <c r="R1049" s="333"/>
      <c r="T1049" s="331"/>
      <c r="U1049" s="334"/>
      <c r="W1049" s="306"/>
      <c r="X1049" s="306"/>
      <c r="Y1049" s="304"/>
    </row>
    <row r="1050" spans="18:25" x14ac:dyDescent="0.25">
      <c r="R1050" s="333"/>
      <c r="T1050" s="331"/>
      <c r="U1050" s="334"/>
      <c r="W1050" s="306"/>
      <c r="X1050" s="306"/>
      <c r="Y1050" s="304"/>
    </row>
    <row r="1051" spans="18:25" x14ac:dyDescent="0.25">
      <c r="R1051" s="333"/>
      <c r="T1051" s="331"/>
      <c r="U1051" s="334"/>
      <c r="W1051" s="306"/>
      <c r="X1051" s="306"/>
      <c r="Y1051" s="304"/>
    </row>
    <row r="1052" spans="18:25" x14ac:dyDescent="0.25">
      <c r="R1052" s="333"/>
      <c r="T1052" s="331"/>
      <c r="U1052" s="334"/>
      <c r="W1052" s="306"/>
      <c r="X1052" s="306"/>
      <c r="Y1052" s="304"/>
    </row>
    <row r="1053" spans="18:25" x14ac:dyDescent="0.25">
      <c r="R1053" s="333"/>
      <c r="T1053" s="331"/>
      <c r="U1053" s="334"/>
      <c r="W1053" s="306"/>
      <c r="X1053" s="306"/>
      <c r="Y1053" s="304"/>
    </row>
    <row r="1054" spans="18:25" x14ac:dyDescent="0.25">
      <c r="R1054" s="333"/>
      <c r="T1054" s="331"/>
      <c r="U1054" s="334"/>
      <c r="W1054" s="306"/>
      <c r="X1054" s="306"/>
      <c r="Y1054" s="304"/>
    </row>
    <row r="1055" spans="18:25" x14ac:dyDescent="0.25">
      <c r="R1055" s="333"/>
      <c r="T1055" s="331"/>
      <c r="U1055" s="334"/>
      <c r="W1055" s="306"/>
      <c r="X1055" s="306"/>
      <c r="Y1055" s="304"/>
    </row>
    <row r="1056" spans="18:25" x14ac:dyDescent="0.25">
      <c r="R1056" s="333"/>
      <c r="T1056" s="331"/>
      <c r="U1056" s="334"/>
      <c r="W1056" s="306"/>
      <c r="X1056" s="306"/>
      <c r="Y1056" s="304"/>
    </row>
    <row r="1057" spans="18:25" x14ac:dyDescent="0.25">
      <c r="R1057" s="333"/>
      <c r="T1057" s="331"/>
      <c r="U1057" s="334"/>
      <c r="W1057" s="306"/>
      <c r="X1057" s="306"/>
      <c r="Y1057" s="304"/>
    </row>
    <row r="1058" spans="18:25" x14ac:dyDescent="0.25">
      <c r="R1058" s="333"/>
      <c r="T1058" s="331"/>
      <c r="U1058" s="334"/>
      <c r="W1058" s="306"/>
      <c r="X1058" s="306"/>
      <c r="Y1058" s="304"/>
    </row>
    <row r="1059" spans="18:25" x14ac:dyDescent="0.25">
      <c r="R1059" s="333"/>
      <c r="T1059" s="331"/>
      <c r="U1059" s="334"/>
      <c r="W1059" s="306"/>
      <c r="X1059" s="306"/>
      <c r="Y1059" s="304"/>
    </row>
    <row r="1060" spans="18:25" x14ac:dyDescent="0.25">
      <c r="R1060" s="333"/>
      <c r="T1060" s="331"/>
      <c r="U1060" s="334"/>
      <c r="W1060" s="306"/>
      <c r="X1060" s="306"/>
      <c r="Y1060" s="304"/>
    </row>
    <row r="1061" spans="18:25" x14ac:dyDescent="0.25">
      <c r="R1061" s="333"/>
      <c r="T1061" s="331"/>
      <c r="U1061" s="334"/>
      <c r="W1061" s="306"/>
      <c r="X1061" s="306"/>
      <c r="Y1061" s="304"/>
    </row>
    <row r="1062" spans="18:25" x14ac:dyDescent="0.25">
      <c r="R1062" s="333"/>
      <c r="T1062" s="331"/>
      <c r="U1062" s="334"/>
      <c r="W1062" s="306"/>
      <c r="X1062" s="306"/>
      <c r="Y1062" s="304"/>
    </row>
    <row r="1063" spans="18:25" x14ac:dyDescent="0.25">
      <c r="R1063" s="333"/>
      <c r="T1063" s="331"/>
      <c r="U1063" s="334"/>
      <c r="W1063" s="306"/>
      <c r="X1063" s="306"/>
      <c r="Y1063" s="304"/>
    </row>
    <row r="1064" spans="18:25" x14ac:dyDescent="0.25">
      <c r="R1064" s="333"/>
      <c r="T1064" s="331"/>
      <c r="U1064" s="334"/>
      <c r="W1064" s="306"/>
      <c r="X1064" s="306"/>
      <c r="Y1064" s="304"/>
    </row>
    <row r="1065" spans="18:25" x14ac:dyDescent="0.25">
      <c r="R1065" s="333"/>
      <c r="T1065" s="331"/>
      <c r="U1065" s="334"/>
      <c r="W1065" s="306"/>
      <c r="X1065" s="306"/>
      <c r="Y1065" s="304"/>
    </row>
    <row r="1066" spans="18:25" x14ac:dyDescent="0.25">
      <c r="R1066" s="333"/>
      <c r="T1066" s="331"/>
      <c r="U1066" s="334"/>
      <c r="W1066" s="306"/>
      <c r="X1066" s="306"/>
      <c r="Y1066" s="304"/>
    </row>
    <row r="1067" spans="18:25" x14ac:dyDescent="0.25">
      <c r="R1067" s="333"/>
      <c r="T1067" s="331"/>
      <c r="U1067" s="334"/>
      <c r="W1067" s="306"/>
      <c r="X1067" s="306"/>
      <c r="Y1067" s="304"/>
    </row>
    <row r="1068" spans="18:25" x14ac:dyDescent="0.25">
      <c r="R1068" s="333"/>
      <c r="T1068" s="331"/>
      <c r="U1068" s="334"/>
      <c r="W1068" s="306"/>
      <c r="X1068" s="306"/>
      <c r="Y1068" s="304"/>
    </row>
    <row r="1069" spans="18:25" x14ac:dyDescent="0.25">
      <c r="R1069" s="333"/>
      <c r="T1069" s="331"/>
      <c r="U1069" s="334"/>
      <c r="W1069" s="306"/>
      <c r="X1069" s="306"/>
      <c r="Y1069" s="304"/>
    </row>
    <row r="1070" spans="18:25" x14ac:dyDescent="0.25">
      <c r="R1070" s="333"/>
      <c r="T1070" s="331"/>
      <c r="U1070" s="334"/>
      <c r="W1070" s="306"/>
      <c r="X1070" s="306"/>
      <c r="Y1070" s="304"/>
    </row>
    <row r="1071" spans="18:25" x14ac:dyDescent="0.25">
      <c r="R1071" s="333"/>
      <c r="T1071" s="331"/>
      <c r="U1071" s="334"/>
      <c r="W1071" s="306"/>
      <c r="X1071" s="306"/>
      <c r="Y1071" s="304"/>
    </row>
    <row r="1072" spans="18:25" x14ac:dyDescent="0.25">
      <c r="R1072" s="333"/>
      <c r="T1072" s="331"/>
      <c r="U1072" s="334"/>
      <c r="W1072" s="306"/>
      <c r="X1072" s="306"/>
      <c r="Y1072" s="304"/>
    </row>
    <row r="1073" spans="18:25" x14ac:dyDescent="0.25">
      <c r="R1073" s="333"/>
      <c r="T1073" s="331"/>
      <c r="U1073" s="334"/>
      <c r="W1073" s="306"/>
      <c r="X1073" s="306"/>
      <c r="Y1073" s="304"/>
    </row>
    <row r="1074" spans="18:25" x14ac:dyDescent="0.25">
      <c r="R1074" s="333"/>
      <c r="T1074" s="331"/>
      <c r="U1074" s="334"/>
      <c r="W1074" s="306"/>
      <c r="X1074" s="306"/>
      <c r="Y1074" s="304"/>
    </row>
    <row r="1075" spans="18:25" x14ac:dyDescent="0.25">
      <c r="R1075" s="333"/>
      <c r="T1075" s="331"/>
      <c r="U1075" s="334"/>
      <c r="W1075" s="306"/>
      <c r="X1075" s="306"/>
      <c r="Y1075" s="304"/>
    </row>
    <row r="1076" spans="18:25" x14ac:dyDescent="0.25">
      <c r="R1076" s="333"/>
      <c r="T1076" s="331"/>
      <c r="U1076" s="334"/>
      <c r="W1076" s="306"/>
      <c r="X1076" s="306"/>
      <c r="Y1076" s="304"/>
    </row>
    <row r="1077" spans="18:25" x14ac:dyDescent="0.25">
      <c r="R1077" s="333"/>
      <c r="T1077" s="331"/>
      <c r="U1077" s="334"/>
      <c r="W1077" s="306"/>
      <c r="X1077" s="306"/>
      <c r="Y1077" s="304"/>
    </row>
    <row r="1078" spans="18:25" x14ac:dyDescent="0.25">
      <c r="R1078" s="333"/>
      <c r="T1078" s="331"/>
      <c r="U1078" s="334"/>
      <c r="W1078" s="306"/>
      <c r="X1078" s="306"/>
      <c r="Y1078" s="304"/>
    </row>
    <row r="1079" spans="18:25" x14ac:dyDescent="0.25">
      <c r="R1079" s="333"/>
      <c r="T1079" s="331"/>
      <c r="U1079" s="334"/>
      <c r="W1079" s="306"/>
      <c r="X1079" s="306"/>
      <c r="Y1079" s="304"/>
    </row>
    <row r="1080" spans="18:25" x14ac:dyDescent="0.25">
      <c r="R1080" s="333"/>
      <c r="T1080" s="331"/>
      <c r="U1080" s="334"/>
      <c r="W1080" s="306"/>
      <c r="X1080" s="306"/>
      <c r="Y1080" s="304"/>
    </row>
    <row r="1081" spans="18:25" x14ac:dyDescent="0.25">
      <c r="R1081" s="333"/>
      <c r="T1081" s="331"/>
      <c r="U1081" s="334"/>
      <c r="W1081" s="306"/>
      <c r="X1081" s="306"/>
      <c r="Y1081" s="304"/>
    </row>
    <row r="1082" spans="18:25" x14ac:dyDescent="0.25">
      <c r="R1082" s="333"/>
      <c r="T1082" s="331"/>
      <c r="U1082" s="334"/>
      <c r="W1082" s="306"/>
      <c r="X1082" s="306"/>
      <c r="Y1082" s="304"/>
    </row>
    <row r="1083" spans="18:25" x14ac:dyDescent="0.25">
      <c r="R1083" s="333"/>
      <c r="T1083" s="331"/>
      <c r="U1083" s="334"/>
      <c r="W1083" s="306"/>
      <c r="X1083" s="306"/>
      <c r="Y1083" s="304"/>
    </row>
    <row r="1084" spans="18:25" x14ac:dyDescent="0.25">
      <c r="R1084" s="333"/>
      <c r="T1084" s="331"/>
      <c r="U1084" s="334"/>
      <c r="W1084" s="306"/>
      <c r="X1084" s="306"/>
      <c r="Y1084" s="304"/>
    </row>
    <row r="1085" spans="18:25" x14ac:dyDescent="0.25">
      <c r="R1085" s="333"/>
      <c r="T1085" s="331"/>
      <c r="U1085" s="334"/>
      <c r="W1085" s="306"/>
      <c r="X1085" s="306"/>
      <c r="Y1085" s="304"/>
    </row>
    <row r="1086" spans="18:25" x14ac:dyDescent="0.25">
      <c r="R1086" s="333"/>
      <c r="T1086" s="331"/>
      <c r="U1086" s="334"/>
      <c r="W1086" s="306"/>
      <c r="X1086" s="306"/>
      <c r="Y1086" s="304"/>
    </row>
    <row r="1087" spans="18:25" x14ac:dyDescent="0.25">
      <c r="R1087" s="333"/>
      <c r="T1087" s="331"/>
      <c r="U1087" s="334"/>
      <c r="W1087" s="306"/>
      <c r="X1087" s="306"/>
      <c r="Y1087" s="304"/>
    </row>
    <row r="1088" spans="18:25" x14ac:dyDescent="0.25">
      <c r="R1088" s="333"/>
      <c r="T1088" s="331"/>
      <c r="U1088" s="334"/>
      <c r="W1088" s="306"/>
      <c r="X1088" s="306"/>
      <c r="Y1088" s="304"/>
    </row>
    <row r="1089" spans="18:25" x14ac:dyDescent="0.25">
      <c r="R1089" s="333"/>
      <c r="T1089" s="331"/>
      <c r="U1089" s="334"/>
      <c r="W1089" s="306"/>
      <c r="X1089" s="306"/>
      <c r="Y1089" s="304"/>
    </row>
    <row r="1090" spans="18:25" x14ac:dyDescent="0.25">
      <c r="R1090" s="333"/>
      <c r="T1090" s="331"/>
      <c r="U1090" s="334"/>
      <c r="W1090" s="306"/>
      <c r="X1090" s="306"/>
      <c r="Y1090" s="304"/>
    </row>
    <row r="1091" spans="18:25" x14ac:dyDescent="0.25">
      <c r="R1091" s="333"/>
      <c r="T1091" s="331"/>
      <c r="U1091" s="334"/>
      <c r="W1091" s="306"/>
      <c r="X1091" s="306"/>
      <c r="Y1091" s="304"/>
    </row>
    <row r="1092" spans="18:25" x14ac:dyDescent="0.25">
      <c r="R1092" s="333"/>
      <c r="T1092" s="331"/>
      <c r="U1092" s="334"/>
      <c r="W1092" s="306"/>
      <c r="X1092" s="306"/>
      <c r="Y1092" s="304"/>
    </row>
    <row r="1093" spans="18:25" x14ac:dyDescent="0.25">
      <c r="R1093" s="333"/>
      <c r="T1093" s="331"/>
      <c r="U1093" s="334"/>
      <c r="W1093" s="306"/>
      <c r="X1093" s="306"/>
      <c r="Y1093" s="304"/>
    </row>
    <row r="1094" spans="18:25" x14ac:dyDescent="0.25">
      <c r="R1094" s="333"/>
      <c r="T1094" s="331"/>
      <c r="U1094" s="334"/>
      <c r="W1094" s="306"/>
      <c r="X1094" s="306"/>
      <c r="Y1094" s="304"/>
    </row>
    <row r="1095" spans="18:25" x14ac:dyDescent="0.25">
      <c r="R1095" s="333"/>
      <c r="T1095" s="331"/>
      <c r="U1095" s="334"/>
      <c r="W1095" s="306"/>
      <c r="X1095" s="306"/>
      <c r="Y1095" s="304"/>
    </row>
    <row r="1096" spans="18:25" x14ac:dyDescent="0.25">
      <c r="R1096" s="333"/>
      <c r="T1096" s="331"/>
      <c r="U1096" s="334"/>
      <c r="W1096" s="306"/>
      <c r="X1096" s="306"/>
      <c r="Y1096" s="304"/>
    </row>
    <row r="1097" spans="18:25" x14ac:dyDescent="0.25">
      <c r="R1097" s="333"/>
      <c r="T1097" s="331"/>
      <c r="U1097" s="334"/>
      <c r="W1097" s="306"/>
      <c r="X1097" s="306"/>
      <c r="Y1097" s="304"/>
    </row>
    <row r="1098" spans="18:25" x14ac:dyDescent="0.25">
      <c r="R1098" s="333"/>
      <c r="T1098" s="331"/>
      <c r="U1098" s="334"/>
      <c r="W1098" s="306"/>
      <c r="X1098" s="306"/>
      <c r="Y1098" s="304"/>
    </row>
    <row r="1099" spans="18:25" x14ac:dyDescent="0.25">
      <c r="R1099" s="333"/>
      <c r="T1099" s="331"/>
      <c r="U1099" s="334"/>
      <c r="W1099" s="306"/>
      <c r="X1099" s="306"/>
      <c r="Y1099" s="304"/>
    </row>
    <row r="1100" spans="18:25" x14ac:dyDescent="0.25">
      <c r="R1100" s="333"/>
      <c r="T1100" s="331"/>
      <c r="U1100" s="334"/>
      <c r="W1100" s="306"/>
      <c r="X1100" s="306"/>
      <c r="Y1100" s="304"/>
    </row>
    <row r="1101" spans="18:25" x14ac:dyDescent="0.25">
      <c r="R1101" s="333"/>
      <c r="T1101" s="331"/>
      <c r="U1101" s="334"/>
      <c r="W1101" s="306"/>
      <c r="X1101" s="306"/>
      <c r="Y1101" s="304"/>
    </row>
    <row r="1102" spans="18:25" x14ac:dyDescent="0.25">
      <c r="R1102" s="333"/>
      <c r="T1102" s="331"/>
      <c r="U1102" s="334"/>
      <c r="W1102" s="306"/>
      <c r="X1102" s="306"/>
      <c r="Y1102" s="304"/>
    </row>
    <row r="1103" spans="18:25" x14ac:dyDescent="0.25">
      <c r="R1103" s="333"/>
      <c r="T1103" s="331"/>
      <c r="U1103" s="334"/>
      <c r="W1103" s="306"/>
      <c r="X1103" s="306"/>
      <c r="Y1103" s="304"/>
    </row>
    <row r="1104" spans="18:25" x14ac:dyDescent="0.25">
      <c r="R1104" s="333"/>
      <c r="T1104" s="331"/>
      <c r="U1104" s="334"/>
      <c r="W1104" s="306"/>
      <c r="X1104" s="306"/>
      <c r="Y1104" s="304"/>
    </row>
    <row r="1105" spans="18:25" x14ac:dyDescent="0.25">
      <c r="R1105" s="333"/>
      <c r="T1105" s="331"/>
      <c r="U1105" s="334"/>
      <c r="W1105" s="306"/>
      <c r="X1105" s="306"/>
      <c r="Y1105" s="304"/>
    </row>
    <row r="1106" spans="18:25" x14ac:dyDescent="0.25">
      <c r="R1106" s="333"/>
      <c r="T1106" s="331"/>
      <c r="U1106" s="334"/>
      <c r="W1106" s="306"/>
      <c r="X1106" s="306"/>
      <c r="Y1106" s="304"/>
    </row>
    <row r="1107" spans="18:25" x14ac:dyDescent="0.25">
      <c r="R1107" s="333"/>
      <c r="T1107" s="331"/>
      <c r="U1107" s="334"/>
      <c r="W1107" s="306"/>
      <c r="X1107" s="306"/>
      <c r="Y1107" s="304"/>
    </row>
    <row r="1108" spans="18:25" x14ac:dyDescent="0.25">
      <c r="R1108" s="333"/>
      <c r="T1108" s="331"/>
      <c r="U1108" s="334"/>
      <c r="W1108" s="306"/>
      <c r="X1108" s="306"/>
      <c r="Y1108" s="304"/>
    </row>
    <row r="1109" spans="18:25" x14ac:dyDescent="0.25">
      <c r="R1109" s="333"/>
      <c r="T1109" s="331"/>
      <c r="U1109" s="334"/>
      <c r="W1109" s="306"/>
      <c r="X1109" s="306"/>
      <c r="Y1109" s="304"/>
    </row>
    <row r="1110" spans="18:25" x14ac:dyDescent="0.25">
      <c r="R1110" s="333"/>
      <c r="T1110" s="331"/>
      <c r="U1110" s="334"/>
      <c r="W1110" s="306"/>
      <c r="X1110" s="306"/>
      <c r="Y1110" s="304"/>
    </row>
    <row r="1111" spans="18:25" x14ac:dyDescent="0.25">
      <c r="R1111" s="333"/>
      <c r="T1111" s="331"/>
      <c r="U1111" s="334"/>
      <c r="W1111" s="306"/>
      <c r="X1111" s="306"/>
      <c r="Y1111" s="304"/>
    </row>
    <row r="1112" spans="18:25" x14ac:dyDescent="0.25">
      <c r="R1112" s="333"/>
      <c r="T1112" s="331"/>
      <c r="U1112" s="334"/>
      <c r="W1112" s="306"/>
      <c r="X1112" s="306"/>
      <c r="Y1112" s="304"/>
    </row>
    <row r="1113" spans="18:25" x14ac:dyDescent="0.25">
      <c r="R1113" s="333"/>
      <c r="T1113" s="331"/>
      <c r="U1113" s="334"/>
      <c r="W1113" s="306"/>
      <c r="X1113" s="306"/>
      <c r="Y1113" s="304"/>
    </row>
    <row r="1114" spans="18:25" x14ac:dyDescent="0.25">
      <c r="R1114" s="333"/>
      <c r="T1114" s="331"/>
      <c r="U1114" s="334"/>
      <c r="W1114" s="306"/>
      <c r="X1114" s="306"/>
      <c r="Y1114" s="304"/>
    </row>
    <row r="1115" spans="18:25" x14ac:dyDescent="0.25">
      <c r="R1115" s="333"/>
      <c r="T1115" s="331"/>
      <c r="U1115" s="334"/>
      <c r="W1115" s="306"/>
      <c r="X1115" s="306"/>
      <c r="Y1115" s="304"/>
    </row>
    <row r="1116" spans="18:25" x14ac:dyDescent="0.25">
      <c r="R1116" s="333"/>
      <c r="T1116" s="331"/>
      <c r="U1116" s="334"/>
      <c r="W1116" s="306"/>
      <c r="X1116" s="306"/>
      <c r="Y1116" s="304"/>
    </row>
    <row r="1117" spans="18:25" x14ac:dyDescent="0.25">
      <c r="R1117" s="333"/>
      <c r="T1117" s="331"/>
      <c r="U1117" s="334"/>
      <c r="W1117" s="306"/>
      <c r="X1117" s="306"/>
      <c r="Y1117" s="304"/>
    </row>
    <row r="1118" spans="18:25" x14ac:dyDescent="0.25">
      <c r="R1118" s="333"/>
      <c r="T1118" s="331"/>
      <c r="U1118" s="334"/>
      <c r="W1118" s="306"/>
      <c r="X1118" s="306"/>
      <c r="Y1118" s="304"/>
    </row>
    <row r="1119" spans="18:25" x14ac:dyDescent="0.25">
      <c r="R1119" s="333"/>
      <c r="T1119" s="331"/>
      <c r="U1119" s="334"/>
      <c r="W1119" s="306"/>
      <c r="X1119" s="306"/>
      <c r="Y1119" s="304"/>
    </row>
    <row r="1120" spans="18:25" x14ac:dyDescent="0.25">
      <c r="R1120" s="333"/>
      <c r="T1120" s="331"/>
      <c r="U1120" s="334"/>
      <c r="W1120" s="306"/>
      <c r="X1120" s="306"/>
      <c r="Y1120" s="304"/>
    </row>
    <row r="1121" spans="18:25" x14ac:dyDescent="0.25">
      <c r="R1121" s="333"/>
      <c r="T1121" s="331"/>
      <c r="U1121" s="334"/>
      <c r="W1121" s="306"/>
      <c r="X1121" s="306"/>
      <c r="Y1121" s="304"/>
    </row>
    <row r="1122" spans="18:25" x14ac:dyDescent="0.25">
      <c r="R1122" s="333"/>
      <c r="T1122" s="331"/>
      <c r="U1122" s="334"/>
      <c r="W1122" s="306"/>
      <c r="X1122" s="306"/>
      <c r="Y1122" s="304"/>
    </row>
    <row r="1123" spans="18:25" x14ac:dyDescent="0.25">
      <c r="R1123" s="333"/>
      <c r="T1123" s="331"/>
      <c r="U1123" s="334"/>
      <c r="W1123" s="306"/>
      <c r="X1123" s="306"/>
      <c r="Y1123" s="304"/>
    </row>
    <row r="1124" spans="18:25" x14ac:dyDescent="0.25">
      <c r="R1124" s="333"/>
      <c r="T1124" s="331"/>
      <c r="U1124" s="334"/>
      <c r="W1124" s="306"/>
      <c r="X1124" s="306"/>
      <c r="Y1124" s="304"/>
    </row>
    <row r="1125" spans="18:25" x14ac:dyDescent="0.25">
      <c r="R1125" s="333"/>
      <c r="T1125" s="331"/>
      <c r="U1125" s="334"/>
      <c r="W1125" s="306"/>
      <c r="X1125" s="306"/>
      <c r="Y1125" s="304"/>
    </row>
    <row r="1126" spans="18:25" x14ac:dyDescent="0.25">
      <c r="R1126" s="333"/>
      <c r="T1126" s="331"/>
      <c r="U1126" s="334"/>
      <c r="W1126" s="306"/>
      <c r="X1126" s="306"/>
      <c r="Y1126" s="304"/>
    </row>
    <row r="1127" spans="18:25" x14ac:dyDescent="0.25">
      <c r="R1127" s="333"/>
      <c r="T1127" s="331"/>
      <c r="U1127" s="334"/>
      <c r="W1127" s="306"/>
      <c r="X1127" s="306"/>
      <c r="Y1127" s="304"/>
    </row>
    <row r="1128" spans="18:25" x14ac:dyDescent="0.25">
      <c r="R1128" s="333"/>
      <c r="T1128" s="331"/>
      <c r="U1128" s="334"/>
      <c r="W1128" s="306"/>
      <c r="X1128" s="306"/>
      <c r="Y1128" s="304"/>
    </row>
    <row r="1129" spans="18:25" x14ac:dyDescent="0.25">
      <c r="R1129" s="333"/>
      <c r="T1129" s="331"/>
      <c r="U1129" s="334"/>
      <c r="W1129" s="306"/>
      <c r="X1129" s="306"/>
      <c r="Y1129" s="304"/>
    </row>
    <row r="1130" spans="18:25" x14ac:dyDescent="0.25">
      <c r="R1130" s="333"/>
      <c r="T1130" s="331"/>
      <c r="U1130" s="334"/>
      <c r="W1130" s="306"/>
      <c r="X1130" s="306"/>
      <c r="Y1130" s="304"/>
    </row>
    <row r="1131" spans="18:25" x14ac:dyDescent="0.25">
      <c r="R1131" s="333"/>
      <c r="T1131" s="331"/>
      <c r="U1131" s="334"/>
      <c r="W1131" s="306"/>
      <c r="X1131" s="306"/>
      <c r="Y1131" s="304"/>
    </row>
    <row r="1132" spans="18:25" x14ac:dyDescent="0.25">
      <c r="R1132" s="333"/>
      <c r="T1132" s="331"/>
      <c r="U1132" s="334"/>
      <c r="W1132" s="306"/>
      <c r="X1132" s="306"/>
      <c r="Y1132" s="304"/>
    </row>
    <row r="1133" spans="18:25" x14ac:dyDescent="0.25">
      <c r="R1133" s="333"/>
      <c r="T1133" s="331"/>
      <c r="U1133" s="334"/>
      <c r="W1133" s="306"/>
      <c r="X1133" s="306"/>
      <c r="Y1133" s="304"/>
    </row>
    <row r="1134" spans="18:25" x14ac:dyDescent="0.25">
      <c r="R1134" s="333"/>
      <c r="T1134" s="331"/>
      <c r="U1134" s="334"/>
      <c r="W1134" s="306"/>
      <c r="X1134" s="306"/>
      <c r="Y1134" s="304"/>
    </row>
    <row r="1135" spans="18:25" x14ac:dyDescent="0.25">
      <c r="R1135" s="333"/>
      <c r="T1135" s="331"/>
      <c r="U1135" s="334"/>
      <c r="W1135" s="306"/>
      <c r="X1135" s="306"/>
      <c r="Y1135" s="304"/>
    </row>
    <row r="1136" spans="18:25" x14ac:dyDescent="0.25">
      <c r="R1136" s="333"/>
      <c r="T1136" s="331"/>
      <c r="U1136" s="334"/>
      <c r="W1136" s="306"/>
      <c r="X1136" s="306"/>
      <c r="Y1136" s="304"/>
    </row>
    <row r="1137" spans="18:25" x14ac:dyDescent="0.25">
      <c r="R1137" s="333"/>
      <c r="T1137" s="331"/>
      <c r="U1137" s="334"/>
      <c r="W1137" s="306"/>
      <c r="X1137" s="306"/>
      <c r="Y1137" s="304"/>
    </row>
    <row r="1138" spans="18:25" x14ac:dyDescent="0.25">
      <c r="R1138" s="333"/>
      <c r="T1138" s="331"/>
      <c r="U1138" s="334"/>
      <c r="W1138" s="306"/>
      <c r="X1138" s="306"/>
      <c r="Y1138" s="304"/>
    </row>
    <row r="1139" spans="18:25" x14ac:dyDescent="0.25">
      <c r="R1139" s="333"/>
      <c r="T1139" s="331"/>
      <c r="U1139" s="334"/>
      <c r="W1139" s="306"/>
      <c r="X1139" s="306"/>
      <c r="Y1139" s="304"/>
    </row>
    <row r="1140" spans="18:25" x14ac:dyDescent="0.25">
      <c r="R1140" s="333"/>
      <c r="T1140" s="331"/>
      <c r="U1140" s="334"/>
      <c r="W1140" s="306"/>
      <c r="X1140" s="306"/>
      <c r="Y1140" s="304"/>
    </row>
    <row r="1141" spans="18:25" x14ac:dyDescent="0.25">
      <c r="R1141" s="333"/>
      <c r="T1141" s="331"/>
      <c r="U1141" s="334"/>
      <c r="W1141" s="306"/>
      <c r="X1141" s="306"/>
      <c r="Y1141" s="304"/>
    </row>
    <row r="1142" spans="18:25" x14ac:dyDescent="0.25">
      <c r="R1142" s="333"/>
      <c r="T1142" s="331"/>
      <c r="U1142" s="334"/>
      <c r="W1142" s="306"/>
      <c r="X1142" s="306"/>
      <c r="Y1142" s="304"/>
    </row>
    <row r="1143" spans="18:25" x14ac:dyDescent="0.25">
      <c r="R1143" s="333"/>
      <c r="T1143" s="331"/>
      <c r="U1143" s="334"/>
      <c r="W1143" s="306"/>
      <c r="X1143" s="306"/>
      <c r="Y1143" s="304"/>
    </row>
    <row r="1144" spans="18:25" x14ac:dyDescent="0.25">
      <c r="R1144" s="333"/>
      <c r="T1144" s="331"/>
      <c r="U1144" s="334"/>
      <c r="W1144" s="306"/>
      <c r="X1144" s="306"/>
      <c r="Y1144" s="304"/>
    </row>
    <row r="1145" spans="18:25" x14ac:dyDescent="0.25">
      <c r="R1145" s="333"/>
      <c r="T1145" s="331"/>
      <c r="U1145" s="334"/>
      <c r="W1145" s="306"/>
      <c r="X1145" s="306"/>
      <c r="Y1145" s="304"/>
    </row>
    <row r="1146" spans="18:25" x14ac:dyDescent="0.25">
      <c r="R1146" s="333"/>
      <c r="T1146" s="331"/>
      <c r="U1146" s="334"/>
      <c r="W1146" s="306"/>
      <c r="X1146" s="306"/>
      <c r="Y1146" s="304"/>
    </row>
    <row r="1147" spans="18:25" x14ac:dyDescent="0.25">
      <c r="R1147" s="333"/>
      <c r="T1147" s="331"/>
      <c r="U1147" s="334"/>
      <c r="W1147" s="306"/>
      <c r="X1147" s="306"/>
      <c r="Y1147" s="304"/>
    </row>
    <row r="1148" spans="18:25" x14ac:dyDescent="0.25">
      <c r="R1148" s="333"/>
      <c r="T1148" s="331"/>
      <c r="U1148" s="334"/>
      <c r="W1148" s="306"/>
      <c r="X1148" s="306"/>
      <c r="Y1148" s="304"/>
    </row>
    <row r="1149" spans="18:25" x14ac:dyDescent="0.25">
      <c r="R1149" s="333"/>
      <c r="T1149" s="331"/>
      <c r="U1149" s="334"/>
      <c r="W1149" s="306"/>
      <c r="X1149" s="306"/>
      <c r="Y1149" s="304"/>
    </row>
    <row r="1150" spans="18:25" x14ac:dyDescent="0.25">
      <c r="R1150" s="333"/>
      <c r="T1150" s="331"/>
      <c r="U1150" s="334"/>
      <c r="W1150" s="306"/>
      <c r="X1150" s="306"/>
      <c r="Y1150" s="304"/>
    </row>
    <row r="1151" spans="18:25" x14ac:dyDescent="0.25">
      <c r="R1151" s="333"/>
      <c r="T1151" s="331"/>
      <c r="U1151" s="334"/>
      <c r="W1151" s="306"/>
      <c r="X1151" s="306"/>
      <c r="Y1151" s="304"/>
    </row>
    <row r="1152" spans="18:25" x14ac:dyDescent="0.25">
      <c r="R1152" s="333"/>
      <c r="T1152" s="331"/>
      <c r="U1152" s="334"/>
      <c r="W1152" s="306"/>
      <c r="X1152" s="306"/>
      <c r="Y1152" s="304"/>
    </row>
    <row r="1153" spans="18:25" x14ac:dyDescent="0.25">
      <c r="R1153" s="333"/>
      <c r="T1153" s="331"/>
      <c r="U1153" s="334"/>
      <c r="W1153" s="306"/>
      <c r="X1153" s="306"/>
      <c r="Y1153" s="304"/>
    </row>
    <row r="1154" spans="18:25" x14ac:dyDescent="0.25">
      <c r="R1154" s="333"/>
      <c r="T1154" s="331"/>
      <c r="U1154" s="334"/>
      <c r="W1154" s="306"/>
      <c r="X1154" s="306"/>
      <c r="Y1154" s="304"/>
    </row>
    <row r="1155" spans="18:25" x14ac:dyDescent="0.25">
      <c r="R1155" s="333"/>
      <c r="T1155" s="331"/>
      <c r="U1155" s="334"/>
      <c r="W1155" s="306"/>
      <c r="X1155" s="306"/>
      <c r="Y1155" s="304"/>
    </row>
    <row r="1156" spans="18:25" x14ac:dyDescent="0.25">
      <c r="R1156" s="333"/>
      <c r="T1156" s="331"/>
      <c r="U1156" s="334"/>
      <c r="W1156" s="306"/>
      <c r="X1156" s="306"/>
      <c r="Y1156" s="304"/>
    </row>
    <row r="1157" spans="18:25" x14ac:dyDescent="0.25">
      <c r="R1157" s="333"/>
      <c r="T1157" s="331"/>
      <c r="U1157" s="334"/>
      <c r="W1157" s="306"/>
      <c r="X1157" s="306"/>
      <c r="Y1157" s="304"/>
    </row>
    <row r="1158" spans="18:25" x14ac:dyDescent="0.25">
      <c r="R1158" s="333"/>
      <c r="T1158" s="331"/>
      <c r="U1158" s="334"/>
      <c r="W1158" s="306"/>
      <c r="X1158" s="306"/>
      <c r="Y1158" s="304"/>
    </row>
    <row r="1159" spans="18:25" x14ac:dyDescent="0.25">
      <c r="R1159" s="333"/>
      <c r="T1159" s="331"/>
      <c r="U1159" s="334"/>
      <c r="W1159" s="306"/>
      <c r="X1159" s="306"/>
      <c r="Y1159" s="304"/>
    </row>
    <row r="1160" spans="18:25" x14ac:dyDescent="0.25">
      <c r="R1160" s="333"/>
      <c r="T1160" s="331"/>
      <c r="U1160" s="334"/>
      <c r="W1160" s="306"/>
      <c r="X1160" s="306"/>
      <c r="Y1160" s="304"/>
    </row>
    <row r="1161" spans="18:25" x14ac:dyDescent="0.25">
      <c r="R1161" s="333"/>
      <c r="T1161" s="331"/>
      <c r="U1161" s="334"/>
      <c r="W1161" s="306"/>
      <c r="X1161" s="306"/>
      <c r="Y1161" s="304"/>
    </row>
    <row r="1162" spans="18:25" x14ac:dyDescent="0.25">
      <c r="R1162" s="333"/>
      <c r="T1162" s="331"/>
      <c r="U1162" s="334"/>
      <c r="W1162" s="306"/>
      <c r="X1162" s="306"/>
      <c r="Y1162" s="304"/>
    </row>
    <row r="1163" spans="18:25" x14ac:dyDescent="0.25">
      <c r="R1163" s="333"/>
      <c r="T1163" s="331"/>
      <c r="U1163" s="334"/>
      <c r="W1163" s="306"/>
      <c r="X1163" s="306"/>
      <c r="Y1163" s="304"/>
    </row>
    <row r="1164" spans="18:25" x14ac:dyDescent="0.25">
      <c r="R1164" s="333"/>
      <c r="T1164" s="331"/>
      <c r="U1164" s="334"/>
      <c r="W1164" s="306"/>
      <c r="X1164" s="306"/>
      <c r="Y1164" s="304"/>
    </row>
    <row r="1165" spans="18:25" x14ac:dyDescent="0.25">
      <c r="R1165" s="333"/>
      <c r="T1165" s="331"/>
      <c r="U1165" s="334"/>
      <c r="W1165" s="306"/>
      <c r="X1165" s="306"/>
      <c r="Y1165" s="304"/>
    </row>
    <row r="1166" spans="18:25" x14ac:dyDescent="0.25">
      <c r="R1166" s="333"/>
      <c r="T1166" s="331"/>
      <c r="U1166" s="334"/>
      <c r="W1166" s="306"/>
      <c r="X1166" s="306"/>
      <c r="Y1166" s="304"/>
    </row>
    <row r="1167" spans="18:25" x14ac:dyDescent="0.25">
      <c r="R1167" s="333"/>
      <c r="T1167" s="331"/>
      <c r="U1167" s="334"/>
      <c r="W1167" s="306"/>
      <c r="X1167" s="306"/>
      <c r="Y1167" s="304"/>
    </row>
    <row r="1168" spans="18:25" x14ac:dyDescent="0.25">
      <c r="R1168" s="333"/>
      <c r="T1168" s="331"/>
      <c r="U1168" s="334"/>
      <c r="W1168" s="306"/>
      <c r="X1168" s="306"/>
      <c r="Y1168" s="304"/>
    </row>
    <row r="1169" spans="18:25" x14ac:dyDescent="0.25">
      <c r="R1169" s="333"/>
      <c r="T1169" s="331"/>
      <c r="U1169" s="334"/>
      <c r="W1169" s="306"/>
      <c r="X1169" s="306"/>
      <c r="Y1169" s="304"/>
    </row>
    <row r="1170" spans="18:25" x14ac:dyDescent="0.25">
      <c r="R1170" s="333"/>
      <c r="T1170" s="331"/>
      <c r="U1170" s="334"/>
      <c r="W1170" s="306"/>
      <c r="X1170" s="306"/>
      <c r="Y1170" s="304"/>
    </row>
    <row r="1171" spans="18:25" x14ac:dyDescent="0.25">
      <c r="R1171" s="333"/>
      <c r="T1171" s="331"/>
      <c r="U1171" s="334"/>
      <c r="W1171" s="306"/>
      <c r="X1171" s="306"/>
      <c r="Y1171" s="304"/>
    </row>
    <row r="1172" spans="18:25" x14ac:dyDescent="0.25">
      <c r="R1172" s="333"/>
      <c r="T1172" s="331"/>
      <c r="U1172" s="334"/>
      <c r="W1172" s="306"/>
      <c r="X1172" s="306"/>
      <c r="Y1172" s="304"/>
    </row>
    <row r="1173" spans="18:25" x14ac:dyDescent="0.25">
      <c r="R1173" s="333"/>
      <c r="T1173" s="331"/>
      <c r="U1173" s="334"/>
      <c r="W1173" s="306"/>
      <c r="X1173" s="306"/>
      <c r="Y1173" s="304"/>
    </row>
    <row r="1174" spans="18:25" x14ac:dyDescent="0.25">
      <c r="R1174" s="333"/>
      <c r="T1174" s="331"/>
      <c r="U1174" s="334"/>
      <c r="W1174" s="306"/>
      <c r="X1174" s="306"/>
      <c r="Y1174" s="304"/>
    </row>
    <row r="1175" spans="18:25" x14ac:dyDescent="0.25">
      <c r="R1175" s="333"/>
      <c r="T1175" s="331"/>
      <c r="U1175" s="334"/>
      <c r="W1175" s="306"/>
      <c r="X1175" s="306"/>
      <c r="Y1175" s="304"/>
    </row>
    <row r="1176" spans="18:25" x14ac:dyDescent="0.25">
      <c r="R1176" s="333"/>
      <c r="T1176" s="331"/>
      <c r="U1176" s="334"/>
      <c r="W1176" s="306"/>
      <c r="X1176" s="306"/>
      <c r="Y1176" s="304"/>
    </row>
    <row r="1177" spans="18:25" x14ac:dyDescent="0.25">
      <c r="R1177" s="333"/>
      <c r="T1177" s="331"/>
      <c r="U1177" s="334"/>
      <c r="W1177" s="306"/>
      <c r="X1177" s="306"/>
      <c r="Y1177" s="304"/>
    </row>
    <row r="1178" spans="18:25" x14ac:dyDescent="0.25">
      <c r="R1178" s="333"/>
      <c r="T1178" s="331"/>
      <c r="U1178" s="334"/>
      <c r="W1178" s="306"/>
      <c r="X1178" s="306"/>
      <c r="Y1178" s="304"/>
    </row>
    <row r="1179" spans="18:25" x14ac:dyDescent="0.25">
      <c r="R1179" s="333"/>
      <c r="T1179" s="331"/>
      <c r="U1179" s="334"/>
      <c r="W1179" s="306"/>
      <c r="X1179" s="306"/>
      <c r="Y1179" s="304"/>
    </row>
    <row r="1180" spans="18:25" x14ac:dyDescent="0.25">
      <c r="R1180" s="333"/>
      <c r="T1180" s="331"/>
      <c r="U1180" s="334"/>
      <c r="W1180" s="306"/>
      <c r="X1180" s="306"/>
      <c r="Y1180" s="304"/>
    </row>
    <row r="1181" spans="18:25" x14ac:dyDescent="0.25">
      <c r="R1181" s="333"/>
      <c r="T1181" s="331"/>
      <c r="U1181" s="334"/>
      <c r="W1181" s="306"/>
      <c r="X1181" s="306"/>
      <c r="Y1181" s="304"/>
    </row>
    <row r="1182" spans="18:25" x14ac:dyDescent="0.25">
      <c r="R1182" s="333"/>
      <c r="T1182" s="331"/>
      <c r="U1182" s="334"/>
      <c r="W1182" s="306"/>
      <c r="X1182" s="306"/>
      <c r="Y1182" s="304"/>
    </row>
    <row r="1183" spans="18:25" x14ac:dyDescent="0.25">
      <c r="R1183" s="333"/>
      <c r="T1183" s="331"/>
      <c r="U1183" s="334"/>
      <c r="W1183" s="306"/>
      <c r="X1183" s="306"/>
      <c r="Y1183" s="304"/>
    </row>
    <row r="1184" spans="18:25" x14ac:dyDescent="0.25">
      <c r="R1184" s="333"/>
      <c r="T1184" s="331"/>
      <c r="U1184" s="334"/>
      <c r="W1184" s="306"/>
      <c r="X1184" s="306"/>
      <c r="Y1184" s="304"/>
    </row>
    <row r="1185" spans="18:25" x14ac:dyDescent="0.25">
      <c r="R1185" s="333"/>
      <c r="T1185" s="331"/>
      <c r="U1185" s="334"/>
      <c r="W1185" s="306"/>
      <c r="X1185" s="306"/>
      <c r="Y1185" s="304"/>
    </row>
    <row r="1186" spans="18:25" x14ac:dyDescent="0.25">
      <c r="R1186" s="333"/>
      <c r="T1186" s="331"/>
      <c r="U1186" s="334"/>
      <c r="W1186" s="306"/>
      <c r="X1186" s="306"/>
      <c r="Y1186" s="304"/>
    </row>
    <row r="1187" spans="18:25" x14ac:dyDescent="0.25">
      <c r="R1187" s="333"/>
      <c r="T1187" s="331"/>
      <c r="U1187" s="334"/>
      <c r="W1187" s="306"/>
      <c r="X1187" s="306"/>
      <c r="Y1187" s="304"/>
    </row>
    <row r="1188" spans="18:25" x14ac:dyDescent="0.25">
      <c r="R1188" s="333"/>
      <c r="T1188" s="331"/>
      <c r="U1188" s="334"/>
      <c r="W1188" s="306"/>
      <c r="X1188" s="306"/>
      <c r="Y1188" s="304"/>
    </row>
    <row r="1189" spans="18:25" x14ac:dyDescent="0.25">
      <c r="R1189" s="333"/>
      <c r="T1189" s="331"/>
      <c r="U1189" s="334"/>
      <c r="W1189" s="306"/>
      <c r="X1189" s="306"/>
      <c r="Y1189" s="304"/>
    </row>
    <row r="1190" spans="18:25" x14ac:dyDescent="0.25">
      <c r="R1190" s="333"/>
      <c r="T1190" s="331"/>
      <c r="U1190" s="334"/>
      <c r="W1190" s="306"/>
      <c r="X1190" s="306"/>
      <c r="Y1190" s="304"/>
    </row>
    <row r="1191" spans="18:25" x14ac:dyDescent="0.25">
      <c r="R1191" s="333"/>
      <c r="T1191" s="331"/>
      <c r="U1191" s="334"/>
      <c r="W1191" s="306"/>
      <c r="X1191" s="306"/>
      <c r="Y1191" s="304"/>
    </row>
    <row r="1192" spans="18:25" x14ac:dyDescent="0.25">
      <c r="R1192" s="333"/>
      <c r="T1192" s="331"/>
      <c r="U1192" s="334"/>
      <c r="W1192" s="306"/>
      <c r="X1192" s="306"/>
      <c r="Y1192" s="304"/>
    </row>
    <row r="1193" spans="18:25" x14ac:dyDescent="0.25">
      <c r="R1193" s="333"/>
      <c r="T1193" s="331"/>
      <c r="U1193" s="334"/>
      <c r="W1193" s="306"/>
      <c r="X1193" s="306"/>
      <c r="Y1193" s="304"/>
    </row>
    <row r="1194" spans="18:25" x14ac:dyDescent="0.25">
      <c r="R1194" s="333"/>
      <c r="T1194" s="331"/>
      <c r="U1194" s="334"/>
      <c r="W1194" s="306"/>
      <c r="X1194" s="306"/>
      <c r="Y1194" s="304"/>
    </row>
    <row r="1195" spans="18:25" x14ac:dyDescent="0.25">
      <c r="R1195" s="333"/>
      <c r="T1195" s="331"/>
      <c r="U1195" s="334"/>
      <c r="W1195" s="306"/>
      <c r="X1195" s="306"/>
      <c r="Y1195" s="304"/>
    </row>
    <row r="1196" spans="18:25" x14ac:dyDescent="0.25">
      <c r="R1196" s="333"/>
      <c r="T1196" s="331"/>
      <c r="U1196" s="334"/>
      <c r="W1196" s="306"/>
      <c r="X1196" s="306"/>
      <c r="Y1196" s="304"/>
    </row>
    <row r="1197" spans="18:25" x14ac:dyDescent="0.25">
      <c r="R1197" s="333"/>
      <c r="T1197" s="331"/>
      <c r="U1197" s="334"/>
      <c r="W1197" s="306"/>
      <c r="X1197" s="306"/>
      <c r="Y1197" s="304"/>
    </row>
    <row r="1198" spans="18:25" x14ac:dyDescent="0.25">
      <c r="R1198" s="333"/>
      <c r="T1198" s="331"/>
      <c r="U1198" s="334"/>
      <c r="W1198" s="306"/>
      <c r="X1198" s="306"/>
      <c r="Y1198" s="304"/>
    </row>
    <row r="1199" spans="18:25" x14ac:dyDescent="0.25">
      <c r="R1199" s="333"/>
      <c r="T1199" s="331"/>
      <c r="U1199" s="334"/>
      <c r="W1199" s="306"/>
      <c r="X1199" s="306"/>
      <c r="Y1199" s="304"/>
    </row>
    <row r="1200" spans="18:25" x14ac:dyDescent="0.25">
      <c r="R1200" s="333"/>
      <c r="T1200" s="331"/>
      <c r="U1200" s="334"/>
      <c r="W1200" s="306"/>
      <c r="X1200" s="306"/>
      <c r="Y1200" s="304"/>
    </row>
    <row r="1201" spans="18:25" x14ac:dyDescent="0.25">
      <c r="R1201" s="333"/>
      <c r="T1201" s="331"/>
      <c r="U1201" s="334"/>
      <c r="W1201" s="306"/>
      <c r="X1201" s="306"/>
      <c r="Y1201" s="304"/>
    </row>
    <row r="1202" spans="18:25" x14ac:dyDescent="0.25">
      <c r="R1202" s="333"/>
      <c r="T1202" s="331"/>
      <c r="U1202" s="334"/>
      <c r="W1202" s="306"/>
      <c r="X1202" s="306"/>
      <c r="Y1202" s="304"/>
    </row>
    <row r="1203" spans="18:25" x14ac:dyDescent="0.25">
      <c r="R1203" s="333"/>
      <c r="T1203" s="331"/>
      <c r="U1203" s="334"/>
      <c r="W1203" s="306"/>
      <c r="X1203" s="306"/>
      <c r="Y1203" s="304"/>
    </row>
    <row r="1204" spans="18:25" x14ac:dyDescent="0.25">
      <c r="R1204" s="333"/>
      <c r="T1204" s="331"/>
      <c r="U1204" s="334"/>
      <c r="W1204" s="306"/>
      <c r="X1204" s="306"/>
      <c r="Y1204" s="304"/>
    </row>
    <row r="1205" spans="18:25" x14ac:dyDescent="0.25">
      <c r="R1205" s="333"/>
      <c r="T1205" s="331"/>
      <c r="U1205" s="334"/>
      <c r="W1205" s="306"/>
      <c r="X1205" s="306"/>
      <c r="Y1205" s="304"/>
    </row>
    <row r="1206" spans="18:25" x14ac:dyDescent="0.25">
      <c r="R1206" s="333"/>
      <c r="T1206" s="331"/>
      <c r="U1206" s="334"/>
      <c r="W1206" s="306"/>
      <c r="X1206" s="306"/>
      <c r="Y1206" s="304"/>
    </row>
  </sheetData>
  <phoneticPr fontId="40" type="noConversion"/>
  <conditionalFormatting sqref="H1">
    <cfRule type="containsText" dxfId="985" priority="2" operator="containsText" text=" ">
      <formula>NOT(ISERROR(SEARCH(" ",H1)))</formula>
    </cfRule>
  </conditionalFormatting>
  <conditionalFormatting sqref="H2">
    <cfRule type="containsText" dxfId="984" priority="1" operator="containsText" text=" ">
      <formula>NOT(ISERROR(SEARCH(" ",H2)))</formula>
    </cfRule>
  </conditionalFormatting>
  <conditionalFormatting sqref="G4:H4">
    <cfRule type="containsText" dxfId="983" priority="4" operator="containsText" text=" ">
      <formula>NOT(ISERROR(SEARCH(" ",G4)))</formula>
    </cfRule>
  </conditionalFormatting>
  <conditionalFormatting sqref="I1:I4">
    <cfRule type="containsText" dxfId="982" priority="3" operator="containsText" text=" ">
      <formula>NOT(ISERROR(SEARCH(" ",I1)))</formula>
    </cfRule>
  </conditionalFormatting>
  <conditionalFormatting sqref="A1:F4 G3:H3 G1:G2">
    <cfRule type="containsText" dxfId="981" priority="6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7"/>
  <sheetViews>
    <sheetView workbookViewId="0">
      <selection activeCell="Z4" sqref="Z4"/>
    </sheetView>
  </sheetViews>
  <sheetFormatPr defaultColWidth="9" defaultRowHeight="15.6" x14ac:dyDescent="0.25"/>
  <cols>
    <col min="1" max="1" width="9.88671875" style="1" customWidth="1"/>
    <col min="2" max="2" width="33.77734375" style="1" customWidth="1"/>
    <col min="3" max="3" width="16.88671875" style="1" customWidth="1"/>
    <col min="4" max="6" width="9" style="1"/>
    <col min="7" max="7" width="9.44140625" style="1" customWidth="1"/>
    <col min="8" max="8" width="5.109375" style="1" customWidth="1"/>
    <col min="9" max="9" width="7.109375" style="1" customWidth="1"/>
    <col min="10" max="11" width="10.109375" style="1" customWidth="1"/>
    <col min="12" max="12" width="9.44140625" style="1" customWidth="1"/>
    <col min="13" max="13" width="5" style="1" customWidth="1"/>
    <col min="14" max="14" width="7.109375" style="1" customWidth="1"/>
    <col min="15" max="15" width="5.44140625" style="1" customWidth="1"/>
    <col min="16" max="16" width="10" style="1" customWidth="1"/>
    <col min="17" max="17" width="9.44140625" style="1" customWidth="1"/>
    <col min="18" max="18" width="4.77734375" style="1" customWidth="1"/>
    <col min="19" max="19" width="7.109375" style="1" customWidth="1"/>
    <col min="20" max="20" width="5.44140625" style="1" customWidth="1"/>
    <col min="21" max="21" width="8.88671875" style="1" customWidth="1"/>
    <col min="22" max="23" width="9" style="1"/>
    <col min="24" max="24" width="11.6640625" style="1" customWidth="1"/>
    <col min="25" max="25" width="11.44140625" style="1" customWidth="1"/>
    <col min="26" max="16379" width="9" style="1"/>
  </cols>
  <sheetData>
    <row r="1" spans="1:29" x14ac:dyDescent="0.35">
      <c r="A1" s="2" t="s">
        <v>0</v>
      </c>
      <c r="B1" s="30" t="s">
        <v>0</v>
      </c>
      <c r="C1" s="86" t="s">
        <v>0</v>
      </c>
    </row>
    <row r="2" spans="1:29" x14ac:dyDescent="0.35">
      <c r="A2" s="2" t="s">
        <v>7</v>
      </c>
      <c r="B2" s="30" t="s">
        <v>9</v>
      </c>
      <c r="C2" s="86" t="s">
        <v>7</v>
      </c>
      <c r="E2" s="65"/>
    </row>
    <row r="3" spans="1:29" x14ac:dyDescent="0.35">
      <c r="A3" s="2" t="s">
        <v>727</v>
      </c>
      <c r="B3" s="30" t="s">
        <v>749</v>
      </c>
      <c r="C3" s="86" t="s">
        <v>731</v>
      </c>
      <c r="E3" s="69"/>
      <c r="G3" s="1" t="s">
        <v>371</v>
      </c>
      <c r="L3" s="1" t="s">
        <v>372</v>
      </c>
      <c r="Q3" s="1" t="s">
        <v>372</v>
      </c>
    </row>
    <row r="4" spans="1:29" s="69" customFormat="1" ht="79.2" x14ac:dyDescent="0.25">
      <c r="A4" s="60" t="s">
        <v>750</v>
      </c>
      <c r="B4" s="4" t="s">
        <v>622</v>
      </c>
      <c r="C4" s="87" t="s">
        <v>751</v>
      </c>
      <c r="E4" s="88"/>
      <c r="G4" s="36" t="s">
        <v>544</v>
      </c>
      <c r="H4" s="37" t="s">
        <v>390</v>
      </c>
      <c r="I4" s="37" t="s">
        <v>391</v>
      </c>
      <c r="J4" s="38" t="s">
        <v>392</v>
      </c>
      <c r="K4" s="90" t="s">
        <v>752</v>
      </c>
      <c r="L4" s="36" t="s">
        <v>544</v>
      </c>
      <c r="M4" s="37" t="s">
        <v>390</v>
      </c>
      <c r="N4" s="37" t="s">
        <v>391</v>
      </c>
      <c r="O4" s="38" t="s">
        <v>392</v>
      </c>
      <c r="P4" s="90" t="s">
        <v>752</v>
      </c>
      <c r="Q4" s="36" t="s">
        <v>544</v>
      </c>
      <c r="R4" s="37" t="s">
        <v>390</v>
      </c>
      <c r="S4" s="37" t="s">
        <v>391</v>
      </c>
      <c r="T4" s="38" t="s">
        <v>392</v>
      </c>
      <c r="U4" s="90" t="s">
        <v>394</v>
      </c>
      <c r="X4" s="22">
        <f>'抽奖|MoonBless'!DN4</f>
        <v>0</v>
      </c>
      <c r="Y4" s="91" t="str">
        <f>'抽奖|MoonBless'!DO4</f>
        <v>人民币价值</v>
      </c>
      <c r="Z4" s="92" t="str">
        <f>'抽奖|MoonBless'!DP4</f>
        <v>价值
钻石价值</v>
      </c>
      <c r="AA4" s="92" t="s">
        <v>394</v>
      </c>
      <c r="AB4" s="91" t="str">
        <f>'抽奖|MoonBless'!DQ4</f>
        <v>物品类型</v>
      </c>
      <c r="AC4" s="93" t="str">
        <f>'抽奖|MoonBless'!DR4</f>
        <v>id</v>
      </c>
    </row>
    <row r="5" spans="1:29" x14ac:dyDescent="0.25">
      <c r="A5" s="1">
        <v>1</v>
      </c>
      <c r="B5" s="1" t="str">
        <f>H5&amp;"|"&amp;I5&amp;"|"&amp;J5&amp;","&amp;M5&amp;"|"&amp;N5&amp;"|"&amp;O5&amp;","&amp;R5&amp;"|"&amp;S5&amp;"|"&amp;T5</f>
        <v>1|2|50000,2|1001|2,2|1002|2</v>
      </c>
      <c r="C5" s="1">
        <v>1</v>
      </c>
      <c r="G5" s="40" t="s">
        <v>375</v>
      </c>
      <c r="H5" s="11">
        <f>VLOOKUP(G5,$X:$AC,5,0)</f>
        <v>1</v>
      </c>
      <c r="I5" s="11">
        <f>VLOOKUP(G5,$X:$AC,6,0)</f>
        <v>2</v>
      </c>
      <c r="J5" s="41">
        <v>50000</v>
      </c>
      <c r="K5" s="19">
        <f>VLOOKUP(G5,$X:$AC,4,0)*J5</f>
        <v>50000</v>
      </c>
      <c r="L5" s="40" t="s">
        <v>397</v>
      </c>
      <c r="M5" s="11">
        <f>VLOOKUP(L5,$X:$AC,5,0)</f>
        <v>2</v>
      </c>
      <c r="N5" s="11">
        <f>VLOOKUP(L5,$X:$AC,6,0)</f>
        <v>1001</v>
      </c>
      <c r="O5" s="41">
        <v>2</v>
      </c>
      <c r="P5" s="19">
        <f>VLOOKUP(L5,$X:$AC,4,0)*O5</f>
        <v>40000</v>
      </c>
      <c r="Q5" s="40" t="s">
        <v>398</v>
      </c>
      <c r="R5" s="11">
        <f>VLOOKUP(Q5,$X:$AC,5,0)</f>
        <v>2</v>
      </c>
      <c r="S5" s="11">
        <f>VLOOKUP(Q5,$X:$AC,6,0)</f>
        <v>1002</v>
      </c>
      <c r="T5" s="41">
        <v>2</v>
      </c>
      <c r="U5" s="19">
        <f>VLOOKUP(Q5,$X:$AC,4,0)*T5</f>
        <v>100000</v>
      </c>
      <c r="X5" s="10" t="str">
        <f>'抽奖|MoonBless'!DN5</f>
        <v>人民币</v>
      </c>
      <c r="Y5" s="11">
        <f>'抽奖|MoonBless'!DO5</f>
        <v>1</v>
      </c>
      <c r="Z5" s="11">
        <f>'抽奖|MoonBless'!DP5</f>
        <v>20</v>
      </c>
      <c r="AA5" s="11">
        <f>Z5/$Z$7</f>
        <v>200000</v>
      </c>
      <c r="AB5" s="11">
        <f>'抽奖|MoonBless'!DQ5</f>
        <v>1</v>
      </c>
      <c r="AC5" s="19">
        <f>'抽奖|MoonBless'!DR5</f>
        <v>0</v>
      </c>
    </row>
    <row r="6" spans="1:29" x14ac:dyDescent="0.25">
      <c r="A6" s="1">
        <v>2</v>
      </c>
      <c r="B6" s="1" t="str">
        <f>H6&amp;"|"&amp;I6&amp;"|"&amp;J6&amp;","&amp;M6&amp;"|"&amp;N6&amp;"|"&amp;O6&amp;","&amp;R6&amp;"|"&amp;S6&amp;"|"&amp;T6</f>
        <v>1|2|200000,2|1001|4,2|1002|4</v>
      </c>
      <c r="C6" s="1">
        <v>1</v>
      </c>
      <c r="G6" s="40" t="s">
        <v>375</v>
      </c>
      <c r="H6" s="11">
        <f t="shared" ref="H6:H7" si="0">VLOOKUP(G6,$X:$AC,5,0)</f>
        <v>1</v>
      </c>
      <c r="I6" s="11">
        <f t="shared" ref="I6:I7" si="1">VLOOKUP(G6,$X:$AC,6,0)</f>
        <v>2</v>
      </c>
      <c r="J6" s="41">
        <v>200000</v>
      </c>
      <c r="K6" s="19">
        <f t="shared" ref="K6:K7" si="2">VLOOKUP(G6,$X:$AC,4,0)*J6</f>
        <v>200000</v>
      </c>
      <c r="L6" s="40" t="s">
        <v>397</v>
      </c>
      <c r="M6" s="11">
        <f t="shared" ref="M6:M7" si="3">VLOOKUP(L6,$X:$AC,5,0)</f>
        <v>2</v>
      </c>
      <c r="N6" s="11">
        <f t="shared" ref="N6:N7" si="4">VLOOKUP(L6,$X:$AC,6,0)</f>
        <v>1001</v>
      </c>
      <c r="O6" s="41">
        <v>4</v>
      </c>
      <c r="P6" s="19">
        <f t="shared" ref="P6:P7" si="5">VLOOKUP(L6,$X:$AC,4,0)*O6</f>
        <v>80000</v>
      </c>
      <c r="Q6" s="40" t="s">
        <v>398</v>
      </c>
      <c r="R6" s="11">
        <f t="shared" ref="R6:R7" si="6">VLOOKUP(Q6,$X:$AC,5,0)</f>
        <v>2</v>
      </c>
      <c r="S6" s="11">
        <f t="shared" ref="S6:S7" si="7">VLOOKUP(Q6,$X:$AC,6,0)</f>
        <v>1002</v>
      </c>
      <c r="T6" s="41">
        <v>4</v>
      </c>
      <c r="U6" s="19">
        <f t="shared" ref="U6:U7" si="8">VLOOKUP(Q6,$X:$AC,4,0)*T6</f>
        <v>200000</v>
      </c>
      <c r="X6" s="10" t="str">
        <f>'抽奖|MoonBless'!DN6</f>
        <v>钻石</v>
      </c>
      <c r="Y6" s="11">
        <f>'抽奖|MoonBless'!DO6</f>
        <v>0.1</v>
      </c>
      <c r="Z6" s="11">
        <f>'抽奖|MoonBless'!DP6</f>
        <v>2</v>
      </c>
      <c r="AA6" s="11">
        <f t="shared" ref="AA6:AA27" si="9">Z6/$Z$7</f>
        <v>20000</v>
      </c>
      <c r="AB6" s="11">
        <f>'抽奖|MoonBless'!DQ6</f>
        <v>1</v>
      </c>
      <c r="AC6" s="19">
        <f>'抽奖|MoonBless'!DR6</f>
        <v>1</v>
      </c>
    </row>
    <row r="7" spans="1:29" x14ac:dyDescent="0.25">
      <c r="A7" s="1">
        <v>3</v>
      </c>
      <c r="B7" s="1" t="str">
        <f>H7&amp;"|"&amp;I7&amp;"|"&amp;J7&amp;","&amp;M7&amp;"|"&amp;N7&amp;"|"&amp;O7&amp;","&amp;R7&amp;"|"&amp;S7&amp;"|"&amp;T7</f>
        <v>1|2|1000000,1|1|50,2|1001|10</v>
      </c>
      <c r="C7" s="1">
        <v>1</v>
      </c>
      <c r="G7" s="40" t="s">
        <v>375</v>
      </c>
      <c r="H7" s="11">
        <f t="shared" si="0"/>
        <v>1</v>
      </c>
      <c r="I7" s="11">
        <f t="shared" si="1"/>
        <v>2</v>
      </c>
      <c r="J7" s="41">
        <v>1000000</v>
      </c>
      <c r="K7" s="19">
        <f t="shared" si="2"/>
        <v>1000000</v>
      </c>
      <c r="L7" s="40" t="s">
        <v>360</v>
      </c>
      <c r="M7" s="11">
        <f t="shared" si="3"/>
        <v>1</v>
      </c>
      <c r="N7" s="11">
        <f t="shared" si="4"/>
        <v>1</v>
      </c>
      <c r="O7" s="41">
        <v>50</v>
      </c>
      <c r="P7" s="19">
        <f t="shared" si="5"/>
        <v>1000000</v>
      </c>
      <c r="Q7" s="40" t="s">
        <v>397</v>
      </c>
      <c r="R7" s="11">
        <f t="shared" si="6"/>
        <v>2</v>
      </c>
      <c r="S7" s="11">
        <f t="shared" si="7"/>
        <v>1001</v>
      </c>
      <c r="T7" s="41">
        <v>10</v>
      </c>
      <c r="U7" s="19">
        <f t="shared" si="8"/>
        <v>200000</v>
      </c>
      <c r="X7" s="10" t="str">
        <f>'抽奖|MoonBless'!DN7</f>
        <v>金币</v>
      </c>
      <c r="Y7" s="94">
        <f>'抽奖|MoonBless'!DO7</f>
        <v>5.0000000000000004E-6</v>
      </c>
      <c r="Z7" s="11">
        <f>'抽奖|MoonBless'!DP7</f>
        <v>1E-4</v>
      </c>
      <c r="AA7" s="11">
        <f t="shared" si="9"/>
        <v>1</v>
      </c>
      <c r="AB7" s="11">
        <f>'抽奖|MoonBless'!DQ7</f>
        <v>1</v>
      </c>
      <c r="AC7" s="19">
        <f>'抽奖|MoonBless'!DR7</f>
        <v>2</v>
      </c>
    </row>
    <row r="8" spans="1:29" x14ac:dyDescent="0.25">
      <c r="X8" s="10" t="str">
        <f>'抽奖|MoonBless'!DN8</f>
        <v>锁定</v>
      </c>
      <c r="Y8" s="11">
        <f>'抽奖|MoonBless'!DO8</f>
        <v>0.1</v>
      </c>
      <c r="Z8" s="11">
        <f>'抽奖|MoonBless'!DP8</f>
        <v>2</v>
      </c>
      <c r="AA8" s="11">
        <f t="shared" si="9"/>
        <v>20000</v>
      </c>
      <c r="AB8" s="11">
        <f>'抽奖|MoonBless'!DQ8</f>
        <v>2</v>
      </c>
      <c r="AC8" s="19">
        <f>'抽奖|MoonBless'!DR8</f>
        <v>1001</v>
      </c>
    </row>
    <row r="9" spans="1:29" x14ac:dyDescent="0.25">
      <c r="X9" s="10" t="str">
        <f>'抽奖|MoonBless'!DN9</f>
        <v>冰冻</v>
      </c>
      <c r="Y9" s="11">
        <f>'抽奖|MoonBless'!DO9</f>
        <v>0.25</v>
      </c>
      <c r="Z9" s="11">
        <f>'抽奖|MoonBless'!DP9</f>
        <v>5</v>
      </c>
      <c r="AA9" s="11">
        <f t="shared" si="9"/>
        <v>50000</v>
      </c>
      <c r="AB9" s="11">
        <f>'抽奖|MoonBless'!DQ9</f>
        <v>2</v>
      </c>
      <c r="AC9" s="19">
        <f>'抽奖|MoonBless'!DR9</f>
        <v>1002</v>
      </c>
    </row>
    <row r="10" spans="1:29" ht="16.2" x14ac:dyDescent="0.25">
      <c r="A10" s="89"/>
      <c r="X10" s="10" t="str">
        <f>'抽奖|MoonBless'!DN10</f>
        <v>狂暴</v>
      </c>
      <c r="Y10" s="11">
        <f>'抽奖|MoonBless'!DO10</f>
        <v>0.5</v>
      </c>
      <c r="Z10" s="11">
        <f>'抽奖|MoonBless'!DP10</f>
        <v>10</v>
      </c>
      <c r="AA10" s="11">
        <f t="shared" si="9"/>
        <v>100000</v>
      </c>
      <c r="AB10" s="11">
        <f>'抽奖|MoonBless'!DQ10</f>
        <v>2</v>
      </c>
      <c r="AC10" s="19">
        <f>'抽奖|MoonBless'!DR10</f>
        <v>1003</v>
      </c>
    </row>
    <row r="11" spans="1:29" x14ac:dyDescent="0.25">
      <c r="X11" s="10" t="str">
        <f>'抽奖|MoonBless'!DN11</f>
        <v>召唤</v>
      </c>
      <c r="Y11" s="11">
        <f>'抽奖|MoonBless'!DO11</f>
        <v>0.1</v>
      </c>
      <c r="Z11" s="11">
        <f>'抽奖|MoonBless'!DP11</f>
        <v>2</v>
      </c>
      <c r="AA11" s="11">
        <f t="shared" si="9"/>
        <v>20000</v>
      </c>
      <c r="AB11" s="11">
        <f>'抽奖|MoonBless'!DQ11</f>
        <v>2</v>
      </c>
      <c r="AC11" s="19">
        <f>'抽奖|MoonBless'!DR11</f>
        <v>1004</v>
      </c>
    </row>
    <row r="12" spans="1:29" x14ac:dyDescent="0.25">
      <c r="X12" s="10" t="str">
        <f>'抽奖|MoonBless'!DN12</f>
        <v>福卡</v>
      </c>
      <c r="Y12" s="11">
        <f>'抽奖|MoonBless'!DO12</f>
        <v>7.5000000000000002E-4</v>
      </c>
      <c r="Z12" s="11">
        <f>'抽奖|MoonBless'!DP12</f>
        <v>1.5000000000000001E-2</v>
      </c>
      <c r="AA12" s="11">
        <f t="shared" si="9"/>
        <v>150</v>
      </c>
      <c r="AB12" s="11">
        <f>'抽奖|MoonBless'!DQ12</f>
        <v>2</v>
      </c>
      <c r="AC12" s="19">
        <f>'抽奖|MoonBless'!DR12</f>
        <v>1204</v>
      </c>
    </row>
    <row r="13" spans="1:29" x14ac:dyDescent="0.25">
      <c r="X13" s="10" t="str">
        <f>'抽奖|MoonBless'!DN13</f>
        <v>超级武器1</v>
      </c>
      <c r="Y13" s="11">
        <f>'抽奖|MoonBless'!DO13</f>
        <v>5</v>
      </c>
      <c r="Z13" s="11">
        <f>'抽奖|MoonBless'!DP13</f>
        <v>100</v>
      </c>
      <c r="AA13" s="11">
        <f t="shared" si="9"/>
        <v>1000000</v>
      </c>
      <c r="AB13" s="11">
        <f>'抽奖|MoonBless'!DQ13</f>
        <v>2</v>
      </c>
      <c r="AC13" s="19">
        <f>'抽奖|MoonBless'!DR13</f>
        <v>1005</v>
      </c>
    </row>
    <row r="14" spans="1:29" x14ac:dyDescent="0.25">
      <c r="X14" s="10" t="str">
        <f>'抽奖|MoonBless'!DN14</f>
        <v>超级武器2</v>
      </c>
      <c r="Y14" s="11">
        <f>'抽奖|MoonBless'!DO14</f>
        <v>10</v>
      </c>
      <c r="Z14" s="11">
        <f>'抽奖|MoonBless'!DP14</f>
        <v>200</v>
      </c>
      <c r="AA14" s="11">
        <f t="shared" si="9"/>
        <v>2000000</v>
      </c>
      <c r="AB14" s="11">
        <f>'抽奖|MoonBless'!DQ14</f>
        <v>2</v>
      </c>
      <c r="AC14" s="19">
        <f>'抽奖|MoonBless'!DR14</f>
        <v>1006</v>
      </c>
    </row>
    <row r="15" spans="1:29" x14ac:dyDescent="0.25">
      <c r="X15" s="10" t="str">
        <f>'抽奖|MoonBless'!DN15</f>
        <v>超级武器3</v>
      </c>
      <c r="Y15" s="11">
        <f>'抽奖|MoonBless'!DO15</f>
        <v>25</v>
      </c>
      <c r="Z15" s="11">
        <f>'抽奖|MoonBless'!DP15</f>
        <v>500</v>
      </c>
      <c r="AA15" s="11">
        <f t="shared" si="9"/>
        <v>5000000</v>
      </c>
      <c r="AB15" s="11">
        <f>'抽奖|MoonBless'!DQ15</f>
        <v>2</v>
      </c>
      <c r="AC15" s="19">
        <f>'抽奖|MoonBless'!DR15</f>
        <v>1007</v>
      </c>
    </row>
    <row r="16" spans="1:29" ht="16.2" x14ac:dyDescent="0.25">
      <c r="A16" s="89"/>
      <c r="X16" s="10" t="str">
        <f>'抽奖|MoonBless'!DN16</f>
        <v>超级武器4</v>
      </c>
      <c r="Y16" s="11">
        <f>'抽奖|MoonBless'!DO16</f>
        <v>50</v>
      </c>
      <c r="Z16" s="11">
        <f>'抽奖|MoonBless'!DP16</f>
        <v>1000</v>
      </c>
      <c r="AA16" s="11">
        <f t="shared" si="9"/>
        <v>10000000</v>
      </c>
      <c r="AB16" s="11">
        <f>'抽奖|MoonBless'!DQ16</f>
        <v>2</v>
      </c>
      <c r="AC16" s="19">
        <f>'抽奖|MoonBless'!DR16</f>
        <v>1008</v>
      </c>
    </row>
    <row r="17" spans="1:29" x14ac:dyDescent="0.25">
      <c r="X17" s="10" t="str">
        <f>'抽奖|MoonBless'!DN17</f>
        <v>5元话费卡</v>
      </c>
      <c r="Y17" s="11">
        <f>'抽奖|MoonBless'!DO17</f>
        <v>5</v>
      </c>
      <c r="Z17" s="11">
        <f>'抽奖|MoonBless'!DP17</f>
        <v>100</v>
      </c>
      <c r="AA17" s="11">
        <f t="shared" si="9"/>
        <v>1000000</v>
      </c>
      <c r="AB17" s="11">
        <f>'抽奖|MoonBless'!DQ17</f>
        <v>2</v>
      </c>
      <c r="AC17" s="19">
        <f>'抽奖|MoonBless'!DR17</f>
        <v>1206</v>
      </c>
    </row>
    <row r="18" spans="1:29" x14ac:dyDescent="0.25">
      <c r="X18" s="10" t="str">
        <f>'抽奖|MoonBless'!DN18</f>
        <v>2元话费卡</v>
      </c>
      <c r="Y18" s="11">
        <f>'抽奖|MoonBless'!DO18</f>
        <v>2</v>
      </c>
      <c r="Z18" s="11">
        <f>'抽奖|MoonBless'!DP18</f>
        <v>40</v>
      </c>
      <c r="AA18" s="11">
        <f t="shared" si="9"/>
        <v>400000</v>
      </c>
      <c r="AB18" s="11">
        <f>'抽奖|MoonBless'!DQ18</f>
        <v>2</v>
      </c>
      <c r="AC18" s="19">
        <f>'抽奖|MoonBless'!DR18</f>
        <v>1205</v>
      </c>
    </row>
    <row r="19" spans="1:29" x14ac:dyDescent="0.25">
      <c r="X19" s="13" t="str">
        <f>'抽奖|MoonBless'!DN19</f>
        <v>高压锅</v>
      </c>
      <c r="Y19" s="14">
        <f>'抽奖|MoonBless'!DO19</f>
        <v>200</v>
      </c>
      <c r="Z19" s="14">
        <f>'抽奖|MoonBless'!DP19</f>
        <v>4000</v>
      </c>
      <c r="AA19" s="11">
        <f t="shared" si="9"/>
        <v>40000000</v>
      </c>
      <c r="AB19" s="14">
        <f>'抽奖|MoonBless'!DQ19</f>
        <v>2</v>
      </c>
      <c r="AC19" s="21">
        <f>'抽奖|MoonBless'!DR19</f>
        <v>1208</v>
      </c>
    </row>
    <row r="20" spans="1:29" x14ac:dyDescent="0.25">
      <c r="X20" s="1" t="str">
        <f>'抽奖|MoonBless'!DN20</f>
        <v>30元话费卡</v>
      </c>
      <c r="Y20" s="1">
        <f>'抽奖|MoonBless'!DO20</f>
        <v>30</v>
      </c>
      <c r="Z20" s="1">
        <f>'抽奖|MoonBless'!DP20</f>
        <v>600</v>
      </c>
      <c r="AA20" s="11">
        <f t="shared" si="9"/>
        <v>6000000</v>
      </c>
      <c r="AB20" s="1">
        <f>'抽奖|MoonBless'!DQ20</f>
        <v>2</v>
      </c>
      <c r="AC20" s="1">
        <f>'抽奖|MoonBless'!DR20</f>
        <v>1209</v>
      </c>
    </row>
    <row r="21" spans="1:29" x14ac:dyDescent="0.25">
      <c r="X21" s="1" t="str">
        <f>'抽奖|MoonBless'!DN21</f>
        <v>50元话费卡</v>
      </c>
      <c r="Y21" s="1">
        <f>'抽奖|MoonBless'!DO21</f>
        <v>50</v>
      </c>
      <c r="Z21" s="1">
        <f>'抽奖|MoonBless'!DP21</f>
        <v>1000</v>
      </c>
      <c r="AA21" s="11">
        <f t="shared" si="9"/>
        <v>10000000</v>
      </c>
      <c r="AB21" s="1">
        <f>'抽奖|MoonBless'!DQ21</f>
        <v>2</v>
      </c>
      <c r="AC21" s="1">
        <f>'抽奖|MoonBless'!DR21</f>
        <v>1210</v>
      </c>
    </row>
    <row r="22" spans="1:29" ht="16.2" x14ac:dyDescent="0.25">
      <c r="A22" s="89"/>
      <c r="X22" s="1" t="str">
        <f>'抽奖|MoonBless'!DN22</f>
        <v>活跃度</v>
      </c>
      <c r="Y22" s="1">
        <f>'抽奖|MoonBless'!DO22</f>
        <v>1</v>
      </c>
      <c r="Z22" s="1">
        <f>'抽奖|MoonBless'!DP22</f>
        <v>20</v>
      </c>
      <c r="AA22" s="11">
        <f t="shared" si="9"/>
        <v>200000</v>
      </c>
      <c r="AB22" s="1">
        <f>'抽奖|MoonBless'!DQ22</f>
        <v>1</v>
      </c>
      <c r="AC22" s="1">
        <f>'抽奖|MoonBless'!DR22</f>
        <v>6</v>
      </c>
    </row>
    <row r="23" spans="1:29" x14ac:dyDescent="0.25">
      <c r="X23" s="1" t="str">
        <f>'抽奖|MoonBless'!DN23</f>
        <v>红包【恭】</v>
      </c>
      <c r="Y23" s="1">
        <f>'抽奖|MoonBless'!DO23</f>
        <v>1</v>
      </c>
      <c r="Z23" s="1">
        <f>'抽奖|MoonBless'!DP23</f>
        <v>20</v>
      </c>
      <c r="AA23" s="11">
        <f t="shared" si="9"/>
        <v>200000</v>
      </c>
      <c r="AB23" s="1">
        <f>'抽奖|MoonBless'!DQ23</f>
        <v>2</v>
      </c>
      <c r="AC23" s="1">
        <f>'抽奖|MoonBless'!DR23</f>
        <v>1301</v>
      </c>
    </row>
    <row r="24" spans="1:29" x14ac:dyDescent="0.25">
      <c r="X24" s="1" t="str">
        <f>'抽奖|MoonBless'!DN24</f>
        <v>红包【喜】</v>
      </c>
      <c r="Y24" s="1">
        <f>'抽奖|MoonBless'!DO24</f>
        <v>1</v>
      </c>
      <c r="Z24" s="1">
        <f>'抽奖|MoonBless'!DP24</f>
        <v>20</v>
      </c>
      <c r="AA24" s="11">
        <f t="shared" si="9"/>
        <v>200000</v>
      </c>
      <c r="AB24" s="1">
        <f>'抽奖|MoonBless'!DQ24</f>
        <v>2</v>
      </c>
      <c r="AC24" s="1">
        <f>'抽奖|MoonBless'!DR24</f>
        <v>1302</v>
      </c>
    </row>
    <row r="25" spans="1:29" x14ac:dyDescent="0.25">
      <c r="X25" s="1" t="str">
        <f>'抽奖|MoonBless'!DN25</f>
        <v>红包【发】</v>
      </c>
      <c r="Y25" s="1">
        <f>'抽奖|MoonBless'!DO25</f>
        <v>1</v>
      </c>
      <c r="Z25" s="1">
        <f>'抽奖|MoonBless'!DP25</f>
        <v>20</v>
      </c>
      <c r="AA25" s="11">
        <f t="shared" si="9"/>
        <v>200000</v>
      </c>
      <c r="AB25" s="1">
        <f>'抽奖|MoonBless'!DQ25</f>
        <v>2</v>
      </c>
      <c r="AC25" s="1">
        <f>'抽奖|MoonBless'!DR25</f>
        <v>1303</v>
      </c>
    </row>
    <row r="26" spans="1:29" x14ac:dyDescent="0.25">
      <c r="X26" s="1" t="str">
        <f>'抽奖|MoonBless'!DN26</f>
        <v>红包【财】</v>
      </c>
      <c r="Y26" s="1">
        <f>'抽奖|MoonBless'!DO26</f>
        <v>1</v>
      </c>
      <c r="Z26" s="1">
        <f>'抽奖|MoonBless'!DP26</f>
        <v>20</v>
      </c>
      <c r="AA26" s="11">
        <f t="shared" si="9"/>
        <v>200000</v>
      </c>
      <c r="AB26" s="1">
        <f>'抽奖|MoonBless'!DQ26</f>
        <v>2</v>
      </c>
      <c r="AC26" s="1">
        <f>'抽奖|MoonBless'!DR26</f>
        <v>1304</v>
      </c>
    </row>
    <row r="27" spans="1:29" x14ac:dyDescent="0.25">
      <c r="X27" s="1" t="str">
        <f>'抽奖|MoonBless'!DN27</f>
        <v>双轮</v>
      </c>
      <c r="Y27" s="1">
        <f>'抽奖|MoonBless'!DO27</f>
        <v>30</v>
      </c>
      <c r="Z27" s="1">
        <f>'抽奖|MoonBless'!DP27</f>
        <v>600</v>
      </c>
      <c r="AA27" s="11">
        <f t="shared" si="9"/>
        <v>6000000</v>
      </c>
      <c r="AB27" s="1">
        <f>'抽奖|MoonBless'!DQ27</f>
        <v>2</v>
      </c>
      <c r="AC27" s="1">
        <f>'抽奖|MoonBless'!DR27</f>
        <v>1500</v>
      </c>
    </row>
  </sheetData>
  <phoneticPr fontId="40" type="noConversion"/>
  <conditionalFormatting sqref="C2">
    <cfRule type="cellIs" dxfId="188" priority="54" operator="greaterThan">
      <formula>0</formula>
    </cfRule>
    <cfRule type="cellIs" dxfId="187" priority="55" operator="greaterThan">
      <formula>0</formula>
    </cfRule>
    <cfRule type="cellIs" dxfId="186" priority="56" operator="greaterThan">
      <formula>0</formula>
    </cfRule>
    <cfRule type="containsText" dxfId="185" priority="57" operator="containsText" text=" ">
      <formula>NOT(ISERROR(SEARCH(" ",C2)))</formula>
    </cfRule>
  </conditionalFormatting>
  <conditionalFormatting sqref="V7">
    <cfRule type="containsText" dxfId="184" priority="84" operator="containsText" text=" ">
      <formula>NOT(ISERROR(SEARCH(" ",V7)))</formula>
    </cfRule>
  </conditionalFormatting>
  <conditionalFormatting sqref="AC12">
    <cfRule type="containsText" dxfId="183" priority="106" operator="containsText" text=" ">
      <formula>NOT(ISERROR(SEARCH(" ",AC12)))</formula>
    </cfRule>
  </conditionalFormatting>
  <conditionalFormatting sqref="X17:Y17">
    <cfRule type="containsText" dxfId="182" priority="103" operator="containsText" text=" ">
      <formula>NOT(ISERROR(SEARCH(" ",X17)))</formula>
    </cfRule>
  </conditionalFormatting>
  <conditionalFormatting sqref="X18:Y18">
    <cfRule type="containsText" dxfId="181" priority="102" operator="containsText" text=" ">
      <formula>NOT(ISERROR(SEARCH(" ",X18)))</formula>
    </cfRule>
  </conditionalFormatting>
  <conditionalFormatting sqref="AC19">
    <cfRule type="containsText" dxfId="180" priority="101" operator="containsText" text=" ">
      <formula>NOT(ISERROR(SEARCH(" ",AC19)))</formula>
    </cfRule>
  </conditionalFormatting>
  <conditionalFormatting sqref="B5:B27">
    <cfRule type="containsText" dxfId="179" priority="96" operator="containsText" text=" ">
      <formula>NOT(ISERROR(SEARCH(" ",B5)))</formula>
    </cfRule>
  </conditionalFormatting>
  <conditionalFormatting sqref="C5:C1048576">
    <cfRule type="cellIs" dxfId="178" priority="90" operator="greaterThan">
      <formula>0</formula>
    </cfRule>
    <cfRule type="cellIs" dxfId="177" priority="91" operator="greaterThan">
      <formula>0</formula>
    </cfRule>
    <cfRule type="cellIs" dxfId="176" priority="95" operator="greaterThan">
      <formula>0</formula>
    </cfRule>
  </conditionalFormatting>
  <conditionalFormatting sqref="E5:E27">
    <cfRule type="cellIs" dxfId="175" priority="92" operator="equal">
      <formula>1</formula>
    </cfRule>
    <cfRule type="containsText" dxfId="174" priority="94" operator="containsText" text=" ">
      <formula>NOT(ISERROR(SEARCH(" ",E5)))</formula>
    </cfRule>
  </conditionalFormatting>
  <conditionalFormatting sqref="G5:G7">
    <cfRule type="cellIs" dxfId="173" priority="86" operator="equal">
      <formula>"狂暴"</formula>
    </cfRule>
    <cfRule type="cellIs" dxfId="172" priority="87" operator="equal">
      <formula>"锁定"</formula>
    </cfRule>
    <cfRule type="cellIs" dxfId="171" priority="88" operator="equal">
      <formula>"钻石"</formula>
    </cfRule>
    <cfRule type="cellIs" dxfId="170" priority="89" operator="equal">
      <formula>"金币"</formula>
    </cfRule>
    <cfRule type="containsText" dxfId="169" priority="99" operator="containsText" text=" ">
      <formula>NOT(ISERROR(SEARCH(" ",G5)))</formula>
    </cfRule>
  </conditionalFormatting>
  <conditionalFormatting sqref="J5:J7">
    <cfRule type="containsText" dxfId="168" priority="98" operator="containsText" text=" ">
      <formula>NOT(ISERROR(SEARCH(" ",J5)))</formula>
    </cfRule>
  </conditionalFormatting>
  <conditionalFormatting sqref="K5:K7">
    <cfRule type="containsText" dxfId="167" priority="4" operator="containsText" text=" ">
      <formula>NOT(ISERROR(SEARCH(" ",K5)))</formula>
    </cfRule>
  </conditionalFormatting>
  <conditionalFormatting sqref="L5:L7">
    <cfRule type="cellIs" dxfId="166" priority="21" operator="equal">
      <formula>"狂暴"</formula>
    </cfRule>
    <cfRule type="cellIs" dxfId="165" priority="22" operator="equal">
      <formula>"锁定"</formula>
    </cfRule>
    <cfRule type="cellIs" dxfId="164" priority="23" operator="equal">
      <formula>"钻石"</formula>
    </cfRule>
    <cfRule type="cellIs" dxfId="163" priority="24" operator="equal">
      <formula>"金币"</formula>
    </cfRule>
    <cfRule type="containsText" dxfId="162" priority="27" operator="containsText" text=" ">
      <formula>NOT(ISERROR(SEARCH(" ",L5)))</formula>
    </cfRule>
  </conditionalFormatting>
  <conditionalFormatting sqref="O5:O7">
    <cfRule type="containsText" dxfId="161" priority="26" operator="containsText" text=" ">
      <formula>NOT(ISERROR(SEARCH(" ",O5)))</formula>
    </cfRule>
  </conditionalFormatting>
  <conditionalFormatting sqref="P5:P7">
    <cfRule type="containsText" dxfId="160" priority="28" operator="containsText" text=" ">
      <formula>NOT(ISERROR(SEARCH(" ",P5)))</formula>
    </cfRule>
  </conditionalFormatting>
  <conditionalFormatting sqref="Q5:Q7">
    <cfRule type="cellIs" dxfId="159" priority="45" operator="equal">
      <formula>"狂暴"</formula>
    </cfRule>
    <cfRule type="cellIs" dxfId="158" priority="46" operator="equal">
      <formula>"锁定"</formula>
    </cfRule>
    <cfRule type="cellIs" dxfId="157" priority="47" operator="equal">
      <formula>"钻石"</formula>
    </cfRule>
    <cfRule type="cellIs" dxfId="156" priority="48" operator="equal">
      <formula>"金币"</formula>
    </cfRule>
    <cfRule type="containsText" dxfId="155" priority="51" operator="containsText" text=" ">
      <formula>NOT(ISERROR(SEARCH(" ",Q5)))</formula>
    </cfRule>
  </conditionalFormatting>
  <conditionalFormatting sqref="T5:T7">
    <cfRule type="containsText" dxfId="154" priority="50" operator="containsText" text=" ">
      <formula>NOT(ISERROR(SEARCH(" ",T5)))</formula>
    </cfRule>
  </conditionalFormatting>
  <conditionalFormatting sqref="U5:U7">
    <cfRule type="containsText" dxfId="153" priority="3" operator="containsText" text=" ">
      <formula>NOT(ISERROR(SEARCH(" ",U5)))</formula>
    </cfRule>
  </conditionalFormatting>
  <conditionalFormatting sqref="Z8:Z11">
    <cfRule type="containsText" dxfId="152" priority="107" operator="containsText" text=" ">
      <formula>NOT(ISERROR(SEARCH(" ",Z8)))</formula>
    </cfRule>
  </conditionalFormatting>
  <conditionalFormatting sqref="Z13:Z16">
    <cfRule type="containsText" dxfId="151" priority="104" operator="containsText" text=" ">
      <formula>NOT(ISERROR(SEARCH(" ",Z13)))</formula>
    </cfRule>
  </conditionalFormatting>
  <conditionalFormatting sqref="AC8:AC11">
    <cfRule type="containsText" dxfId="150" priority="108" operator="containsText" text=" ">
      <formula>NOT(ISERROR(SEARCH(" ",AC8)))</formula>
    </cfRule>
  </conditionalFormatting>
  <conditionalFormatting sqref="AC13:AC16">
    <cfRule type="containsText" dxfId="149" priority="105" operator="containsText" text=" ">
      <formula>NOT(ISERROR(SEARCH(" ",AC13)))</formula>
    </cfRule>
  </conditionalFormatting>
  <conditionalFormatting sqref="V6 D1:U3 A31:XFD1048576 A1:A27 A28:E30 V28:XFD30 F8:U30">
    <cfRule type="containsText" dxfId="148" priority="85" operator="containsText" text=" ">
      <formula>NOT(ISERROR(SEARCH(" ",A1)))</formula>
    </cfRule>
  </conditionalFormatting>
  <conditionalFormatting sqref="C5:D27 F5:F7 D4:F4 W6:W8 V8 V4:W5 V9:W27 AD4:XFD27 V1:XFD3">
    <cfRule type="containsText" dxfId="147" priority="114" operator="containsText" text=" ">
      <formula>NOT(ISERROR(SEARCH(" ",C1)))</formula>
    </cfRule>
  </conditionalFormatting>
  <conditionalFormatting sqref="C1 C3:C4">
    <cfRule type="cellIs" dxfId="146" priority="58" operator="greaterThan">
      <formula>0</formula>
    </cfRule>
    <cfRule type="cellIs" dxfId="145" priority="59" operator="greaterThan">
      <formula>0</formula>
    </cfRule>
    <cfRule type="cellIs" dxfId="144" priority="60" operator="greaterThan">
      <formula>0</formula>
    </cfRule>
    <cfRule type="containsText" dxfId="143" priority="61" operator="containsText" text=" ">
      <formula>NOT(ISERROR(SEARCH(" ",C1)))</formula>
    </cfRule>
  </conditionalFormatting>
  <conditionalFormatting sqref="Z17:Z18 X13:Y16 X12:Z12 X19:Z27 X8:Y11 X4:AC5 X6:Z7 AB6:AC7 AB20:AC27 AB8:AB16 AB17:AC18 AB19 AA6:AA27">
    <cfRule type="containsText" dxfId="142" priority="109" operator="containsText" text=" ">
      <formula>NOT(ISERROR(SEARCH(" ",X4)))</formula>
    </cfRule>
  </conditionalFormatting>
  <conditionalFormatting sqref="H5:I7">
    <cfRule type="containsText" dxfId="141" priority="100" operator="containsText" text=" ">
      <formula>NOT(ISERROR(SEARCH(" ",H5)))</formula>
    </cfRule>
  </conditionalFormatting>
  <conditionalFormatting sqref="M5:N7">
    <cfRule type="containsText" dxfId="140" priority="2" operator="containsText" text=" ">
      <formula>NOT(ISERROR(SEARCH(" ",M5)))</formula>
    </cfRule>
  </conditionalFormatting>
  <conditionalFormatting sqref="R5:S7">
    <cfRule type="containsText" dxfId="139" priority="1" operator="containsText" text=" ">
      <formula>NOT(ISERROR(SEARCH(" ",R5)))</formula>
    </cfRule>
  </conditionalFormatting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F37" sqref="A34:F37"/>
    </sheetView>
  </sheetViews>
  <sheetFormatPr defaultColWidth="9" defaultRowHeight="15.6" x14ac:dyDescent="0.25"/>
  <cols>
    <col min="1" max="1" width="9.88671875" style="1" customWidth="1"/>
    <col min="2" max="2" width="16.44140625" style="1" customWidth="1"/>
    <col min="3" max="3" width="17.88671875" style="1" customWidth="1"/>
    <col min="4" max="4" width="16.44140625" style="1" customWidth="1"/>
    <col min="5" max="5" width="15.109375" style="1" customWidth="1"/>
    <col min="6" max="6" width="32" style="1" customWidth="1"/>
    <col min="7" max="7" width="21.6640625" style="1" customWidth="1"/>
    <col min="8" max="8" width="19.77734375" style="1" customWidth="1"/>
    <col min="9" max="12" width="9" style="1"/>
    <col min="13" max="13" width="10.109375" style="1" customWidth="1"/>
    <col min="14" max="14" width="10.6640625" style="1" customWidth="1"/>
    <col min="15" max="15" width="11.88671875" style="1" customWidth="1"/>
    <col min="16" max="16" width="10.109375" style="1" customWidth="1"/>
    <col min="17" max="17" width="12.33203125" style="1" customWidth="1"/>
    <col min="18" max="16384" width="9" style="1"/>
  </cols>
  <sheetData>
    <row r="1" spans="1:16" x14ac:dyDescent="0.35">
      <c r="A1" s="2" t="s">
        <v>0</v>
      </c>
      <c r="B1" s="2" t="s">
        <v>0</v>
      </c>
      <c r="C1" s="2" t="s">
        <v>0</v>
      </c>
      <c r="D1" s="2" t="s">
        <v>0</v>
      </c>
      <c r="E1" s="51" t="s">
        <v>0</v>
      </c>
      <c r="F1" s="30" t="s">
        <v>0</v>
      </c>
      <c r="G1" s="76" t="s">
        <v>0</v>
      </c>
      <c r="H1" s="30" t="s">
        <v>0</v>
      </c>
    </row>
    <row r="2" spans="1:16" x14ac:dyDescent="0.35">
      <c r="A2" s="2" t="s">
        <v>7</v>
      </c>
      <c r="B2" s="2" t="s">
        <v>7</v>
      </c>
      <c r="C2" s="2" t="s">
        <v>7</v>
      </c>
      <c r="D2" s="2" t="s">
        <v>9</v>
      </c>
      <c r="E2" s="51" t="s">
        <v>7</v>
      </c>
      <c r="F2" s="30" t="s">
        <v>9</v>
      </c>
      <c r="G2" s="76" t="s">
        <v>7</v>
      </c>
      <c r="H2" s="30" t="s">
        <v>9</v>
      </c>
    </row>
    <row r="3" spans="1:16" x14ac:dyDescent="0.35">
      <c r="A3" s="2" t="s">
        <v>10</v>
      </c>
      <c r="B3" s="2" t="s">
        <v>753</v>
      </c>
      <c r="C3" s="2" t="s">
        <v>754</v>
      </c>
      <c r="D3" s="2" t="s">
        <v>47</v>
      </c>
      <c r="E3" s="51" t="s">
        <v>755</v>
      </c>
      <c r="F3" s="30" t="s">
        <v>590</v>
      </c>
      <c r="G3" s="77" t="s">
        <v>756</v>
      </c>
      <c r="H3" s="30" t="s">
        <v>282</v>
      </c>
    </row>
    <row r="4" spans="1:16" s="69" customFormat="1" ht="79.2" x14ac:dyDescent="0.25">
      <c r="A4" s="34" t="s">
        <v>282</v>
      </c>
      <c r="B4" s="34" t="s">
        <v>757</v>
      </c>
      <c r="C4" s="72" t="s">
        <v>758</v>
      </c>
      <c r="D4" s="72" t="s">
        <v>759</v>
      </c>
      <c r="E4" s="78" t="s">
        <v>760</v>
      </c>
      <c r="F4" s="4" t="s">
        <v>761</v>
      </c>
      <c r="G4" s="77" t="s">
        <v>762</v>
      </c>
      <c r="H4" s="4" t="s">
        <v>763</v>
      </c>
      <c r="J4" s="12" t="s">
        <v>764</v>
      </c>
    </row>
    <row r="5" spans="1:16" x14ac:dyDescent="0.35">
      <c r="A5" s="63">
        <v>1</v>
      </c>
      <c r="B5" s="79">
        <v>0</v>
      </c>
      <c r="C5" s="79">
        <v>0</v>
      </c>
      <c r="D5" s="80">
        <v>2</v>
      </c>
      <c r="E5" s="81">
        <v>1</v>
      </c>
      <c r="F5" s="63" t="s">
        <v>765</v>
      </c>
      <c r="G5" s="63">
        <v>1</v>
      </c>
      <c r="H5" s="82"/>
    </row>
    <row r="6" spans="1:16" x14ac:dyDescent="0.35">
      <c r="A6" s="63">
        <v>2</v>
      </c>
      <c r="B6" s="79" t="s">
        <v>766</v>
      </c>
      <c r="C6" s="79" t="s">
        <v>766</v>
      </c>
      <c r="D6" s="80">
        <v>2</v>
      </c>
      <c r="E6" s="81">
        <v>1</v>
      </c>
      <c r="F6" s="63" t="s">
        <v>767</v>
      </c>
      <c r="G6" s="63">
        <v>1</v>
      </c>
      <c r="H6" s="63" t="s">
        <v>768</v>
      </c>
      <c r="I6" s="1" t="s">
        <v>769</v>
      </c>
      <c r="M6" s="1">
        <v>2000</v>
      </c>
      <c r="N6" s="1">
        <f>150*M6</f>
        <v>300000</v>
      </c>
      <c r="O6" s="12">
        <v>6000</v>
      </c>
      <c r="P6" s="12">
        <f>150*O6</f>
        <v>900000</v>
      </c>
    </row>
    <row r="7" spans="1:16" x14ac:dyDescent="0.35">
      <c r="A7" s="63">
        <v>3</v>
      </c>
      <c r="B7" s="79" t="s">
        <v>770</v>
      </c>
      <c r="C7" s="79" t="s">
        <v>770</v>
      </c>
      <c r="D7" s="80">
        <v>2</v>
      </c>
      <c r="E7" s="81">
        <v>1</v>
      </c>
      <c r="F7" s="63" t="s">
        <v>771</v>
      </c>
      <c r="G7" s="63">
        <v>0</v>
      </c>
      <c r="H7" s="63"/>
      <c r="L7" s="1" t="s">
        <v>771</v>
      </c>
    </row>
    <row r="8" spans="1:16" x14ac:dyDescent="0.35">
      <c r="A8" s="63">
        <v>4</v>
      </c>
      <c r="B8" s="79" t="s">
        <v>772</v>
      </c>
      <c r="C8" s="79" t="s">
        <v>772</v>
      </c>
      <c r="D8" s="80">
        <v>2</v>
      </c>
      <c r="E8" s="81">
        <v>1</v>
      </c>
      <c r="F8" s="63" t="s">
        <v>649</v>
      </c>
      <c r="G8" s="63">
        <v>0</v>
      </c>
      <c r="H8" s="82"/>
      <c r="L8" s="1" t="s">
        <v>649</v>
      </c>
    </row>
    <row r="9" spans="1:16" x14ac:dyDescent="0.35">
      <c r="A9" s="63">
        <v>5</v>
      </c>
      <c r="B9" s="79" t="s">
        <v>773</v>
      </c>
      <c r="C9" s="79" t="s">
        <v>773</v>
      </c>
      <c r="D9" s="80">
        <v>2</v>
      </c>
      <c r="E9" s="81">
        <v>1</v>
      </c>
      <c r="F9" s="63" t="s">
        <v>661</v>
      </c>
      <c r="G9" s="63">
        <v>0</v>
      </c>
      <c r="H9" s="82"/>
      <c r="L9" s="1" t="s">
        <v>661</v>
      </c>
    </row>
    <row r="10" spans="1:16" x14ac:dyDescent="0.35">
      <c r="A10" s="63">
        <v>6</v>
      </c>
      <c r="B10" s="79" t="s">
        <v>774</v>
      </c>
      <c r="C10" s="79" t="s">
        <v>774</v>
      </c>
      <c r="D10" s="80">
        <v>2</v>
      </c>
      <c r="E10" s="81">
        <v>1</v>
      </c>
      <c r="F10" s="63" t="s">
        <v>775</v>
      </c>
      <c r="G10" s="63">
        <v>0</v>
      </c>
      <c r="H10" s="82"/>
      <c r="L10" s="1" t="s">
        <v>775</v>
      </c>
    </row>
    <row r="11" spans="1:16" x14ac:dyDescent="0.35">
      <c r="A11" s="63">
        <v>7</v>
      </c>
      <c r="B11" s="79" t="s">
        <v>776</v>
      </c>
      <c r="C11" s="79" t="s">
        <v>776</v>
      </c>
      <c r="D11" s="80">
        <v>2</v>
      </c>
      <c r="E11" s="81">
        <v>1</v>
      </c>
      <c r="F11" s="63" t="s">
        <v>777</v>
      </c>
      <c r="G11" s="63">
        <v>0</v>
      </c>
      <c r="H11" s="82"/>
      <c r="L11" s="1" t="s">
        <v>777</v>
      </c>
    </row>
    <row r="12" spans="1:16" x14ac:dyDescent="0.35">
      <c r="A12" s="63">
        <v>8</v>
      </c>
      <c r="B12" s="79">
        <v>-1</v>
      </c>
      <c r="C12" s="79">
        <f>B12</f>
        <v>-1</v>
      </c>
      <c r="D12" s="80">
        <v>2</v>
      </c>
      <c r="E12" s="81">
        <v>1</v>
      </c>
      <c r="F12" s="63" t="s">
        <v>645</v>
      </c>
      <c r="G12" s="63">
        <v>0</v>
      </c>
      <c r="H12" s="82"/>
      <c r="L12" s="1" t="s">
        <v>645</v>
      </c>
    </row>
    <row r="13" spans="1:16" x14ac:dyDescent="0.35">
      <c r="A13" s="63">
        <v>9</v>
      </c>
      <c r="B13" s="79">
        <v>0</v>
      </c>
      <c r="C13" s="79">
        <v>0</v>
      </c>
      <c r="D13" s="83">
        <v>3</v>
      </c>
      <c r="E13" s="81">
        <v>1</v>
      </c>
      <c r="F13" s="63" t="s">
        <v>778</v>
      </c>
      <c r="G13" s="63">
        <v>1</v>
      </c>
      <c r="H13" s="84"/>
    </row>
    <row r="14" spans="1:16" x14ac:dyDescent="0.35">
      <c r="A14" s="63">
        <v>10</v>
      </c>
      <c r="B14" s="79" t="s">
        <v>766</v>
      </c>
      <c r="C14" s="79" t="s">
        <v>766</v>
      </c>
      <c r="D14" s="83">
        <v>3</v>
      </c>
      <c r="E14" s="81">
        <v>1</v>
      </c>
      <c r="F14" s="63" t="s">
        <v>779</v>
      </c>
      <c r="G14" s="63">
        <v>1</v>
      </c>
      <c r="H14" s="63" t="s">
        <v>780</v>
      </c>
      <c r="M14" s="1">
        <v>5000</v>
      </c>
      <c r="N14" s="1">
        <f>150*M14</f>
        <v>750000</v>
      </c>
      <c r="O14" s="12">
        <v>15000</v>
      </c>
      <c r="P14" s="12">
        <f>150*O14</f>
        <v>2250000</v>
      </c>
    </row>
    <row r="15" spans="1:16" x14ac:dyDescent="0.35">
      <c r="A15" s="63">
        <v>11</v>
      </c>
      <c r="B15" s="79" t="s">
        <v>770</v>
      </c>
      <c r="C15" s="79" t="s">
        <v>770</v>
      </c>
      <c r="D15" s="83">
        <v>3</v>
      </c>
      <c r="E15" s="81">
        <v>1</v>
      </c>
      <c r="F15" s="63" t="s">
        <v>767</v>
      </c>
      <c r="G15" s="63">
        <v>1</v>
      </c>
      <c r="H15" s="82"/>
      <c r="M15" s="1">
        <v>2000</v>
      </c>
      <c r="N15" s="1">
        <f>150*M15</f>
        <v>300000</v>
      </c>
      <c r="O15" s="12">
        <v>6000</v>
      </c>
      <c r="P15" s="12">
        <f>150*O15</f>
        <v>900000</v>
      </c>
    </row>
    <row r="16" spans="1:16" x14ac:dyDescent="0.35">
      <c r="A16" s="63">
        <v>12</v>
      </c>
      <c r="B16" s="79" t="s">
        <v>772</v>
      </c>
      <c r="C16" s="79" t="s">
        <v>772</v>
      </c>
      <c r="D16" s="83">
        <v>3</v>
      </c>
      <c r="E16" s="81">
        <v>1</v>
      </c>
      <c r="F16" s="63" t="s">
        <v>781</v>
      </c>
      <c r="G16" s="63">
        <v>0</v>
      </c>
      <c r="H16" s="82"/>
      <c r="L16" s="63" t="s">
        <v>781</v>
      </c>
    </row>
    <row r="17" spans="1:16" x14ac:dyDescent="0.35">
      <c r="A17" s="63">
        <v>13</v>
      </c>
      <c r="B17" s="79" t="s">
        <v>773</v>
      </c>
      <c r="C17" s="79" t="s">
        <v>773</v>
      </c>
      <c r="D17" s="83">
        <v>3</v>
      </c>
      <c r="E17" s="81">
        <v>1</v>
      </c>
      <c r="F17" s="63" t="s">
        <v>771</v>
      </c>
      <c r="G17" s="63">
        <v>0</v>
      </c>
      <c r="H17" s="82"/>
      <c r="L17" s="63" t="s">
        <v>771</v>
      </c>
    </row>
    <row r="18" spans="1:16" x14ac:dyDescent="0.35">
      <c r="A18" s="63">
        <v>14</v>
      </c>
      <c r="B18" s="79" t="s">
        <v>774</v>
      </c>
      <c r="C18" s="79" t="s">
        <v>774</v>
      </c>
      <c r="D18" s="83">
        <v>3</v>
      </c>
      <c r="E18" s="81">
        <v>1</v>
      </c>
      <c r="F18" s="63" t="s">
        <v>649</v>
      </c>
      <c r="G18" s="63">
        <v>0</v>
      </c>
      <c r="H18" s="84"/>
      <c r="L18" s="63" t="s">
        <v>649</v>
      </c>
    </row>
    <row r="19" spans="1:16" x14ac:dyDescent="0.35">
      <c r="A19" s="63">
        <v>15</v>
      </c>
      <c r="B19" s="79" t="s">
        <v>776</v>
      </c>
      <c r="C19" s="79" t="s">
        <v>776</v>
      </c>
      <c r="D19" s="83">
        <v>3</v>
      </c>
      <c r="E19" s="81">
        <v>1</v>
      </c>
      <c r="F19" s="63" t="s">
        <v>661</v>
      </c>
      <c r="G19" s="63">
        <v>0</v>
      </c>
      <c r="H19" s="84"/>
      <c r="L19" s="63" t="s">
        <v>661</v>
      </c>
    </row>
    <row r="20" spans="1:16" x14ac:dyDescent="0.35">
      <c r="A20" s="63">
        <v>16</v>
      </c>
      <c r="B20" s="79" t="s">
        <v>782</v>
      </c>
      <c r="C20" s="79" t="s">
        <v>783</v>
      </c>
      <c r="D20" s="83">
        <v>3</v>
      </c>
      <c r="E20" s="81">
        <v>1</v>
      </c>
      <c r="F20" s="63" t="s">
        <v>775</v>
      </c>
      <c r="G20" s="63">
        <v>0</v>
      </c>
      <c r="H20" s="84"/>
      <c r="L20" s="63" t="s">
        <v>775</v>
      </c>
    </row>
    <row r="21" spans="1:16" x14ac:dyDescent="0.35">
      <c r="A21" s="63">
        <v>17</v>
      </c>
      <c r="B21" s="79">
        <v>-1</v>
      </c>
      <c r="C21" s="79">
        <f>B21</f>
        <v>-1</v>
      </c>
      <c r="D21" s="83">
        <v>3</v>
      </c>
      <c r="E21" s="81">
        <v>1</v>
      </c>
      <c r="F21" s="63" t="s">
        <v>784</v>
      </c>
      <c r="G21" s="63">
        <v>0</v>
      </c>
      <c r="H21" s="84"/>
      <c r="L21" s="63" t="s">
        <v>784</v>
      </c>
    </row>
    <row r="22" spans="1:16" x14ac:dyDescent="0.35">
      <c r="A22" s="63">
        <v>18</v>
      </c>
      <c r="B22" s="79">
        <v>0</v>
      </c>
      <c r="C22" s="79">
        <v>0</v>
      </c>
      <c r="D22" s="85" t="s">
        <v>339</v>
      </c>
      <c r="E22" s="81">
        <v>1</v>
      </c>
      <c r="F22" s="63" t="s">
        <v>785</v>
      </c>
      <c r="G22" s="63">
        <v>1</v>
      </c>
      <c r="H22" s="84"/>
    </row>
    <row r="23" spans="1:16" x14ac:dyDescent="0.35">
      <c r="A23" s="63">
        <v>19</v>
      </c>
      <c r="B23" s="79" t="s">
        <v>766</v>
      </c>
      <c r="C23" s="79" t="s">
        <v>766</v>
      </c>
      <c r="D23" s="85" t="s">
        <v>339</v>
      </c>
      <c r="E23" s="81">
        <v>1</v>
      </c>
      <c r="F23" s="63" t="s">
        <v>786</v>
      </c>
      <c r="G23" s="63">
        <v>1</v>
      </c>
      <c r="H23" s="63" t="s">
        <v>780</v>
      </c>
      <c r="M23" s="1">
        <v>10000</v>
      </c>
      <c r="N23" s="1">
        <f>150*M23</f>
        <v>1500000</v>
      </c>
      <c r="O23" s="12">
        <v>30000</v>
      </c>
      <c r="P23" s="12">
        <f>150*O23</f>
        <v>4500000</v>
      </c>
    </row>
    <row r="24" spans="1:16" x14ac:dyDescent="0.35">
      <c r="A24" s="63">
        <v>20</v>
      </c>
      <c r="B24" s="79" t="s">
        <v>770</v>
      </c>
      <c r="C24" s="79" t="s">
        <v>770</v>
      </c>
      <c r="D24" s="85" t="s">
        <v>339</v>
      </c>
      <c r="E24" s="81">
        <v>1</v>
      </c>
      <c r="F24" s="63" t="s">
        <v>779</v>
      </c>
      <c r="G24" s="63">
        <v>1</v>
      </c>
      <c r="H24" s="82"/>
      <c r="M24" s="1">
        <v>5000</v>
      </c>
      <c r="N24" s="1">
        <f>150*M24</f>
        <v>750000</v>
      </c>
      <c r="O24" s="12">
        <v>15000</v>
      </c>
      <c r="P24" s="12">
        <f>150*O24</f>
        <v>2250000</v>
      </c>
    </row>
    <row r="25" spans="1:16" x14ac:dyDescent="0.35">
      <c r="A25" s="63">
        <v>21</v>
      </c>
      <c r="B25" s="79" t="s">
        <v>772</v>
      </c>
      <c r="C25" s="79" t="s">
        <v>772</v>
      </c>
      <c r="D25" s="85" t="s">
        <v>339</v>
      </c>
      <c r="E25" s="81">
        <v>1</v>
      </c>
      <c r="F25" s="63" t="s">
        <v>787</v>
      </c>
      <c r="G25" s="63">
        <v>0</v>
      </c>
      <c r="H25" s="82"/>
      <c r="L25" s="63" t="s">
        <v>787</v>
      </c>
    </row>
    <row r="26" spans="1:16" x14ac:dyDescent="0.35">
      <c r="A26" s="63">
        <v>22</v>
      </c>
      <c r="B26" s="79" t="s">
        <v>773</v>
      </c>
      <c r="C26" s="79" t="s">
        <v>773</v>
      </c>
      <c r="D26" s="85" t="s">
        <v>339</v>
      </c>
      <c r="E26" s="81">
        <v>1</v>
      </c>
      <c r="F26" s="63" t="s">
        <v>788</v>
      </c>
      <c r="G26" s="63">
        <v>0</v>
      </c>
      <c r="H26" s="82"/>
      <c r="L26" s="63" t="s">
        <v>788</v>
      </c>
    </row>
    <row r="27" spans="1:16" x14ac:dyDescent="0.35">
      <c r="A27" s="63">
        <v>23</v>
      </c>
      <c r="B27" s="79" t="s">
        <v>774</v>
      </c>
      <c r="C27" s="79" t="s">
        <v>774</v>
      </c>
      <c r="D27" s="85" t="s">
        <v>339</v>
      </c>
      <c r="E27" s="81">
        <v>1</v>
      </c>
      <c r="F27" s="63" t="s">
        <v>789</v>
      </c>
      <c r="G27" s="63">
        <v>0</v>
      </c>
      <c r="H27" s="84"/>
      <c r="L27" s="63" t="s">
        <v>789</v>
      </c>
    </row>
    <row r="28" spans="1:16" x14ac:dyDescent="0.35">
      <c r="A28" s="63">
        <v>24</v>
      </c>
      <c r="B28" s="79" t="s">
        <v>776</v>
      </c>
      <c r="C28" s="79" t="s">
        <v>776</v>
      </c>
      <c r="D28" s="85" t="s">
        <v>339</v>
      </c>
      <c r="E28" s="81">
        <v>1</v>
      </c>
      <c r="F28" s="63" t="s">
        <v>790</v>
      </c>
      <c r="G28" s="63">
        <v>0</v>
      </c>
      <c r="H28" s="84"/>
      <c r="L28" s="63" t="s">
        <v>790</v>
      </c>
    </row>
    <row r="29" spans="1:16" x14ac:dyDescent="0.35">
      <c r="A29" s="63">
        <v>25</v>
      </c>
      <c r="B29" s="79" t="s">
        <v>782</v>
      </c>
      <c r="C29" s="79" t="s">
        <v>783</v>
      </c>
      <c r="D29" s="85" t="s">
        <v>339</v>
      </c>
      <c r="E29" s="81">
        <v>1</v>
      </c>
      <c r="F29" s="63" t="s">
        <v>649</v>
      </c>
      <c r="G29" s="63">
        <v>0</v>
      </c>
      <c r="H29" s="84"/>
      <c r="L29" s="63" t="s">
        <v>649</v>
      </c>
    </row>
    <row r="30" spans="1:16" x14ac:dyDescent="0.35">
      <c r="A30" s="63">
        <v>26</v>
      </c>
      <c r="B30" s="79">
        <v>-1</v>
      </c>
      <c r="C30" s="79">
        <f>B30</f>
        <v>-1</v>
      </c>
      <c r="D30" s="85" t="s">
        <v>339</v>
      </c>
      <c r="E30" s="81">
        <v>1</v>
      </c>
      <c r="F30" s="63" t="s">
        <v>791</v>
      </c>
      <c r="G30" s="63">
        <v>0</v>
      </c>
      <c r="H30" s="84"/>
      <c r="L30" s="63" t="s">
        <v>791</v>
      </c>
    </row>
  </sheetData>
  <phoneticPr fontId="40" type="noConversion"/>
  <conditionalFormatting sqref="D2">
    <cfRule type="containsText" dxfId="138" priority="112" operator="containsText" text=" ">
      <formula>NOT(ISERROR(SEARCH(" ",D2)))</formula>
    </cfRule>
  </conditionalFormatting>
  <conditionalFormatting sqref="F6">
    <cfRule type="containsText" dxfId="137" priority="44" operator="containsText" text=" ">
      <formula>NOT(ISERROR(SEARCH(" ",F6)))</formula>
    </cfRule>
  </conditionalFormatting>
  <conditionalFormatting sqref="H6">
    <cfRule type="containsText" dxfId="136" priority="225" operator="containsText" text=" ">
      <formula>NOT(ISERROR(SEARCH(" ",H6)))</formula>
    </cfRule>
  </conditionalFormatting>
  <conditionalFormatting sqref="N6">
    <cfRule type="containsText" dxfId="135" priority="5" operator="containsText" text=" ">
      <formula>NOT(ISERROR(SEARCH(" ",N6)))</formula>
    </cfRule>
  </conditionalFormatting>
  <conditionalFormatting sqref="O6">
    <cfRule type="containsText" dxfId="134" priority="2" operator="containsText" text=" ">
      <formula>NOT(ISERROR(SEARCH(" ",O6)))</formula>
    </cfRule>
  </conditionalFormatting>
  <conditionalFormatting sqref="P6">
    <cfRule type="containsText" dxfId="133" priority="1" operator="containsText" text=" ">
      <formula>NOT(ISERROR(SEARCH(" ",P6)))</formula>
    </cfRule>
  </conditionalFormatting>
  <conditionalFormatting sqref="F7">
    <cfRule type="containsText" dxfId="132" priority="43" operator="containsText" text=" ">
      <formula>NOT(ISERROR(SEARCH(" ",F7)))</formula>
    </cfRule>
  </conditionalFormatting>
  <conditionalFormatting sqref="H7">
    <cfRule type="containsText" dxfId="131" priority="239" operator="containsText" text=" ">
      <formula>NOT(ISERROR(SEARCH(" ",H7)))</formula>
    </cfRule>
  </conditionalFormatting>
  <conditionalFormatting sqref="F8">
    <cfRule type="containsText" dxfId="130" priority="49" operator="containsText" text=" ">
      <formula>NOT(ISERROR(SEARCH(" ",F8)))</formula>
    </cfRule>
  </conditionalFormatting>
  <conditionalFormatting sqref="Q8">
    <cfRule type="containsText" dxfId="129" priority="50" operator="containsText" text=" ">
      <formula>NOT(ISERROR(SEARCH(" ",Q8)))</formula>
    </cfRule>
  </conditionalFormatting>
  <conditionalFormatting sqref="F9">
    <cfRule type="containsText" dxfId="128" priority="47" operator="containsText" text=" ">
      <formula>NOT(ISERROR(SEARCH(" ",F9)))</formula>
    </cfRule>
  </conditionalFormatting>
  <conditionalFormatting sqref="F10">
    <cfRule type="containsText" dxfId="127" priority="46" operator="containsText" text=" ">
      <formula>NOT(ISERROR(SEARCH(" ",F10)))</formula>
    </cfRule>
  </conditionalFormatting>
  <conditionalFormatting sqref="F11">
    <cfRule type="containsText" dxfId="126" priority="45" operator="containsText" text=" ">
      <formula>NOT(ISERROR(SEARCH(" ",F11)))</formula>
    </cfRule>
  </conditionalFormatting>
  <conditionalFormatting sqref="B12:C12">
    <cfRule type="containsText" dxfId="125" priority="33" operator="containsText" text=" ">
      <formula>NOT(ISERROR(SEARCH(" ",B12)))</formula>
    </cfRule>
  </conditionalFormatting>
  <conditionalFormatting sqref="F12">
    <cfRule type="containsText" dxfId="124" priority="29" operator="containsText" text=" ">
      <formula>NOT(ISERROR(SEARCH(" ",F12)))</formula>
    </cfRule>
  </conditionalFormatting>
  <conditionalFormatting sqref="F13:G13">
    <cfRule type="containsText" dxfId="123" priority="36" operator="containsText" text=" ">
      <formula>NOT(ISERROR(SEARCH(" ",F13)))</formula>
    </cfRule>
  </conditionalFormatting>
  <conditionalFormatting sqref="F14:G14">
    <cfRule type="containsText" dxfId="122" priority="35" operator="containsText" text=" ">
      <formula>NOT(ISERROR(SEARCH(" ",F14)))</formula>
    </cfRule>
  </conditionalFormatting>
  <conditionalFormatting sqref="H14">
    <cfRule type="containsText" dxfId="121" priority="226" operator="containsText" text=" ">
      <formula>NOT(ISERROR(SEARCH(" ",H14)))</formula>
    </cfRule>
  </conditionalFormatting>
  <conditionalFormatting sqref="F15:G15">
    <cfRule type="containsText" dxfId="120" priority="39" operator="containsText" text=" ">
      <formula>NOT(ISERROR(SEARCH(" ",F15)))</formula>
    </cfRule>
  </conditionalFormatting>
  <conditionalFormatting sqref="B21:C21">
    <cfRule type="containsText" dxfId="119" priority="14" operator="containsText" text=" ">
      <formula>NOT(ISERROR(SEARCH(" ",B21)))</formula>
    </cfRule>
  </conditionalFormatting>
  <conditionalFormatting sqref="F21">
    <cfRule type="containsText" dxfId="118" priority="23" operator="containsText" text=" ">
      <formula>NOT(ISERROR(SEARCH(" ",F21)))</formula>
    </cfRule>
  </conditionalFormatting>
  <conditionalFormatting sqref="H21">
    <cfRule type="containsText" dxfId="117" priority="27" operator="containsText" text=" ">
      <formula>NOT(ISERROR(SEARCH(" ",H21)))</formula>
    </cfRule>
  </conditionalFormatting>
  <conditionalFormatting sqref="L21">
    <cfRule type="containsText" dxfId="116" priority="11" operator="containsText" text=" ">
      <formula>NOT(ISERROR(SEARCH(" ",L21)))</formula>
    </cfRule>
  </conditionalFormatting>
  <conditionalFormatting sqref="F22:G22">
    <cfRule type="containsText" dxfId="115" priority="37" operator="containsText" text=" ">
      <formula>NOT(ISERROR(SEARCH(" ",F22)))</formula>
    </cfRule>
  </conditionalFormatting>
  <conditionalFormatting sqref="F23:G23">
    <cfRule type="containsText" dxfId="114" priority="41" operator="containsText" text=" ">
      <formula>NOT(ISERROR(SEARCH(" ",F23)))</formula>
    </cfRule>
  </conditionalFormatting>
  <conditionalFormatting sqref="H23">
    <cfRule type="containsText" dxfId="113" priority="118" operator="containsText" text=" ">
      <formula>NOT(ISERROR(SEARCH(" ",H23)))</formula>
    </cfRule>
  </conditionalFormatting>
  <conditionalFormatting sqref="F24:G24">
    <cfRule type="containsText" dxfId="112" priority="42" operator="containsText" text=" ">
      <formula>NOT(ISERROR(SEARCH(" ",F24)))</formula>
    </cfRule>
  </conditionalFormatting>
  <conditionalFormatting sqref="B30:C30">
    <cfRule type="containsText" dxfId="111" priority="13" operator="containsText" text=" ">
      <formula>NOT(ISERROR(SEARCH(" ",B30)))</formula>
    </cfRule>
  </conditionalFormatting>
  <conditionalFormatting sqref="F30">
    <cfRule type="containsText" dxfId="110" priority="17" operator="containsText" text=" ">
      <formula>NOT(ISERROR(SEARCH(" ",F30)))</formula>
    </cfRule>
  </conditionalFormatting>
  <conditionalFormatting sqref="L30">
    <cfRule type="containsText" dxfId="109" priority="9" operator="containsText" text=" ">
      <formula>NOT(ISERROR(SEARCH(" ",L30)))</formula>
    </cfRule>
  </conditionalFormatting>
  <conditionalFormatting sqref="L16:L20">
    <cfRule type="containsText" dxfId="108" priority="12" operator="containsText" text=" ">
      <formula>NOT(ISERROR(SEARCH(" ",L16)))</formula>
    </cfRule>
  </conditionalFormatting>
  <conditionalFormatting sqref="L25:L29">
    <cfRule type="containsText" dxfId="107" priority="10" operator="containsText" text=" ">
      <formula>NOT(ISERROR(SEARCH(" ",L25)))</formula>
    </cfRule>
  </conditionalFormatting>
  <conditionalFormatting sqref="N14:N15">
    <cfRule type="containsText" dxfId="106" priority="6" operator="containsText" text=" ">
      <formula>NOT(ISERROR(SEARCH(" ",N14)))</formula>
    </cfRule>
  </conditionalFormatting>
  <conditionalFormatting sqref="O14:O15">
    <cfRule type="containsText" dxfId="105" priority="4" operator="containsText" text=" ">
      <formula>NOT(ISERROR(SEARCH(" ",O14)))</formula>
    </cfRule>
  </conditionalFormatting>
  <conditionalFormatting sqref="P14:P15">
    <cfRule type="containsText" dxfId="104" priority="3" operator="containsText" text=" ">
      <formula>NOT(ISERROR(SEARCH(" ",P14)))</formula>
    </cfRule>
  </conditionalFormatting>
  <conditionalFormatting sqref="A29:A30 A23:A24 A17:A18 B14:C20 A6:C6 A5 A11:A12 B7:C11 E2 A2:C2 A1:E1 H18:K20 I6:M6 I14:M15 K4:XFD4 I4 I21:K21 R8:XFD8 Q9:XFD12 Q14:XFD21 H31:XFD1048576 I1:XFD3 I16:K17 M16:N21 Q6:XFD7">
    <cfRule type="containsText" dxfId="103" priority="246" operator="containsText" text=" ">
      <formula>NOT(ISERROR(SEARCH(" ",A1)))</formula>
    </cfRule>
  </conditionalFormatting>
  <conditionalFormatting sqref="A25:A28 A3:E4 A31:G1048576 A19:A22 A13:A16 A7:A10 Q22:XFD30 O7:P13 J4 N8 I8:L8 I9:N12 I7:N7 I25:K30 M25:N30 I22:N24 O16:P30">
    <cfRule type="containsText" dxfId="102" priority="230" operator="containsText" text=" ">
      <formula>NOT(ISERROR(SEARCH(" ",A3)))</formula>
    </cfRule>
  </conditionalFormatting>
  <conditionalFormatting sqref="B5:C5 I5:XFD5">
    <cfRule type="containsText" dxfId="101" priority="234" operator="containsText" text=" ">
      <formula>NOT(ISERROR(SEARCH(" ",B5)))</formula>
    </cfRule>
  </conditionalFormatting>
  <conditionalFormatting sqref="F5:G5 G6:G12">
    <cfRule type="containsText" dxfId="100" priority="38" operator="containsText" text=" ">
      <formula>NOT(ISERROR(SEARCH(" ",F5)))</formula>
    </cfRule>
  </conditionalFormatting>
  <conditionalFormatting sqref="B13:C13 H13:N13 Q13:XFD13">
    <cfRule type="containsText" dxfId="99" priority="229" operator="containsText" text=" ">
      <formula>NOT(ISERROR(SEARCH(" ",B13)))</formula>
    </cfRule>
  </conditionalFormatting>
  <conditionalFormatting sqref="F16:G16 F17:F20 G17:G21">
    <cfRule type="containsText" dxfId="98" priority="48" operator="containsText" text=" ">
      <formula>NOT(ISERROR(SEARCH(" ",F16)))</formula>
    </cfRule>
  </conditionalFormatting>
  <conditionalFormatting sqref="B22:C22 H22">
    <cfRule type="containsText" dxfId="97" priority="121" operator="containsText" text=" ">
      <formula>NOT(ISERROR(SEARCH(" ",B22)))</formula>
    </cfRule>
  </conditionalFormatting>
  <conditionalFormatting sqref="B23:C29 H27:H30">
    <cfRule type="containsText" dxfId="96" priority="127" operator="containsText" text=" ">
      <formula>NOT(ISERROR(SEARCH(" ",B23)))</formula>
    </cfRule>
  </conditionalFormatting>
  <conditionalFormatting sqref="F25:G25 F26:F29 G26:G30">
    <cfRule type="containsText" dxfId="95" priority="40" operator="containsText" text=" ">
      <formula>NOT(ISERROR(SEARCH(" ",F25)))</formula>
    </cfRule>
  </conditionalFormatting>
  <pageMargins left="0.69930555555555596" right="0.69930555555555596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U39" sqref="U39"/>
    </sheetView>
  </sheetViews>
  <sheetFormatPr defaultColWidth="9" defaultRowHeight="15.6" x14ac:dyDescent="0.35"/>
  <cols>
    <col min="1" max="1" width="9" style="1"/>
    <col min="2" max="2" width="11.33203125" style="1" customWidth="1"/>
    <col min="3" max="3" width="15.33203125" style="1" customWidth="1"/>
    <col min="4" max="5" width="15" style="1" customWidth="1"/>
    <col min="6" max="6" width="9" style="1"/>
    <col min="7" max="7" width="14.6640625" style="39" customWidth="1"/>
    <col min="8" max="8" width="16" style="1" customWidth="1"/>
    <col min="9" max="16384" width="9" style="1"/>
  </cols>
  <sheetData>
    <row r="1" spans="1:12" x14ac:dyDescent="0.35">
      <c r="A1" s="2" t="s">
        <v>1</v>
      </c>
      <c r="B1" s="2" t="s">
        <v>1</v>
      </c>
      <c r="C1" s="2" t="s">
        <v>1</v>
      </c>
      <c r="D1" s="2" t="s">
        <v>1</v>
      </c>
      <c r="F1" s="1" t="s">
        <v>792</v>
      </c>
      <c r="L1" s="75" t="s">
        <v>19</v>
      </c>
    </row>
    <row r="2" spans="1:12" x14ac:dyDescent="0.35">
      <c r="A2" s="2" t="s">
        <v>7</v>
      </c>
      <c r="B2" s="2" t="s">
        <v>7</v>
      </c>
      <c r="C2" s="2" t="s">
        <v>8</v>
      </c>
      <c r="D2" s="2" t="s">
        <v>7</v>
      </c>
      <c r="F2" s="1" t="s">
        <v>793</v>
      </c>
      <c r="G2" s="71">
        <v>100</v>
      </c>
    </row>
    <row r="3" spans="1:12" x14ac:dyDescent="0.35">
      <c r="A3" s="2" t="s">
        <v>282</v>
      </c>
      <c r="B3" s="2" t="s">
        <v>794</v>
      </c>
      <c r="C3" s="2" t="s">
        <v>795</v>
      </c>
      <c r="D3" s="2" t="s">
        <v>796</v>
      </c>
      <c r="H3" s="1" t="s">
        <v>797</v>
      </c>
    </row>
    <row r="4" spans="1:12" ht="52.8" x14ac:dyDescent="0.35">
      <c r="A4" s="2" t="s">
        <v>798</v>
      </c>
      <c r="B4" s="2" t="s">
        <v>799</v>
      </c>
      <c r="C4" s="2" t="s">
        <v>800</v>
      </c>
      <c r="D4" s="72" t="s">
        <v>801</v>
      </c>
      <c r="F4" s="1" t="s">
        <v>802</v>
      </c>
      <c r="G4" s="1" t="s">
        <v>803</v>
      </c>
      <c r="H4" s="73">
        <f>SUM(H5:H19)</f>
        <v>800.00000000000011</v>
      </c>
    </row>
    <row r="5" spans="1:12" x14ac:dyDescent="0.35">
      <c r="A5" s="1">
        <v>1</v>
      </c>
      <c r="B5" s="1">
        <f>$G$2*F5</f>
        <v>100</v>
      </c>
      <c r="C5" s="1">
        <f>G5/SUM($G$5:$G$19)</f>
        <v>0</v>
      </c>
      <c r="D5" s="1">
        <v>0</v>
      </c>
      <c r="F5" s="1">
        <v>1</v>
      </c>
      <c r="G5" s="74">
        <v>0</v>
      </c>
      <c r="H5" s="1">
        <f t="shared" ref="H5:H16" si="0">C5*B5</f>
        <v>0</v>
      </c>
    </row>
    <row r="6" spans="1:12" x14ac:dyDescent="0.35">
      <c r="A6" s="1">
        <v>2</v>
      </c>
      <c r="B6" s="1">
        <f t="shared" ref="B6:B19" si="1">$G$2*F6</f>
        <v>200</v>
      </c>
      <c r="C6" s="1">
        <f t="shared" ref="C6:C19" si="2">G6/SUM($G$5:$G$19)</f>
        <v>0</v>
      </c>
      <c r="D6" s="1">
        <v>0</v>
      </c>
      <c r="F6" s="1">
        <v>2</v>
      </c>
      <c r="G6" s="74">
        <v>0</v>
      </c>
      <c r="H6" s="1">
        <f t="shared" si="0"/>
        <v>0</v>
      </c>
    </row>
    <row r="7" spans="1:12" x14ac:dyDescent="0.35">
      <c r="A7" s="1">
        <v>3</v>
      </c>
      <c r="B7" s="1">
        <f t="shared" si="1"/>
        <v>300</v>
      </c>
      <c r="C7" s="1">
        <f t="shared" si="2"/>
        <v>3.8834951456310676E-2</v>
      </c>
      <c r="D7" s="1">
        <v>1</v>
      </c>
      <c r="F7" s="1">
        <v>3</v>
      </c>
      <c r="G7" s="74">
        <v>4</v>
      </c>
      <c r="H7" s="1">
        <f t="shared" si="0"/>
        <v>11.650485436893202</v>
      </c>
    </row>
    <row r="8" spans="1:12" x14ac:dyDescent="0.35">
      <c r="A8" s="1">
        <v>4</v>
      </c>
      <c r="B8" s="1">
        <f t="shared" si="1"/>
        <v>400</v>
      </c>
      <c r="C8" s="1">
        <f t="shared" si="2"/>
        <v>4.8543689320388349E-2</v>
      </c>
      <c r="D8" s="1">
        <v>1</v>
      </c>
      <c r="F8" s="1">
        <v>4</v>
      </c>
      <c r="G8" s="74">
        <v>5</v>
      </c>
      <c r="H8" s="1">
        <f t="shared" si="0"/>
        <v>19.417475728155338</v>
      </c>
    </row>
    <row r="9" spans="1:12" x14ac:dyDescent="0.35">
      <c r="A9" s="1">
        <v>5</v>
      </c>
      <c r="B9" s="1">
        <f t="shared" si="1"/>
        <v>500</v>
      </c>
      <c r="C9" s="1">
        <f t="shared" si="2"/>
        <v>9.7087378640776698E-2</v>
      </c>
      <c r="D9" s="1">
        <v>1</v>
      </c>
      <c r="F9" s="1">
        <v>5</v>
      </c>
      <c r="G9" s="74">
        <v>10</v>
      </c>
      <c r="H9" s="1">
        <f t="shared" si="0"/>
        <v>48.543689320388346</v>
      </c>
    </row>
    <row r="10" spans="1:12" x14ac:dyDescent="0.35">
      <c r="A10" s="1">
        <v>6</v>
      </c>
      <c r="B10" s="1">
        <f t="shared" si="1"/>
        <v>600</v>
      </c>
      <c r="C10" s="1">
        <f t="shared" si="2"/>
        <v>0.14563106796116504</v>
      </c>
      <c r="D10" s="1">
        <v>0</v>
      </c>
      <c r="F10" s="1">
        <v>6</v>
      </c>
      <c r="G10" s="74">
        <v>15</v>
      </c>
      <c r="H10" s="1">
        <f t="shared" si="0"/>
        <v>87.378640776699029</v>
      </c>
    </row>
    <row r="11" spans="1:12" x14ac:dyDescent="0.35">
      <c r="A11" s="1">
        <v>7</v>
      </c>
      <c r="B11" s="1">
        <f t="shared" si="1"/>
        <v>700</v>
      </c>
      <c r="C11" s="1">
        <f t="shared" si="2"/>
        <v>0.1553398058252427</v>
      </c>
      <c r="D11" s="1">
        <v>0</v>
      </c>
      <c r="F11" s="1">
        <v>7</v>
      </c>
      <c r="G11" s="74">
        <v>16</v>
      </c>
      <c r="H11" s="1">
        <f t="shared" si="0"/>
        <v>108.7378640776699</v>
      </c>
    </row>
    <row r="12" spans="1:12" x14ac:dyDescent="0.35">
      <c r="A12" s="1">
        <v>8</v>
      </c>
      <c r="B12" s="1">
        <f t="shared" si="1"/>
        <v>800</v>
      </c>
      <c r="C12" s="1">
        <f t="shared" si="2"/>
        <v>0.14563106796116504</v>
      </c>
      <c r="D12" s="1">
        <v>0</v>
      </c>
      <c r="F12" s="1">
        <v>8</v>
      </c>
      <c r="G12" s="74">
        <v>15</v>
      </c>
      <c r="H12" s="1">
        <f t="shared" si="0"/>
        <v>116.50485436893203</v>
      </c>
    </row>
    <row r="13" spans="1:12" x14ac:dyDescent="0.35">
      <c r="A13" s="1">
        <v>9</v>
      </c>
      <c r="B13" s="1">
        <f t="shared" si="1"/>
        <v>900</v>
      </c>
      <c r="C13" s="1">
        <f t="shared" si="2"/>
        <v>9.7087378640776698E-2</v>
      </c>
      <c r="D13" s="1">
        <v>0</v>
      </c>
      <c r="F13" s="1">
        <v>9</v>
      </c>
      <c r="G13" s="74">
        <v>10</v>
      </c>
      <c r="H13" s="1">
        <f t="shared" si="0"/>
        <v>87.378640776699029</v>
      </c>
    </row>
    <row r="14" spans="1:12" x14ac:dyDescent="0.35">
      <c r="A14" s="1">
        <v>10</v>
      </c>
      <c r="B14" s="1">
        <f t="shared" si="1"/>
        <v>1000</v>
      </c>
      <c r="C14" s="1">
        <f t="shared" si="2"/>
        <v>7.7669902912621352E-2</v>
      </c>
      <c r="D14" s="1">
        <v>0</v>
      </c>
      <c r="F14" s="1">
        <v>10</v>
      </c>
      <c r="G14" s="74">
        <v>8</v>
      </c>
      <c r="H14" s="1">
        <f t="shared" si="0"/>
        <v>77.669902912621353</v>
      </c>
    </row>
    <row r="15" spans="1:12" x14ac:dyDescent="0.35">
      <c r="A15" s="1">
        <v>11</v>
      </c>
      <c r="B15" s="1">
        <f t="shared" si="1"/>
        <v>1100</v>
      </c>
      <c r="C15" s="1">
        <f t="shared" si="2"/>
        <v>5.8252427184466021E-2</v>
      </c>
      <c r="D15" s="1">
        <v>0</v>
      </c>
      <c r="F15" s="1">
        <v>11</v>
      </c>
      <c r="G15" s="74">
        <v>6</v>
      </c>
      <c r="H15" s="1">
        <f t="shared" si="0"/>
        <v>64.077669902912618</v>
      </c>
    </row>
    <row r="16" spans="1:12" x14ac:dyDescent="0.35">
      <c r="A16" s="1">
        <v>12</v>
      </c>
      <c r="B16" s="1">
        <f t="shared" si="1"/>
        <v>1200</v>
      </c>
      <c r="C16" s="1">
        <f t="shared" si="2"/>
        <v>4.8543689320388349E-2</v>
      </c>
      <c r="D16" s="1">
        <v>0</v>
      </c>
      <c r="F16" s="1">
        <v>12</v>
      </c>
      <c r="G16" s="74">
        <v>5</v>
      </c>
      <c r="H16" s="1">
        <f t="shared" si="0"/>
        <v>58.252427184466022</v>
      </c>
    </row>
    <row r="17" spans="1:8" x14ac:dyDescent="0.35">
      <c r="A17" s="1">
        <v>13</v>
      </c>
      <c r="B17" s="1">
        <f t="shared" si="1"/>
        <v>1300</v>
      </c>
      <c r="C17" s="1">
        <f t="shared" si="2"/>
        <v>3.8834951456310676E-2</v>
      </c>
      <c r="D17" s="1">
        <v>0</v>
      </c>
      <c r="F17" s="1">
        <v>13</v>
      </c>
      <c r="G17" s="74">
        <v>4</v>
      </c>
      <c r="H17" s="1">
        <f t="shared" ref="H17:H19" si="3">C17*B17</f>
        <v>50.485436893203882</v>
      </c>
    </row>
    <row r="18" spans="1:8" x14ac:dyDescent="0.35">
      <c r="A18" s="1">
        <v>14</v>
      </c>
      <c r="B18" s="1">
        <f t="shared" si="1"/>
        <v>1400</v>
      </c>
      <c r="C18" s="1">
        <f t="shared" si="2"/>
        <v>2.9126213592233011E-2</v>
      </c>
      <c r="D18" s="1">
        <v>0</v>
      </c>
      <c r="F18" s="1">
        <v>14</v>
      </c>
      <c r="G18" s="74">
        <v>3</v>
      </c>
      <c r="H18" s="1">
        <f t="shared" si="3"/>
        <v>40.776699029126213</v>
      </c>
    </row>
    <row r="19" spans="1:8" x14ac:dyDescent="0.35">
      <c r="A19" s="1">
        <v>15</v>
      </c>
      <c r="B19" s="1">
        <f t="shared" si="1"/>
        <v>1500</v>
      </c>
      <c r="C19" s="1">
        <f t="shared" si="2"/>
        <v>1.9417475728155338E-2</v>
      </c>
      <c r="D19" s="1">
        <v>0</v>
      </c>
      <c r="F19" s="1">
        <v>15</v>
      </c>
      <c r="G19" s="74">
        <v>2</v>
      </c>
      <c r="H19" s="1">
        <f t="shared" si="3"/>
        <v>29.126213592233007</v>
      </c>
    </row>
  </sheetData>
  <phoneticPr fontId="40" type="noConversion"/>
  <conditionalFormatting sqref="C2">
    <cfRule type="containsText" dxfId="94" priority="4" operator="containsText" text=" ">
      <formula>NOT(ISERROR(SEARCH(" ",C2)))</formula>
    </cfRule>
  </conditionalFormatting>
  <conditionalFormatting sqref="C3">
    <cfRule type="containsText" dxfId="93" priority="6" operator="containsText" text=" ">
      <formula>NOT(ISERROR(SEARCH(" ",C3)))</formula>
    </cfRule>
  </conditionalFormatting>
  <conditionalFormatting sqref="D4">
    <cfRule type="containsText" dxfId="92" priority="2" operator="containsText" text=" ">
      <formula>NOT(ISERROR(SEARCH(" ",D4)))</formula>
    </cfRule>
  </conditionalFormatting>
  <conditionalFormatting sqref="D1:D3">
    <cfRule type="containsText" dxfId="91" priority="3" operator="containsText" text=" ">
      <formula>NOT(ISERROR(SEARCH(" ",D1)))</formula>
    </cfRule>
  </conditionalFormatting>
  <conditionalFormatting sqref="E1:E4">
    <cfRule type="containsText" dxfId="90" priority="1" operator="containsText" text=" ">
      <formula>NOT(ISERROR(SEARCH(" ",E1)))</formula>
    </cfRule>
  </conditionalFormatting>
  <conditionalFormatting sqref="A1:C1 G4 A2:B3 A20:F1048576 F8 F10 F12 F14 F16 D6:F6 H1:K1 J2:XFD2 F2 H2 F18 H3:XFD1048576 A4:C19 D7:E19 M1:XFD1">
    <cfRule type="containsText" dxfId="89" priority="7" operator="containsText" text=" ">
      <formula>NOT(ISERROR(SEARCH(" ",A1)))</formula>
    </cfRule>
  </conditionalFormatting>
  <conditionalFormatting sqref="F1 F7 F9 F11 F13 F15 D5:F5 F19 F17 F3:F4">
    <cfRule type="containsText" dxfId="88" priority="5" operator="containsText" text=" ">
      <formula>NOT(ISERROR(SEARCH(" ",D1)))</formula>
    </cfRule>
  </conditionalFormatting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6"/>
  <sheetViews>
    <sheetView workbookViewId="0">
      <selection activeCell="W4" sqref="W4:AA26"/>
    </sheetView>
  </sheetViews>
  <sheetFormatPr defaultColWidth="9" defaultRowHeight="15.6" x14ac:dyDescent="0.35"/>
  <cols>
    <col min="1" max="1" width="8.21875" style="39" customWidth="1"/>
    <col min="2" max="2" width="9" style="39"/>
    <col min="3" max="3" width="29" style="39" customWidth="1"/>
    <col min="4" max="4" width="11.21875" style="39" customWidth="1"/>
    <col min="5" max="5" width="9" style="39"/>
    <col min="6" max="6" width="9" style="1" customWidth="1"/>
    <col min="7" max="7" width="7.44140625" style="1" customWidth="1"/>
    <col min="8" max="8" width="6.21875" style="1" customWidth="1"/>
    <col min="9" max="9" width="6.44140625" style="1" customWidth="1"/>
    <col min="10" max="10" width="9" style="1"/>
    <col min="11" max="12" width="7.44140625" style="1" customWidth="1"/>
    <col min="13" max="13" width="5.88671875" style="1" customWidth="1"/>
    <col min="14" max="14" width="4.44140625" style="1" customWidth="1"/>
    <col min="15" max="15" width="9" style="1"/>
    <col min="16" max="16" width="9.33203125" style="1" customWidth="1"/>
    <col min="17" max="17" width="7.44140625" style="1" customWidth="1"/>
    <col min="18" max="18" width="6.21875" style="1" customWidth="1"/>
    <col min="19" max="19" width="4.44140625" style="1" customWidth="1"/>
    <col min="20" max="22" width="9" style="1"/>
    <col min="23" max="23" width="11.6640625" style="1" customWidth="1"/>
    <col min="24" max="27" width="9" style="1"/>
    <col min="28" max="16384" width="9" style="39"/>
  </cols>
  <sheetData>
    <row r="1" spans="1:27" x14ac:dyDescent="0.35">
      <c r="A1" s="2" t="s">
        <v>0</v>
      </c>
      <c r="B1" s="2" t="s">
        <v>0</v>
      </c>
      <c r="C1" s="2" t="s">
        <v>0</v>
      </c>
    </row>
    <row r="2" spans="1:27" x14ac:dyDescent="0.35">
      <c r="A2" s="2" t="s">
        <v>7</v>
      </c>
      <c r="B2" s="2" t="s">
        <v>7</v>
      </c>
      <c r="C2" s="2" t="s">
        <v>9</v>
      </c>
      <c r="F2" s="64" t="s">
        <v>804</v>
      </c>
      <c r="G2" s="65"/>
      <c r="H2" s="65"/>
      <c r="K2" s="65"/>
      <c r="L2" s="65"/>
      <c r="M2" s="65"/>
      <c r="P2" s="65"/>
      <c r="Q2" s="65"/>
      <c r="R2" s="65"/>
    </row>
    <row r="3" spans="1:27" x14ac:dyDescent="0.35">
      <c r="A3" s="2" t="s">
        <v>10</v>
      </c>
      <c r="B3" s="2" t="s">
        <v>805</v>
      </c>
      <c r="C3" s="2" t="s">
        <v>806</v>
      </c>
      <c r="F3" s="363" t="s">
        <v>807</v>
      </c>
      <c r="G3" s="363"/>
      <c r="H3" s="363"/>
      <c r="I3" s="363"/>
      <c r="J3" s="363"/>
      <c r="K3" s="364" t="s">
        <v>808</v>
      </c>
      <c r="L3" s="364"/>
      <c r="M3" s="364"/>
      <c r="N3" s="364"/>
      <c r="O3" s="364"/>
      <c r="P3" s="365" t="s">
        <v>809</v>
      </c>
      <c r="Q3" s="365"/>
      <c r="R3" s="365"/>
      <c r="S3" s="365"/>
      <c r="T3" s="365"/>
    </row>
    <row r="4" spans="1:27" x14ac:dyDescent="0.35">
      <c r="A4" s="60" t="s">
        <v>810</v>
      </c>
      <c r="B4" s="60" t="s">
        <v>811</v>
      </c>
      <c r="C4" s="60" t="s">
        <v>812</v>
      </c>
      <c r="F4" s="66" t="s">
        <v>389</v>
      </c>
      <c r="G4" s="66" t="s">
        <v>390</v>
      </c>
      <c r="H4" s="66" t="s">
        <v>391</v>
      </c>
      <c r="I4" s="66" t="s">
        <v>392</v>
      </c>
      <c r="J4" s="66" t="s">
        <v>553</v>
      </c>
      <c r="K4" s="66" t="s">
        <v>389</v>
      </c>
      <c r="L4" s="66" t="s">
        <v>390</v>
      </c>
      <c r="M4" s="66" t="s">
        <v>391</v>
      </c>
      <c r="N4" s="66" t="s">
        <v>392</v>
      </c>
      <c r="O4" s="66" t="s">
        <v>553</v>
      </c>
      <c r="P4" s="66" t="s">
        <v>389</v>
      </c>
      <c r="Q4" s="66" t="s">
        <v>390</v>
      </c>
      <c r="R4" s="66" t="s">
        <v>391</v>
      </c>
      <c r="S4" s="66" t="s">
        <v>392</v>
      </c>
      <c r="T4" s="66" t="s">
        <v>553</v>
      </c>
      <c r="U4" s="69"/>
      <c r="V4" s="69"/>
      <c r="W4" s="11">
        <v>0</v>
      </c>
      <c r="X4" s="70" t="s">
        <v>553</v>
      </c>
      <c r="Y4" s="70" t="s">
        <v>554</v>
      </c>
      <c r="Z4" s="70" t="s">
        <v>390</v>
      </c>
      <c r="AA4" s="11" t="s">
        <v>10</v>
      </c>
    </row>
    <row r="5" spans="1:27" x14ac:dyDescent="0.35">
      <c r="A5" s="39">
        <v>1</v>
      </c>
      <c r="B5" s="39">
        <v>10</v>
      </c>
      <c r="C5" s="1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67" t="s">
        <v>375</v>
      </c>
      <c r="G5" s="68">
        <f>VLOOKUP(F5,W:AA,4,0)</f>
        <v>1</v>
      </c>
      <c r="H5" s="68">
        <f>VLOOKUP(F5,W:AA,5,0)</f>
        <v>2</v>
      </c>
      <c r="I5" s="67">
        <v>20000</v>
      </c>
      <c r="J5" s="6">
        <f>VLOOKUP(F5,W:AA,2,0)*I5</f>
        <v>0.1</v>
      </c>
      <c r="K5" s="67" t="s">
        <v>360</v>
      </c>
      <c r="L5" s="68">
        <f>VLOOKUP(K5,W:AA,4,0)</f>
        <v>1</v>
      </c>
      <c r="M5" s="68">
        <f>VLOOKUP(K5,W:AA,5,0)</f>
        <v>1</v>
      </c>
      <c r="N5" s="67">
        <v>20</v>
      </c>
      <c r="O5" s="6">
        <f>VLOOKUP(K5,W:AA,2,0)*N5</f>
        <v>2</v>
      </c>
      <c r="P5" s="67" t="s">
        <v>397</v>
      </c>
      <c r="Q5" s="68">
        <f>VLOOKUP(P5,W:AA,4,0)</f>
        <v>2</v>
      </c>
      <c r="R5" s="68">
        <f>VLOOKUP(P5,W:AA,5,0)</f>
        <v>1001</v>
      </c>
      <c r="S5" s="67">
        <v>10</v>
      </c>
      <c r="T5" s="6">
        <f>VLOOKUP(P5,W:AA,2,0)*S5</f>
        <v>1</v>
      </c>
      <c r="W5" s="11" t="s">
        <v>559</v>
      </c>
      <c r="X5" s="11">
        <v>1</v>
      </c>
      <c r="Y5" s="11">
        <v>20</v>
      </c>
      <c r="Z5" s="11">
        <v>1</v>
      </c>
      <c r="AA5" s="11">
        <v>0</v>
      </c>
    </row>
    <row r="6" spans="1:27" x14ac:dyDescent="0.35">
      <c r="A6" s="39">
        <v>2</v>
      </c>
      <c r="B6" s="39">
        <v>30</v>
      </c>
      <c r="C6" s="1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67" t="s">
        <v>570</v>
      </c>
      <c r="G6" s="68">
        <f>VLOOKUP(F6,W:AA,4,0)</f>
        <v>2</v>
      </c>
      <c r="H6" s="68">
        <f>VLOOKUP(F6,W:AA,5,0)</f>
        <v>1005</v>
      </c>
      <c r="I6" s="67">
        <v>1</v>
      </c>
      <c r="J6" s="6">
        <f>VLOOKUP(F6,W:AA,2,0)*I6</f>
        <v>5</v>
      </c>
      <c r="K6" s="67" t="s">
        <v>360</v>
      </c>
      <c r="L6" s="68">
        <f>VLOOKUP(K6,W:AA,4,0)</f>
        <v>1</v>
      </c>
      <c r="M6" s="68">
        <f>VLOOKUP(K6,W:AA,5,0)</f>
        <v>1</v>
      </c>
      <c r="N6" s="67">
        <v>50</v>
      </c>
      <c r="O6" s="6">
        <f>VLOOKUP(K6,W:AA,2,0)*N6</f>
        <v>5</v>
      </c>
      <c r="P6" s="67" t="s">
        <v>397</v>
      </c>
      <c r="Q6" s="68">
        <f>VLOOKUP(P6,W:AA,4,0)</f>
        <v>2</v>
      </c>
      <c r="R6" s="68">
        <f>VLOOKUP(P6,W:AA,5,0)</f>
        <v>1001</v>
      </c>
      <c r="S6" s="67">
        <v>30</v>
      </c>
      <c r="T6" s="6">
        <f>VLOOKUP(P6,W:AA,2,0)*S6</f>
        <v>3</v>
      </c>
      <c r="W6" s="11" t="s">
        <v>360</v>
      </c>
      <c r="X6" s="11">
        <v>0.1</v>
      </c>
      <c r="Y6" s="11">
        <v>2</v>
      </c>
      <c r="Z6" s="11">
        <v>1</v>
      </c>
      <c r="AA6" s="11">
        <v>1</v>
      </c>
    </row>
    <row r="7" spans="1:27" x14ac:dyDescent="0.35">
      <c r="A7" s="39">
        <v>3</v>
      </c>
      <c r="B7" s="39">
        <v>100</v>
      </c>
      <c r="C7" s="1" t="str">
        <f t="shared" si="0"/>
        <v>2|1005|1,1|1|200,2|1001|50</v>
      </c>
      <c r="F7" s="67" t="s">
        <v>570</v>
      </c>
      <c r="G7" s="68">
        <f>VLOOKUP(F7,W:AA,4,0)</f>
        <v>2</v>
      </c>
      <c r="H7" s="68">
        <f>VLOOKUP(F7,W:AA,5,0)</f>
        <v>1005</v>
      </c>
      <c r="I7" s="67">
        <v>1</v>
      </c>
      <c r="J7" s="6">
        <f>VLOOKUP(F7,W:AA,2,0)*I7</f>
        <v>5</v>
      </c>
      <c r="K7" s="67" t="s">
        <v>360</v>
      </c>
      <c r="L7" s="68">
        <f>VLOOKUP(K7,W:AA,4,0)</f>
        <v>1</v>
      </c>
      <c r="M7" s="68">
        <f>VLOOKUP(K7,W:AA,5,0)</f>
        <v>1</v>
      </c>
      <c r="N7" s="67">
        <v>200</v>
      </c>
      <c r="O7" s="6">
        <f>VLOOKUP(K7,W:AA,2,0)*N7</f>
        <v>20</v>
      </c>
      <c r="P7" s="67" t="s">
        <v>397</v>
      </c>
      <c r="Q7" s="68">
        <f>VLOOKUP(P7,W:AA,4,0)</f>
        <v>2</v>
      </c>
      <c r="R7" s="68">
        <f>VLOOKUP(P7,W:AA,5,0)</f>
        <v>1001</v>
      </c>
      <c r="S7" s="67">
        <v>50</v>
      </c>
      <c r="T7" s="6">
        <f>VLOOKUP(P7,W:AA,2,0)*S7</f>
        <v>5</v>
      </c>
      <c r="W7" s="11" t="s">
        <v>375</v>
      </c>
      <c r="X7" s="11">
        <v>5.0000000000000004E-6</v>
      </c>
      <c r="Y7" s="11">
        <v>1E-4</v>
      </c>
      <c r="Z7" s="11">
        <v>1</v>
      </c>
      <c r="AA7" s="11">
        <v>2</v>
      </c>
    </row>
    <row r="8" spans="1:27" x14ac:dyDescent="0.35">
      <c r="C8" s="1"/>
      <c r="F8" s="67"/>
      <c r="G8" s="68"/>
      <c r="H8" s="68"/>
      <c r="I8" s="67"/>
      <c r="J8" s="6"/>
      <c r="K8" s="67"/>
      <c r="L8" s="68"/>
      <c r="M8" s="68"/>
      <c r="N8" s="67"/>
      <c r="O8" s="6"/>
      <c r="P8" s="67"/>
      <c r="Q8" s="68"/>
      <c r="R8" s="68"/>
      <c r="S8" s="67"/>
      <c r="T8" s="6"/>
      <c r="W8" s="11" t="s">
        <v>397</v>
      </c>
      <c r="X8" s="11">
        <v>0.1</v>
      </c>
      <c r="Y8" s="11">
        <v>2</v>
      </c>
      <c r="Z8" s="11">
        <v>2</v>
      </c>
      <c r="AA8" s="11">
        <v>1001</v>
      </c>
    </row>
    <row r="9" spans="1:27" x14ac:dyDescent="0.35">
      <c r="C9" s="1"/>
      <c r="F9" s="67"/>
      <c r="G9" s="68"/>
      <c r="H9" s="68"/>
      <c r="I9" s="67"/>
      <c r="J9" s="6"/>
      <c r="K9" s="67"/>
      <c r="L9" s="68"/>
      <c r="M9" s="68"/>
      <c r="N9" s="67"/>
      <c r="O9" s="6"/>
      <c r="P9" s="67"/>
      <c r="Q9" s="68"/>
      <c r="R9" s="68"/>
      <c r="S9" s="67"/>
      <c r="T9" s="6"/>
      <c r="W9" s="11" t="s">
        <v>398</v>
      </c>
      <c r="X9" s="11">
        <v>0.25</v>
      </c>
      <c r="Y9" s="11">
        <v>5</v>
      </c>
      <c r="Z9" s="11">
        <v>2</v>
      </c>
      <c r="AA9" s="11">
        <v>1002</v>
      </c>
    </row>
    <row r="10" spans="1:27" x14ac:dyDescent="0.35">
      <c r="C10" s="1"/>
      <c r="F10" s="67"/>
      <c r="G10" s="68"/>
      <c r="H10" s="68"/>
      <c r="I10" s="67"/>
      <c r="J10" s="6"/>
      <c r="K10" s="67"/>
      <c r="L10" s="68"/>
      <c r="M10" s="68"/>
      <c r="N10" s="67"/>
      <c r="O10" s="6"/>
      <c r="P10" s="67"/>
      <c r="Q10" s="68"/>
      <c r="R10" s="68"/>
      <c r="S10" s="67"/>
      <c r="T10" s="6"/>
      <c r="W10" s="11" t="s">
        <v>402</v>
      </c>
      <c r="X10" s="11">
        <v>0.5</v>
      </c>
      <c r="Y10" s="11">
        <v>10</v>
      </c>
      <c r="Z10" s="11">
        <v>2</v>
      </c>
      <c r="AA10" s="11">
        <v>1003</v>
      </c>
    </row>
    <row r="11" spans="1:27" x14ac:dyDescent="0.35">
      <c r="C11" s="1"/>
      <c r="F11" s="67"/>
      <c r="G11" s="68"/>
      <c r="H11" s="68"/>
      <c r="I11" s="67"/>
      <c r="J11" s="6"/>
      <c r="K11" s="67"/>
      <c r="L11" s="68"/>
      <c r="M11" s="68"/>
      <c r="N11" s="67"/>
      <c r="O11" s="6"/>
      <c r="P11" s="67"/>
      <c r="Q11" s="68"/>
      <c r="R11" s="68"/>
      <c r="S11" s="67"/>
      <c r="T11" s="6"/>
      <c r="W11" s="11" t="s">
        <v>401</v>
      </c>
      <c r="X11" s="11">
        <v>0.1</v>
      </c>
      <c r="Y11" s="11">
        <v>2</v>
      </c>
      <c r="Z11" s="11">
        <v>2</v>
      </c>
      <c r="AA11" s="11">
        <v>1004</v>
      </c>
    </row>
    <row r="12" spans="1:27" x14ac:dyDescent="0.35">
      <c r="W12" s="11" t="s">
        <v>364</v>
      </c>
      <c r="X12" s="11">
        <v>7.5000000000000002E-4</v>
      </c>
      <c r="Y12" s="11">
        <v>1.4999999999999999E-2</v>
      </c>
      <c r="Z12" s="11">
        <v>2</v>
      </c>
      <c r="AA12" s="11">
        <v>1204</v>
      </c>
    </row>
    <row r="13" spans="1:27" x14ac:dyDescent="0.35">
      <c r="W13" s="11" t="s">
        <v>570</v>
      </c>
      <c r="X13" s="11">
        <v>5</v>
      </c>
      <c r="Y13" s="11">
        <v>100</v>
      </c>
      <c r="Z13" s="11">
        <v>2</v>
      </c>
      <c r="AA13" s="11">
        <v>1005</v>
      </c>
    </row>
    <row r="14" spans="1:27" x14ac:dyDescent="0.35">
      <c r="W14" s="11" t="s">
        <v>363</v>
      </c>
      <c r="X14" s="11">
        <v>10</v>
      </c>
      <c r="Y14" s="11">
        <v>200</v>
      </c>
      <c r="Z14" s="11">
        <v>2</v>
      </c>
      <c r="AA14" s="11">
        <v>1006</v>
      </c>
    </row>
    <row r="15" spans="1:27" x14ac:dyDescent="0.35">
      <c r="W15" s="11" t="s">
        <v>374</v>
      </c>
      <c r="X15" s="11">
        <v>25</v>
      </c>
      <c r="Y15" s="11">
        <v>500</v>
      </c>
      <c r="Z15" s="11">
        <v>2</v>
      </c>
      <c r="AA15" s="11">
        <v>1007</v>
      </c>
    </row>
    <row r="16" spans="1:27" x14ac:dyDescent="0.35">
      <c r="W16" s="11" t="s">
        <v>361</v>
      </c>
      <c r="X16" s="11">
        <v>50</v>
      </c>
      <c r="Y16" s="11">
        <v>1000</v>
      </c>
      <c r="Z16" s="11">
        <v>2</v>
      </c>
      <c r="AA16" s="11">
        <v>1008</v>
      </c>
    </row>
    <row r="17" spans="23:27" x14ac:dyDescent="0.35">
      <c r="W17" s="11" t="s">
        <v>571</v>
      </c>
      <c r="X17" s="11">
        <v>5</v>
      </c>
      <c r="Y17" s="11">
        <v>100</v>
      </c>
      <c r="Z17" s="11">
        <v>2</v>
      </c>
      <c r="AA17" s="11">
        <v>1206</v>
      </c>
    </row>
    <row r="18" spans="23:27" x14ac:dyDescent="0.35">
      <c r="W18" s="11" t="s">
        <v>572</v>
      </c>
      <c r="X18" s="11">
        <v>2</v>
      </c>
      <c r="Y18" s="11">
        <v>40</v>
      </c>
      <c r="Z18" s="11">
        <v>2</v>
      </c>
      <c r="AA18" s="11">
        <v>1205</v>
      </c>
    </row>
    <row r="19" spans="23:27" x14ac:dyDescent="0.35">
      <c r="W19" s="11" t="s">
        <v>573</v>
      </c>
      <c r="X19" s="11">
        <v>200</v>
      </c>
      <c r="Y19" s="11">
        <v>4000</v>
      </c>
      <c r="Z19" s="11">
        <v>2</v>
      </c>
      <c r="AA19" s="11">
        <v>1208</v>
      </c>
    </row>
    <row r="20" spans="23:27" x14ac:dyDescent="0.35">
      <c r="W20" s="1" t="s">
        <v>574</v>
      </c>
      <c r="X20" s="1">
        <v>30</v>
      </c>
      <c r="Y20" s="1">
        <v>600</v>
      </c>
      <c r="Z20" s="1">
        <v>2</v>
      </c>
      <c r="AA20" s="1">
        <v>1209</v>
      </c>
    </row>
    <row r="21" spans="23:27" x14ac:dyDescent="0.35">
      <c r="W21" s="1" t="s">
        <v>575</v>
      </c>
      <c r="X21" s="1">
        <v>50</v>
      </c>
      <c r="Y21" s="1">
        <v>1000</v>
      </c>
      <c r="Z21" s="1">
        <v>2</v>
      </c>
      <c r="AA21" s="1">
        <v>1210</v>
      </c>
    </row>
    <row r="22" spans="23:27" x14ac:dyDescent="0.35">
      <c r="W22" s="1" t="s">
        <v>576</v>
      </c>
      <c r="X22" s="1">
        <v>1</v>
      </c>
      <c r="Y22" s="1">
        <v>20</v>
      </c>
      <c r="Z22" s="1">
        <v>1</v>
      </c>
      <c r="AA22" s="1">
        <v>6</v>
      </c>
    </row>
    <row r="23" spans="23:27" x14ac:dyDescent="0.35">
      <c r="W23" s="1" t="s">
        <v>577</v>
      </c>
      <c r="X23" s="1">
        <v>1</v>
      </c>
      <c r="Y23" s="1">
        <v>20</v>
      </c>
      <c r="Z23" s="1">
        <v>2</v>
      </c>
      <c r="AA23" s="1">
        <v>1301</v>
      </c>
    </row>
    <row r="24" spans="23:27" x14ac:dyDescent="0.35">
      <c r="W24" s="1" t="s">
        <v>578</v>
      </c>
      <c r="X24" s="1">
        <v>1</v>
      </c>
      <c r="Y24" s="1">
        <v>20</v>
      </c>
      <c r="Z24" s="1">
        <v>2</v>
      </c>
      <c r="AA24" s="1">
        <v>1302</v>
      </c>
    </row>
    <row r="25" spans="23:27" x14ac:dyDescent="0.35">
      <c r="W25" s="1" t="s">
        <v>579</v>
      </c>
      <c r="X25" s="1">
        <v>1</v>
      </c>
      <c r="Y25" s="1">
        <v>20</v>
      </c>
      <c r="Z25" s="1">
        <v>2</v>
      </c>
      <c r="AA25" s="1">
        <v>1303</v>
      </c>
    </row>
    <row r="26" spans="23:27" x14ac:dyDescent="0.35">
      <c r="W26" s="1" t="s">
        <v>581</v>
      </c>
      <c r="X26" s="1">
        <v>1</v>
      </c>
      <c r="Y26" s="1">
        <v>20</v>
      </c>
      <c r="Z26" s="1">
        <v>2</v>
      </c>
      <c r="AA26" s="1">
        <v>1304</v>
      </c>
    </row>
  </sheetData>
  <mergeCells count="3">
    <mergeCell ref="F3:J3"/>
    <mergeCell ref="K3:O3"/>
    <mergeCell ref="P3:T3"/>
  </mergeCells>
  <phoneticPr fontId="40" type="noConversion"/>
  <conditionalFormatting sqref="F12:J12">
    <cfRule type="containsText" dxfId="87" priority="23" operator="containsText" text=" ">
      <formula>NOT(ISERROR(SEARCH(" ",F12)))</formula>
    </cfRule>
  </conditionalFormatting>
  <conditionalFormatting sqref="K12:O12">
    <cfRule type="containsText" dxfId="86" priority="18" operator="containsText" text=" ">
      <formula>NOT(ISERROR(SEARCH(" ",K12)))</formula>
    </cfRule>
  </conditionalFormatting>
  <conditionalFormatting sqref="P12:T12">
    <cfRule type="containsText" dxfId="85" priority="13" operator="containsText" text=" ">
      <formula>NOT(ISERROR(SEARCH(" ",P12)))</formula>
    </cfRule>
  </conditionalFormatting>
  <conditionalFormatting sqref="Z12">
    <cfRule type="containsText" dxfId="84" priority="31" operator="containsText" text=" ">
      <formula>NOT(ISERROR(SEARCH(" ",Z12)))</formula>
    </cfRule>
  </conditionalFormatting>
  <conditionalFormatting sqref="W17">
    <cfRule type="containsText" dxfId="83" priority="28" operator="containsText" text=" ">
      <formula>NOT(ISERROR(SEARCH(" ",W17)))</formula>
    </cfRule>
  </conditionalFormatting>
  <conditionalFormatting sqref="W18">
    <cfRule type="containsText" dxfId="82" priority="27" operator="containsText" text=" ">
      <formula>NOT(ISERROR(SEARCH(" ",W18)))</formula>
    </cfRule>
  </conditionalFormatting>
  <conditionalFormatting sqref="Z19">
    <cfRule type="containsText" dxfId="81" priority="26" operator="containsText" text=" ">
      <formula>NOT(ISERROR(SEARCH(" ",Z19)))</formula>
    </cfRule>
  </conditionalFormatting>
  <conditionalFormatting sqref="C5:C11">
    <cfRule type="containsText" dxfId="80" priority="24" operator="containsText" text=" ">
      <formula>NOT(ISERROR(SEARCH(" ",C5)))</formula>
    </cfRule>
  </conditionalFormatting>
  <conditionalFormatting sqref="I8:I9">
    <cfRule type="containsText" dxfId="79" priority="12" operator="containsText" text=" ">
      <formula>NOT(ISERROR(SEARCH(" ",I8)))</formula>
    </cfRule>
  </conditionalFormatting>
  <conditionalFormatting sqref="I10:I11">
    <cfRule type="containsText" dxfId="78" priority="6" operator="containsText" text=" ">
      <formula>NOT(ISERROR(SEARCH(" ",I10)))</formula>
    </cfRule>
  </conditionalFormatting>
  <conditionalFormatting sqref="N6:N7">
    <cfRule type="containsText" dxfId="77" priority="21" operator="containsText" text=" ">
      <formula>NOT(ISERROR(SEARCH(" ",N6)))</formula>
    </cfRule>
  </conditionalFormatting>
  <conditionalFormatting sqref="N8:N9">
    <cfRule type="containsText" dxfId="76" priority="10" operator="containsText" text=" ">
      <formula>NOT(ISERROR(SEARCH(" ",N8)))</formula>
    </cfRule>
  </conditionalFormatting>
  <conditionalFormatting sqref="N10:N11">
    <cfRule type="containsText" dxfId="75" priority="4" operator="containsText" text=" ">
      <formula>NOT(ISERROR(SEARCH(" ",N10)))</formula>
    </cfRule>
  </conditionalFormatting>
  <conditionalFormatting sqref="S6:S7">
    <cfRule type="containsText" dxfId="74" priority="16" operator="containsText" text=" ">
      <formula>NOT(ISERROR(SEARCH(" ",S6)))</formula>
    </cfRule>
  </conditionalFormatting>
  <conditionalFormatting sqref="S8:S9">
    <cfRule type="containsText" dxfId="73" priority="8" operator="containsText" text=" ">
      <formula>NOT(ISERROR(SEARCH(" ",S8)))</formula>
    </cfRule>
  </conditionalFormatting>
  <conditionalFormatting sqref="S10:S11">
    <cfRule type="containsText" dxfId="72" priority="2" operator="containsText" text=" ">
      <formula>NOT(ISERROR(SEARCH(" ",S10)))</formula>
    </cfRule>
  </conditionalFormatting>
  <conditionalFormatting sqref="X8:X11">
    <cfRule type="containsText" dxfId="71" priority="32" operator="containsText" text=" ">
      <formula>NOT(ISERROR(SEARCH(" ",X8)))</formula>
    </cfRule>
  </conditionalFormatting>
  <conditionalFormatting sqref="X13:X16">
    <cfRule type="containsText" dxfId="70" priority="29" operator="containsText" text=" ">
      <formula>NOT(ISERROR(SEARCH(" ",X13)))</formula>
    </cfRule>
  </conditionalFormatting>
  <conditionalFormatting sqref="Z8:Z11">
    <cfRule type="containsText" dxfId="69" priority="33" operator="containsText" text=" ">
      <formula>NOT(ISERROR(SEARCH(" ",Z8)))</formula>
    </cfRule>
  </conditionalFormatting>
  <conditionalFormatting sqref="Z13:Z16">
    <cfRule type="containsText" dxfId="68" priority="30" operator="containsText" text=" ">
      <formula>NOT(ISERROR(SEARCH(" ",Z13)))</formula>
    </cfRule>
  </conditionalFormatting>
  <conditionalFormatting sqref="E1:E11 A12:E1048576 AB1:XFD1048576 A5:B11">
    <cfRule type="containsText" dxfId="67" priority="43" operator="containsText" text=" ">
      <formula>NOT(ISERROR(SEARCH(" ",A1)))</formula>
    </cfRule>
  </conditionalFormatting>
  <conditionalFormatting sqref="F1:J2 F4:J5 J6:J7 F3 U4:V5 U1:W3 F6:H7">
    <cfRule type="containsText" dxfId="66" priority="35" operator="containsText" text=" ">
      <formula>NOT(ISERROR(SEARCH(" ",F1)))</formula>
    </cfRule>
  </conditionalFormatting>
  <conditionalFormatting sqref="K1:O2 K4:O5 K6:M7 O6:O7 K3">
    <cfRule type="containsText" dxfId="65" priority="20" operator="containsText" text=" ">
      <formula>NOT(ISERROR(SEARCH(" ",K1)))</formula>
    </cfRule>
  </conditionalFormatting>
  <conditionalFormatting sqref="P1:T2 T6:T7 P3 P4:T5 P6:R7">
    <cfRule type="containsText" dxfId="64" priority="15" operator="containsText" text=" ">
      <formula>NOT(ISERROR(SEARCH(" ",P1)))</formula>
    </cfRule>
  </conditionalFormatting>
  <conditionalFormatting sqref="Y8:Y11 W5:Z7 W8:W11 W12:Y12 W13:W16 Y13:Y16 X17:Z18 W19:Y19 W4:AA4">
    <cfRule type="containsText" dxfId="63" priority="34" operator="containsText" text=" ">
      <formula>NOT(ISERROR(SEARCH(" ",W4)))</formula>
    </cfRule>
  </conditionalFormatting>
  <conditionalFormatting sqref="AA5 F15:J1048576 AA12:AA19 U12:V19 U20:AA1048576">
    <cfRule type="containsText" dxfId="62" priority="42" operator="containsText" text=" ">
      <formula>NOT(ISERROR(SEARCH(" ",F5)))</formula>
    </cfRule>
  </conditionalFormatting>
  <conditionalFormatting sqref="V7 I6:I7 AA7">
    <cfRule type="containsText" dxfId="61" priority="40" operator="containsText" text=" ">
      <formula>NOT(ISERROR(SEARCH(" ",I6)))</formula>
    </cfRule>
  </conditionalFormatting>
  <conditionalFormatting sqref="U6:V6 U7:U11 AA6">
    <cfRule type="containsText" dxfId="60" priority="41" operator="containsText" text=" ">
      <formula>NOT(ISERROR(SEARCH(" ",U6)))</formula>
    </cfRule>
  </conditionalFormatting>
  <conditionalFormatting sqref="J8:J9 F8:H9">
    <cfRule type="containsText" dxfId="59" priority="11" operator="containsText" text=" ">
      <formula>NOT(ISERROR(SEARCH(" ",F8)))</formula>
    </cfRule>
  </conditionalFormatting>
  <conditionalFormatting sqref="K8:M9 O8:O9">
    <cfRule type="containsText" dxfId="58" priority="9" operator="containsText" text=" ">
      <formula>NOT(ISERROR(SEARCH(" ",K8)))</formula>
    </cfRule>
  </conditionalFormatting>
  <conditionalFormatting sqref="T8:T9 P8:R9">
    <cfRule type="containsText" dxfId="57" priority="7" operator="containsText" text=" ">
      <formula>NOT(ISERROR(SEARCH(" ",P8)))</formula>
    </cfRule>
  </conditionalFormatting>
  <conditionalFormatting sqref="V8 AA8">
    <cfRule type="containsText" dxfId="56" priority="39" operator="containsText" text=" ">
      <formula>NOT(ISERROR(SEARCH(" ",V8)))</formula>
    </cfRule>
  </conditionalFormatting>
  <conditionalFormatting sqref="V9 AA9">
    <cfRule type="containsText" dxfId="55" priority="38" operator="containsText" text=" ">
      <formula>NOT(ISERROR(SEARCH(" ",V9)))</formula>
    </cfRule>
  </conditionalFormatting>
  <conditionalFormatting sqref="J10:J11 F10:H11">
    <cfRule type="containsText" dxfId="54" priority="5" operator="containsText" text=" ">
      <formula>NOT(ISERROR(SEARCH(" ",F10)))</formula>
    </cfRule>
  </conditionalFormatting>
  <conditionalFormatting sqref="K10:M11 O10:O11">
    <cfRule type="containsText" dxfId="53" priority="3" operator="containsText" text=" ">
      <formula>NOT(ISERROR(SEARCH(" ",K10)))</formula>
    </cfRule>
  </conditionalFormatting>
  <conditionalFormatting sqref="T10:T11 P10:R11">
    <cfRule type="containsText" dxfId="52" priority="1" operator="containsText" text=" ">
      <formula>NOT(ISERROR(SEARCH(" ",P10)))</formula>
    </cfRule>
  </conditionalFormatting>
  <conditionalFormatting sqref="V10 AA10">
    <cfRule type="containsText" dxfId="51" priority="37" operator="containsText" text=" ">
      <formula>NOT(ISERROR(SEARCH(" ",V10)))</formula>
    </cfRule>
  </conditionalFormatting>
  <conditionalFormatting sqref="V11 AA11">
    <cfRule type="containsText" dxfId="50" priority="36" operator="containsText" text=" ">
      <formula>NOT(ISERROR(SEARCH(" ",V11)))</formula>
    </cfRule>
  </conditionalFormatting>
  <conditionalFormatting sqref="F13:J14">
    <cfRule type="containsText" dxfId="49" priority="25" operator="containsText" text=" ">
      <formula>NOT(ISERROR(SEARCH(" ",F13)))</formula>
    </cfRule>
  </conditionalFormatting>
  <conditionalFormatting sqref="K13:O14">
    <cfRule type="containsText" dxfId="48" priority="19" operator="containsText" text=" ">
      <formula>NOT(ISERROR(SEARCH(" ",K13)))</formula>
    </cfRule>
  </conditionalFormatting>
  <conditionalFormatting sqref="P13:T14">
    <cfRule type="containsText" dxfId="47" priority="14" operator="containsText" text=" ">
      <formula>NOT(ISERROR(SEARCH(" ",P13)))</formula>
    </cfRule>
  </conditionalFormatting>
  <conditionalFormatting sqref="K15:O1048576">
    <cfRule type="containsText" dxfId="46" priority="22" operator="containsText" text=" ">
      <formula>NOT(ISERROR(SEARCH(" ",K15)))</formula>
    </cfRule>
  </conditionalFormatting>
  <conditionalFormatting sqref="P15:T1048576">
    <cfRule type="containsText" dxfId="45" priority="17" operator="containsText" text=" ">
      <formula>NOT(ISERROR(SEARCH(" ",P15)))</formula>
    </cfRule>
  </conditionalFormatting>
  <pageMargins left="0.69930555555555596" right="0.69930555555555596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9"/>
  <sheetViews>
    <sheetView workbookViewId="0">
      <selection activeCell="Y10" sqref="Y10"/>
    </sheetView>
  </sheetViews>
  <sheetFormatPr defaultColWidth="9" defaultRowHeight="15.6" x14ac:dyDescent="0.35"/>
  <cols>
    <col min="1" max="1" width="9" style="39"/>
    <col min="2" max="2" width="14.21875" style="39" customWidth="1"/>
    <col min="3" max="3" width="11.77734375" style="39" customWidth="1"/>
    <col min="4" max="9" width="9" style="39"/>
    <col min="10" max="10" width="14.77734375" style="39" customWidth="1"/>
    <col min="11" max="12" width="12.88671875" style="39" customWidth="1"/>
    <col min="13" max="16384" width="9" style="39"/>
  </cols>
  <sheetData>
    <row r="1" spans="1:13" x14ac:dyDescent="0.35">
      <c r="A1" s="2" t="s">
        <v>1</v>
      </c>
      <c r="B1" s="2" t="s">
        <v>1</v>
      </c>
      <c r="C1" s="2" t="s">
        <v>1</v>
      </c>
      <c r="F1" s="39" t="s">
        <v>813</v>
      </c>
    </row>
    <row r="2" spans="1:13" x14ac:dyDescent="0.35">
      <c r="A2" s="2" t="s">
        <v>7</v>
      </c>
      <c r="B2" s="2" t="s">
        <v>7</v>
      </c>
      <c r="C2" s="2" t="s">
        <v>7</v>
      </c>
    </row>
    <row r="3" spans="1:13" x14ac:dyDescent="0.35">
      <c r="A3" s="2" t="s">
        <v>282</v>
      </c>
      <c r="B3" s="2" t="s">
        <v>814</v>
      </c>
      <c r="C3" s="2" t="s">
        <v>815</v>
      </c>
    </row>
    <row r="4" spans="1:13" ht="52.8" x14ac:dyDescent="0.35">
      <c r="A4" s="60" t="s">
        <v>798</v>
      </c>
      <c r="B4" s="60" t="s">
        <v>816</v>
      </c>
      <c r="C4" s="60" t="s">
        <v>817</v>
      </c>
    </row>
    <row r="5" spans="1:13" x14ac:dyDescent="0.35">
      <c r="A5" s="39">
        <v>1</v>
      </c>
      <c r="B5" s="39">
        <v>0</v>
      </c>
      <c r="C5" s="61">
        <v>5000</v>
      </c>
      <c r="I5" s="62" t="s">
        <v>818</v>
      </c>
      <c r="J5" s="62" t="s">
        <v>819</v>
      </c>
      <c r="K5" s="62" t="s">
        <v>820</v>
      </c>
      <c r="L5" s="62" t="s">
        <v>821</v>
      </c>
      <c r="M5" s="62" t="s">
        <v>822</v>
      </c>
    </row>
    <row r="6" spans="1:13" x14ac:dyDescent="0.35">
      <c r="A6" s="39">
        <v>2</v>
      </c>
      <c r="B6" s="39">
        <v>250</v>
      </c>
      <c r="C6" s="61">
        <f>C5</f>
        <v>5000</v>
      </c>
      <c r="I6" s="39">
        <v>1000</v>
      </c>
      <c r="J6" s="39">
        <f>C5</f>
        <v>5000</v>
      </c>
      <c r="K6" s="63">
        <v>10</v>
      </c>
      <c r="L6" s="39">
        <v>0</v>
      </c>
      <c r="M6" s="39">
        <f>(J6/(I6*(1/K6))+L6)*0.96</f>
        <v>48</v>
      </c>
    </row>
    <row r="7" spans="1:13" x14ac:dyDescent="0.35">
      <c r="A7" s="39">
        <v>3</v>
      </c>
      <c r="B7" s="39">
        <v>500</v>
      </c>
      <c r="C7" s="61">
        <f t="shared" ref="C7:C9" si="0">C6</f>
        <v>5000</v>
      </c>
      <c r="I7" s="39">
        <f>I6</f>
        <v>1000</v>
      </c>
      <c r="J7" s="39">
        <f>C6</f>
        <v>5000</v>
      </c>
      <c r="K7" s="39">
        <v>200</v>
      </c>
      <c r="L7" s="39">
        <v>0</v>
      </c>
      <c r="M7" s="39">
        <f>(J7/(I7*(1/K7))+L7)*0.96</f>
        <v>960</v>
      </c>
    </row>
    <row r="8" spans="1:13" x14ac:dyDescent="0.35">
      <c r="A8" s="39">
        <v>4</v>
      </c>
      <c r="B8" s="39">
        <v>1000</v>
      </c>
      <c r="C8" s="61">
        <f t="shared" si="0"/>
        <v>5000</v>
      </c>
      <c r="I8" s="39">
        <f t="shared" ref="I8:I9" si="1">I7</f>
        <v>1000</v>
      </c>
      <c r="J8" s="61">
        <f>C7</f>
        <v>5000</v>
      </c>
      <c r="K8" s="61">
        <v>500</v>
      </c>
      <c r="L8" s="61">
        <v>0</v>
      </c>
      <c r="M8" s="61">
        <f>(J8/(I8*(1/K8))+L8)*0.96</f>
        <v>2400</v>
      </c>
    </row>
    <row r="9" spans="1:13" x14ac:dyDescent="0.35">
      <c r="A9" s="39">
        <v>5</v>
      </c>
      <c r="B9" s="39">
        <v>3000</v>
      </c>
      <c r="C9" s="61">
        <f t="shared" si="0"/>
        <v>5000</v>
      </c>
      <c r="I9" s="39">
        <f t="shared" si="1"/>
        <v>1000</v>
      </c>
      <c r="J9" s="39">
        <f>C8</f>
        <v>5000</v>
      </c>
      <c r="K9" s="39">
        <v>5000</v>
      </c>
      <c r="L9" s="39">
        <v>0</v>
      </c>
      <c r="M9" s="39">
        <f>(J9/(I9*(1/K9))+L9)*0.96</f>
        <v>24000</v>
      </c>
    </row>
  </sheetData>
  <phoneticPr fontId="40" type="noConversion"/>
  <conditionalFormatting sqref="K6">
    <cfRule type="containsText" dxfId="44" priority="1" operator="containsText" text=" ">
      <formula>NOT(ISERROR(SEARCH(" ",K6)))</formula>
    </cfRule>
    <cfRule type="containsText" dxfId="43" priority="2" operator="containsText" text=" ">
      <formula>NOT(ISERROR(SEARCH(" ",K6)))</formula>
    </cfRule>
  </conditionalFormatting>
  <conditionalFormatting sqref="A1:C4">
    <cfRule type="containsText" dxfId="42" priority="4" operator="containsText" text=" ">
      <formula>NOT(ISERROR(SEARCH(" ",A1)))</formula>
    </cfRule>
  </conditionalFormatting>
  <pageMargins left="0.69930555555555596" right="0.69930555555555596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2"/>
  <sheetViews>
    <sheetView workbookViewId="0">
      <selection activeCell="L1" sqref="L1"/>
    </sheetView>
  </sheetViews>
  <sheetFormatPr defaultColWidth="9" defaultRowHeight="15.6" x14ac:dyDescent="0.25"/>
  <cols>
    <col min="1" max="1" width="10.44140625" style="1" customWidth="1"/>
    <col min="2" max="2" width="9.88671875" style="1" customWidth="1"/>
    <col min="3" max="5" width="9" style="1"/>
    <col min="6" max="6" width="10.6640625" style="1" customWidth="1"/>
    <col min="7" max="7" width="13.44140625" style="1" customWidth="1"/>
    <col min="8" max="8" width="9.77734375" style="1" customWidth="1"/>
    <col min="9" max="9" width="21.33203125" style="1" customWidth="1"/>
    <col min="10" max="10" width="9" style="1"/>
    <col min="11" max="11" width="21.88671875" style="1" customWidth="1"/>
    <col min="12" max="13" width="9" style="1"/>
    <col min="14" max="14" width="10.6640625" style="1" customWidth="1"/>
    <col min="15" max="16384" width="9" style="1"/>
  </cols>
  <sheetData>
    <row r="1" spans="1:12" x14ac:dyDescent="0.35">
      <c r="A1" s="2" t="s">
        <v>0</v>
      </c>
      <c r="B1" s="2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51" t="s">
        <v>0</v>
      </c>
      <c r="H1" s="51" t="s">
        <v>0</v>
      </c>
      <c r="I1" s="2" t="s">
        <v>0</v>
      </c>
      <c r="K1" s="12" t="s">
        <v>823</v>
      </c>
      <c r="L1" s="1">
        <v>150</v>
      </c>
    </row>
    <row r="2" spans="1:12" x14ac:dyDescent="0.35">
      <c r="A2" s="2" t="s">
        <v>7</v>
      </c>
      <c r="B2" s="2" t="s">
        <v>7</v>
      </c>
      <c r="C2" s="51" t="s">
        <v>7</v>
      </c>
      <c r="D2" s="51" t="s">
        <v>7</v>
      </c>
      <c r="E2" s="51" t="s">
        <v>7</v>
      </c>
      <c r="F2" s="51" t="s">
        <v>7</v>
      </c>
      <c r="G2" s="51" t="s">
        <v>7</v>
      </c>
      <c r="H2" s="51" t="s">
        <v>7</v>
      </c>
      <c r="I2" s="2" t="s">
        <v>9</v>
      </c>
      <c r="K2" s="1" t="s">
        <v>824</v>
      </c>
      <c r="L2" s="1">
        <f>1/(0.96/L1)/5*1000</f>
        <v>31250</v>
      </c>
    </row>
    <row r="3" spans="1:12" ht="30" x14ac:dyDescent="0.35">
      <c r="A3" s="2" t="s">
        <v>10</v>
      </c>
      <c r="B3" s="2" t="s">
        <v>47</v>
      </c>
      <c r="C3" s="51" t="s">
        <v>825</v>
      </c>
      <c r="D3" s="51" t="s">
        <v>826</v>
      </c>
      <c r="E3" s="51" t="s">
        <v>827</v>
      </c>
      <c r="F3" s="51" t="s">
        <v>828</v>
      </c>
      <c r="G3" s="51" t="s">
        <v>829</v>
      </c>
      <c r="H3" s="52" t="s">
        <v>830</v>
      </c>
      <c r="I3" s="2" t="s">
        <v>831</v>
      </c>
      <c r="K3" s="1" t="s">
        <v>832</v>
      </c>
      <c r="L3" s="55" t="e">
        <f>#REF!</f>
        <v>#REF!</v>
      </c>
    </row>
    <row r="4" spans="1:12" ht="66" x14ac:dyDescent="0.25">
      <c r="A4" s="4" t="s">
        <v>833</v>
      </c>
      <c r="B4" s="4" t="s">
        <v>834</v>
      </c>
      <c r="C4" s="53" t="s">
        <v>835</v>
      </c>
      <c r="D4" s="53" t="s">
        <v>836</v>
      </c>
      <c r="E4" s="53" t="s">
        <v>837</v>
      </c>
      <c r="F4" s="53" t="s">
        <v>838</v>
      </c>
      <c r="G4" s="53" t="s">
        <v>839</v>
      </c>
      <c r="H4" s="53" t="s">
        <v>840</v>
      </c>
      <c r="I4" s="4" t="s">
        <v>841</v>
      </c>
      <c r="K4" s="56" t="s">
        <v>842</v>
      </c>
      <c r="L4" s="57">
        <f>L2/F5*G5</f>
        <v>150</v>
      </c>
    </row>
    <row r="5" spans="1:12" x14ac:dyDescent="0.25">
      <c r="A5" s="1">
        <v>1</v>
      </c>
      <c r="B5" s="1">
        <v>2</v>
      </c>
      <c r="C5" s="12">
        <v>10</v>
      </c>
      <c r="D5" s="12">
        <f t="shared" ref="D5:D10" si="0">C5+100</f>
        <v>110</v>
      </c>
      <c r="E5" s="12">
        <v>200</v>
      </c>
      <c r="F5" s="54">
        <v>625</v>
      </c>
      <c r="G5" s="54">
        <v>3</v>
      </c>
      <c r="H5" s="12">
        <f>L5</f>
        <v>100</v>
      </c>
      <c r="I5" s="58" t="s">
        <v>843</v>
      </c>
      <c r="K5" s="1" t="s">
        <v>844</v>
      </c>
      <c r="L5" s="59">
        <v>100</v>
      </c>
    </row>
    <row r="6" spans="1:12" x14ac:dyDescent="0.25">
      <c r="A6" s="1">
        <v>2</v>
      </c>
      <c r="B6" s="1">
        <v>2</v>
      </c>
      <c r="C6" s="12">
        <f>D5+20</f>
        <v>130</v>
      </c>
      <c r="D6" s="12">
        <f t="shared" si="0"/>
        <v>230</v>
      </c>
      <c r="E6" s="12">
        <f>E5</f>
        <v>200</v>
      </c>
      <c r="F6" s="12">
        <f>F5</f>
        <v>625</v>
      </c>
      <c r="G6" s="12">
        <f>G5</f>
        <v>3</v>
      </c>
      <c r="H6" s="12">
        <f>H5</f>
        <v>100</v>
      </c>
      <c r="I6" s="58" t="s">
        <v>845</v>
      </c>
    </row>
    <row r="7" spans="1:12" x14ac:dyDescent="0.25">
      <c r="A7" s="1">
        <v>4</v>
      </c>
      <c r="B7" s="1">
        <v>3</v>
      </c>
      <c r="C7" s="12">
        <v>10</v>
      </c>
      <c r="D7" s="12">
        <f t="shared" si="0"/>
        <v>110</v>
      </c>
      <c r="E7" s="12">
        <f t="shared" ref="E7:E8" si="1">E6</f>
        <v>200</v>
      </c>
      <c r="F7" s="12">
        <f t="shared" ref="F7:H8" si="2">F6</f>
        <v>625</v>
      </c>
      <c r="G7" s="12">
        <f t="shared" si="2"/>
        <v>3</v>
      </c>
      <c r="H7" s="12">
        <f t="shared" si="2"/>
        <v>100</v>
      </c>
      <c r="I7" s="58" t="s">
        <v>843</v>
      </c>
    </row>
    <row r="8" spans="1:12" x14ac:dyDescent="0.25">
      <c r="A8" s="1">
        <v>5</v>
      </c>
      <c r="B8" s="1">
        <v>3</v>
      </c>
      <c r="C8" s="12">
        <f>D7+20</f>
        <v>130</v>
      </c>
      <c r="D8" s="12">
        <f t="shared" si="0"/>
        <v>230</v>
      </c>
      <c r="E8" s="12">
        <f t="shared" si="1"/>
        <v>200</v>
      </c>
      <c r="F8" s="12">
        <f t="shared" si="2"/>
        <v>625</v>
      </c>
      <c r="G8" s="12">
        <f t="shared" si="2"/>
        <v>3</v>
      </c>
      <c r="H8" s="12">
        <f t="shared" si="2"/>
        <v>100</v>
      </c>
      <c r="I8" s="58" t="s">
        <v>845</v>
      </c>
    </row>
    <row r="9" spans="1:12" x14ac:dyDescent="0.25">
      <c r="A9" s="1">
        <v>6</v>
      </c>
      <c r="B9" s="1">
        <v>1</v>
      </c>
      <c r="C9" s="12">
        <v>10</v>
      </c>
      <c r="D9" s="12">
        <f t="shared" si="0"/>
        <v>110</v>
      </c>
      <c r="E9" s="12">
        <v>200</v>
      </c>
      <c r="F9" s="12">
        <v>625</v>
      </c>
      <c r="G9" s="12">
        <v>3</v>
      </c>
      <c r="H9" s="12">
        <v>100</v>
      </c>
      <c r="I9" s="1">
        <v>701</v>
      </c>
    </row>
    <row r="10" spans="1:12" x14ac:dyDescent="0.25">
      <c r="A10" s="1">
        <v>7</v>
      </c>
      <c r="B10" s="1">
        <v>1</v>
      </c>
      <c r="C10" s="12">
        <f>D9+20</f>
        <v>130</v>
      </c>
      <c r="D10" s="12">
        <f t="shared" si="0"/>
        <v>230</v>
      </c>
      <c r="E10" s="12">
        <v>200</v>
      </c>
      <c r="F10" s="12">
        <v>625</v>
      </c>
      <c r="G10" s="12">
        <v>3</v>
      </c>
      <c r="H10" s="12">
        <v>100</v>
      </c>
      <c r="I10" s="1">
        <v>702</v>
      </c>
    </row>
    <row r="11" spans="1:12" x14ac:dyDescent="0.25">
      <c r="A11" s="1">
        <v>8</v>
      </c>
      <c r="B11" s="1">
        <v>4</v>
      </c>
      <c r="C11" s="12">
        <v>10</v>
      </c>
      <c r="D11" s="12">
        <f t="shared" ref="D11:D12" si="3">C11+100</f>
        <v>110</v>
      </c>
      <c r="E11" s="12">
        <v>200</v>
      </c>
      <c r="F11" s="12">
        <v>625</v>
      </c>
      <c r="G11" s="12">
        <v>3</v>
      </c>
      <c r="H11" s="12">
        <v>100</v>
      </c>
      <c r="I11" s="1">
        <v>701</v>
      </c>
    </row>
    <row r="12" spans="1:12" x14ac:dyDescent="0.25">
      <c r="A12" s="1">
        <v>9</v>
      </c>
      <c r="B12" s="1">
        <v>4</v>
      </c>
      <c r="C12" s="12">
        <f>D11+20</f>
        <v>130</v>
      </c>
      <c r="D12" s="12">
        <f t="shared" si="3"/>
        <v>230</v>
      </c>
      <c r="E12" s="12">
        <v>200</v>
      </c>
      <c r="F12" s="12">
        <v>625</v>
      </c>
      <c r="G12" s="12">
        <v>3</v>
      </c>
      <c r="H12" s="12">
        <v>100</v>
      </c>
      <c r="I12" s="1">
        <v>702</v>
      </c>
    </row>
  </sheetData>
  <phoneticPr fontId="40" type="noConversion"/>
  <conditionalFormatting sqref="B11:B12">
    <cfRule type="containsText" dxfId="41" priority="4" operator="containsText" text=" ">
      <formula>NOT(ISERROR(SEARCH(" ",B11)))</formula>
    </cfRule>
  </conditionalFormatting>
  <conditionalFormatting sqref="E11:E12">
    <cfRule type="containsText" dxfId="40" priority="2" operator="containsText" text=" ">
      <formula>NOT(ISERROR(SEARCH(" ",E11)))</formula>
    </cfRule>
  </conditionalFormatting>
  <conditionalFormatting sqref="O5:O6">
    <cfRule type="containsText" dxfId="39" priority="13" operator="containsText" text=" ">
      <formula>NOT(ISERROR(SEARCH(" ",O5)))</formula>
    </cfRule>
  </conditionalFormatting>
  <conditionalFormatting sqref="F5:N5 B5:B10 G6:N6 G7:H8 F6:F8 P5:XFD6 A13:N1048576 P11:XFD39 P44:XFD1048576 J11:N12">
    <cfRule type="containsText" dxfId="38" priority="23" operator="containsText" text=" ">
      <formula>NOT(ISERROR(SEARCH(" ",A5)))</formula>
    </cfRule>
  </conditionalFormatting>
  <conditionalFormatting sqref="C5:E5 C6:D6 E6:E10">
    <cfRule type="containsText" dxfId="37" priority="15" operator="containsText" text=" ">
      <formula>NOT(ISERROR(SEARCH(" ",C5)))</formula>
    </cfRule>
  </conditionalFormatting>
  <conditionalFormatting sqref="C7:D8">
    <cfRule type="containsText" dxfId="36" priority="6" operator="containsText" text=" ">
      <formula>NOT(ISERROR(SEARCH(" ",C7)))</formula>
    </cfRule>
  </conditionalFormatting>
  <conditionalFormatting sqref="P7:XFD10 I7:N8 P40:XFD43 F9:N10 O20:O36 O38:O40 O53:O1048576">
    <cfRule type="containsText" dxfId="35" priority="21" operator="containsText" text=" ">
      <formula>NOT(ISERROR(SEARCH(" ",F7)))</formula>
    </cfRule>
  </conditionalFormatting>
  <conditionalFormatting sqref="O7:O8 O52 O17">
    <cfRule type="containsText" dxfId="34" priority="12" operator="containsText" text=" ">
      <formula>NOT(ISERROR(SEARCH(" ",O7)))</formula>
    </cfRule>
  </conditionalFormatting>
  <conditionalFormatting sqref="C9:D10">
    <cfRule type="containsText" dxfId="33" priority="5" operator="containsText" text=" ">
      <formula>NOT(ISERROR(SEARCH(" ",C9)))</formula>
    </cfRule>
  </conditionalFormatting>
  <conditionalFormatting sqref="C11:D12">
    <cfRule type="containsText" dxfId="32" priority="1" operator="containsText" text=" ">
      <formula>NOT(ISERROR(SEARCH(" ",C11)))</formula>
    </cfRule>
  </conditionalFormatting>
  <conditionalFormatting sqref="F11:I12">
    <cfRule type="containsText" dxfId="31" priority="3" operator="containsText" text=" ">
      <formula>NOT(ISERROR(SEARCH(" ",F11)))</formula>
    </cfRule>
  </conditionalFormatting>
  <pageMargins left="0.69930555555555596" right="0.69930555555555596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workbookViewId="0">
      <selection activeCell="M36" sqref="M36"/>
    </sheetView>
  </sheetViews>
  <sheetFormatPr defaultColWidth="9" defaultRowHeight="15.6" x14ac:dyDescent="0.25"/>
  <cols>
    <col min="2" max="4" width="23.33203125" customWidth="1"/>
    <col min="5" max="5" width="12" customWidth="1"/>
    <col min="12" max="13" width="10.33203125" style="1" customWidth="1"/>
    <col min="14" max="16" width="9" style="1"/>
  </cols>
  <sheetData>
    <row r="1" spans="1:17" x14ac:dyDescent="0.35">
      <c r="A1" s="2" t="s">
        <v>0</v>
      </c>
      <c r="B1" s="30" t="s">
        <v>0</v>
      </c>
      <c r="C1" s="31" t="s">
        <v>0</v>
      </c>
    </row>
    <row r="2" spans="1:17" x14ac:dyDescent="0.35">
      <c r="A2" s="2" t="s">
        <v>7</v>
      </c>
      <c r="B2" s="30" t="s">
        <v>9</v>
      </c>
      <c r="C2" s="31" t="s">
        <v>9</v>
      </c>
    </row>
    <row r="3" spans="1:17" ht="16.2" x14ac:dyDescent="0.4">
      <c r="A3" s="2" t="s">
        <v>10</v>
      </c>
      <c r="B3" s="30" t="s">
        <v>590</v>
      </c>
      <c r="C3" s="32" t="s">
        <v>846</v>
      </c>
      <c r="E3" s="33" t="s">
        <v>847</v>
      </c>
    </row>
    <row r="4" spans="1:17" ht="92.4" x14ac:dyDescent="0.25">
      <c r="A4" s="34" t="s">
        <v>848</v>
      </c>
      <c r="B4" s="4" t="s">
        <v>849</v>
      </c>
      <c r="C4" s="35" t="s">
        <v>849</v>
      </c>
      <c r="E4" s="36" t="s">
        <v>544</v>
      </c>
      <c r="F4" s="37" t="s">
        <v>390</v>
      </c>
      <c r="G4" s="37" t="s">
        <v>391</v>
      </c>
      <c r="H4" s="38" t="s">
        <v>392</v>
      </c>
      <c r="I4" s="46" t="s">
        <v>850</v>
      </c>
      <c r="L4" s="47">
        <v>0</v>
      </c>
      <c r="M4" s="48" t="s">
        <v>553</v>
      </c>
      <c r="N4" s="49" t="s">
        <v>554</v>
      </c>
      <c r="O4" s="48" t="s">
        <v>390</v>
      </c>
      <c r="P4" s="50" t="s">
        <v>10</v>
      </c>
    </row>
    <row r="5" spans="1:17" x14ac:dyDescent="0.35">
      <c r="A5" s="39">
        <v>1</v>
      </c>
      <c r="B5" s="1" t="str">
        <f t="shared" ref="B5:B11" si="0">F5&amp;"|"&amp;G5&amp;"|"&amp;H5</f>
        <v>1|2|3000</v>
      </c>
      <c r="C5" s="1" t="str">
        <f>F5&amp;"|"&amp;G5&amp;"|"&amp;H5</f>
        <v>1|2|3000</v>
      </c>
      <c r="D5" s="1"/>
      <c r="E5" s="40" t="s">
        <v>375</v>
      </c>
      <c r="F5" s="11">
        <f t="shared" ref="F5:F11" si="1">VLOOKUP(E5,L:P,4,0)</f>
        <v>1</v>
      </c>
      <c r="G5" s="11">
        <f t="shared" ref="G5:G11" si="2">VLOOKUP(E5,L:P,5,0)</f>
        <v>2</v>
      </c>
      <c r="H5" s="41">
        <v>3000</v>
      </c>
      <c r="I5" s="19">
        <f t="shared" ref="I5:I11" si="3">VLOOKUP(E5,L:P,2,0)*H5</f>
        <v>1.5000000000000001E-2</v>
      </c>
      <c r="L5" s="10" t="s">
        <v>559</v>
      </c>
      <c r="M5" s="11">
        <v>1</v>
      </c>
      <c r="N5" s="11">
        <v>20</v>
      </c>
      <c r="O5" s="11">
        <v>1</v>
      </c>
      <c r="P5" s="19">
        <v>0</v>
      </c>
    </row>
    <row r="6" spans="1:17" ht="16.2" x14ac:dyDescent="0.35">
      <c r="A6" s="39">
        <v>2</v>
      </c>
      <c r="B6" s="1" t="str">
        <f t="shared" si="0"/>
        <v>2|1204|10</v>
      </c>
      <c r="C6" s="42" t="s">
        <v>651</v>
      </c>
      <c r="D6" s="39"/>
      <c r="E6" s="40" t="s">
        <v>364</v>
      </c>
      <c r="F6" s="11">
        <f t="shared" si="1"/>
        <v>2</v>
      </c>
      <c r="G6" s="11">
        <f t="shared" si="2"/>
        <v>1204</v>
      </c>
      <c r="H6" s="41">
        <v>10</v>
      </c>
      <c r="I6" s="19">
        <f t="shared" si="3"/>
        <v>7.4999999999999997E-3</v>
      </c>
      <c r="L6" s="10" t="s">
        <v>360</v>
      </c>
      <c r="M6" s="11">
        <v>0.1</v>
      </c>
      <c r="N6" s="11">
        <v>2</v>
      </c>
      <c r="O6" s="11">
        <v>1</v>
      </c>
      <c r="P6" s="19">
        <v>1</v>
      </c>
    </row>
    <row r="7" spans="1:17" ht="16.2" x14ac:dyDescent="0.35">
      <c r="A7" s="39">
        <v>3</v>
      </c>
      <c r="B7" s="1" t="str">
        <f t="shared" si="0"/>
        <v>1|1|20</v>
      </c>
      <c r="C7" s="1" t="str">
        <f t="shared" ref="C7:C11" si="4">F7&amp;"|"&amp;G7&amp;"|"&amp;H7</f>
        <v>1|1|20</v>
      </c>
      <c r="D7" s="39"/>
      <c r="E7" s="43" t="s">
        <v>360</v>
      </c>
      <c r="F7" s="11">
        <f t="shared" si="1"/>
        <v>1</v>
      </c>
      <c r="G7" s="11">
        <f t="shared" si="2"/>
        <v>1</v>
      </c>
      <c r="H7" s="41">
        <v>20</v>
      </c>
      <c r="I7" s="19">
        <f t="shared" si="3"/>
        <v>2</v>
      </c>
      <c r="L7" s="10" t="s">
        <v>375</v>
      </c>
      <c r="M7" s="11">
        <v>5.0000000000000004E-6</v>
      </c>
      <c r="N7" s="11">
        <v>1E-4</v>
      </c>
      <c r="O7" s="11">
        <v>1</v>
      </c>
      <c r="P7" s="19">
        <v>2</v>
      </c>
    </row>
    <row r="8" spans="1:17" ht="16.2" x14ac:dyDescent="0.35">
      <c r="A8" s="39">
        <v>4</v>
      </c>
      <c r="B8" s="1" t="str">
        <f t="shared" si="0"/>
        <v>1|2|10000</v>
      </c>
      <c r="C8" s="1" t="str">
        <f t="shared" si="4"/>
        <v>1|2|10000</v>
      </c>
      <c r="D8" s="39"/>
      <c r="E8" s="43" t="s">
        <v>375</v>
      </c>
      <c r="F8" s="11">
        <f t="shared" si="1"/>
        <v>1</v>
      </c>
      <c r="G8" s="11">
        <f t="shared" si="2"/>
        <v>2</v>
      </c>
      <c r="H8" s="41">
        <v>10000</v>
      </c>
      <c r="I8" s="19">
        <f t="shared" si="3"/>
        <v>0.05</v>
      </c>
      <c r="L8" s="10" t="s">
        <v>397</v>
      </c>
      <c r="M8" s="11">
        <v>0.1</v>
      </c>
      <c r="N8" s="11">
        <v>2</v>
      </c>
      <c r="O8" s="11">
        <v>2</v>
      </c>
      <c r="P8" s="19">
        <v>1001</v>
      </c>
    </row>
    <row r="9" spans="1:17" ht="16.2" x14ac:dyDescent="0.35">
      <c r="A9" s="39">
        <v>5</v>
      </c>
      <c r="B9" s="1" t="str">
        <f t="shared" si="0"/>
        <v>1|1|50</v>
      </c>
      <c r="C9" s="1" t="str">
        <f t="shared" si="4"/>
        <v>1|1|50</v>
      </c>
      <c r="D9" s="39"/>
      <c r="E9" s="43" t="s">
        <v>360</v>
      </c>
      <c r="F9" s="11">
        <f t="shared" si="1"/>
        <v>1</v>
      </c>
      <c r="G9" s="11">
        <f t="shared" si="2"/>
        <v>1</v>
      </c>
      <c r="H9" s="41">
        <v>50</v>
      </c>
      <c r="I9" s="19">
        <f t="shared" si="3"/>
        <v>5</v>
      </c>
      <c r="L9" s="10" t="s">
        <v>398</v>
      </c>
      <c r="M9" s="11">
        <v>0.25</v>
      </c>
      <c r="N9" s="11">
        <v>5</v>
      </c>
      <c r="O9" s="11">
        <v>2</v>
      </c>
      <c r="P9" s="19">
        <v>1002</v>
      </c>
    </row>
    <row r="10" spans="1:17" x14ac:dyDescent="0.35">
      <c r="A10" s="39">
        <v>6</v>
      </c>
      <c r="B10" s="1" t="str">
        <f t="shared" si="0"/>
        <v>1|2|50000</v>
      </c>
      <c r="C10" s="1" t="str">
        <f t="shared" si="4"/>
        <v>1|2|50000</v>
      </c>
      <c r="D10" s="39"/>
      <c r="E10" s="40" t="s">
        <v>375</v>
      </c>
      <c r="F10" s="11">
        <f t="shared" si="1"/>
        <v>1</v>
      </c>
      <c r="G10" s="11">
        <f t="shared" si="2"/>
        <v>2</v>
      </c>
      <c r="H10" s="41">
        <v>50000</v>
      </c>
      <c r="I10" s="19">
        <f t="shared" si="3"/>
        <v>0.25</v>
      </c>
      <c r="L10" s="10" t="s">
        <v>402</v>
      </c>
      <c r="M10" s="11">
        <v>0.5</v>
      </c>
      <c r="N10" s="11">
        <v>10</v>
      </c>
      <c r="O10" s="11">
        <v>2</v>
      </c>
      <c r="P10" s="19">
        <v>1003</v>
      </c>
    </row>
    <row r="11" spans="1:17" ht="16.2" x14ac:dyDescent="0.35">
      <c r="A11" s="39">
        <v>7</v>
      </c>
      <c r="B11" s="1" t="str">
        <f t="shared" si="0"/>
        <v>2|1005|1</v>
      </c>
      <c r="C11" s="1" t="str">
        <f t="shared" si="4"/>
        <v>2|1005|1</v>
      </c>
      <c r="D11" s="39"/>
      <c r="E11" s="44" t="s">
        <v>570</v>
      </c>
      <c r="F11" s="14">
        <f t="shared" si="1"/>
        <v>2</v>
      </c>
      <c r="G11" s="14">
        <f t="shared" si="2"/>
        <v>1005</v>
      </c>
      <c r="H11" s="45">
        <v>1</v>
      </c>
      <c r="I11" s="21">
        <f t="shared" si="3"/>
        <v>5</v>
      </c>
      <c r="L11" s="10" t="s">
        <v>401</v>
      </c>
      <c r="M11" s="11">
        <v>0.1</v>
      </c>
      <c r="N11" s="11">
        <v>2</v>
      </c>
      <c r="O11" s="11">
        <v>2</v>
      </c>
      <c r="P11" s="19">
        <v>1004</v>
      </c>
    </row>
    <row r="12" spans="1:17" x14ac:dyDescent="0.25">
      <c r="L12" s="10" t="s">
        <v>364</v>
      </c>
      <c r="M12" s="11">
        <v>7.5000000000000002E-4</v>
      </c>
      <c r="N12" s="11">
        <v>1.4999999999999999E-2</v>
      </c>
      <c r="O12" s="11">
        <v>2</v>
      </c>
      <c r="P12" s="19">
        <v>1204</v>
      </c>
      <c r="Q12">
        <v>5</v>
      </c>
    </row>
    <row r="13" spans="1:17" x14ac:dyDescent="0.25">
      <c r="L13" s="10" t="s">
        <v>570</v>
      </c>
      <c r="M13" s="11">
        <v>5</v>
      </c>
      <c r="N13" s="11">
        <v>100</v>
      </c>
      <c r="O13" s="11">
        <v>2</v>
      </c>
      <c r="P13" s="19">
        <v>1005</v>
      </c>
    </row>
    <row r="14" spans="1:17" x14ac:dyDescent="0.25">
      <c r="L14" s="10" t="s">
        <v>363</v>
      </c>
      <c r="M14" s="11">
        <v>10</v>
      </c>
      <c r="N14" s="11">
        <v>200</v>
      </c>
      <c r="O14" s="11">
        <v>2</v>
      </c>
      <c r="P14" s="19">
        <v>1006</v>
      </c>
    </row>
    <row r="15" spans="1:17" x14ac:dyDescent="0.25">
      <c r="E15" s="40"/>
      <c r="F15" s="11"/>
      <c r="G15" s="11"/>
      <c r="H15" s="41"/>
      <c r="I15" s="19"/>
      <c r="L15" s="10" t="s">
        <v>374</v>
      </c>
      <c r="M15" s="11">
        <v>25</v>
      </c>
      <c r="N15" s="11">
        <v>500</v>
      </c>
      <c r="O15" s="11">
        <v>2</v>
      </c>
      <c r="P15" s="19">
        <v>1007</v>
      </c>
    </row>
    <row r="16" spans="1:17" x14ac:dyDescent="0.25">
      <c r="E16" s="40"/>
      <c r="F16" s="11"/>
      <c r="G16" s="11"/>
      <c r="H16" s="41"/>
      <c r="I16" s="19"/>
      <c r="L16" s="10" t="s">
        <v>361</v>
      </c>
      <c r="M16" s="11">
        <v>50</v>
      </c>
      <c r="N16" s="11">
        <v>1000</v>
      </c>
      <c r="O16" s="11">
        <v>2</v>
      </c>
      <c r="P16" s="19">
        <v>1008</v>
      </c>
    </row>
    <row r="17" spans="12:16" x14ac:dyDescent="0.25">
      <c r="L17" s="10" t="s">
        <v>571</v>
      </c>
      <c r="M17" s="11">
        <v>5</v>
      </c>
      <c r="N17" s="11">
        <v>100</v>
      </c>
      <c r="O17" s="11">
        <v>2</v>
      </c>
      <c r="P17" s="19">
        <v>1206</v>
      </c>
    </row>
    <row r="18" spans="12:16" x14ac:dyDescent="0.25">
      <c r="L18" s="10" t="s">
        <v>572</v>
      </c>
      <c r="M18" s="11">
        <v>2</v>
      </c>
      <c r="N18" s="11">
        <v>40</v>
      </c>
      <c r="O18" s="11">
        <v>2</v>
      </c>
      <c r="P18" s="19">
        <v>1205</v>
      </c>
    </row>
    <row r="19" spans="12:16" x14ac:dyDescent="0.25">
      <c r="L19" s="13" t="s">
        <v>573</v>
      </c>
      <c r="M19" s="14">
        <v>200</v>
      </c>
      <c r="N19" s="14">
        <v>4000</v>
      </c>
      <c r="O19" s="14">
        <v>2</v>
      </c>
      <c r="P19" s="21">
        <v>1208</v>
      </c>
    </row>
    <row r="20" spans="12:16" x14ac:dyDescent="0.25">
      <c r="L20" s="1" t="s">
        <v>574</v>
      </c>
      <c r="M20" s="1">
        <v>30</v>
      </c>
      <c r="N20" s="1">
        <v>600</v>
      </c>
      <c r="O20" s="1">
        <v>2</v>
      </c>
      <c r="P20" s="1">
        <v>1209</v>
      </c>
    </row>
    <row r="21" spans="12:16" x14ac:dyDescent="0.25">
      <c r="L21" s="1" t="s">
        <v>575</v>
      </c>
      <c r="M21" s="1">
        <v>50</v>
      </c>
      <c r="N21" s="1">
        <v>1000</v>
      </c>
      <c r="O21" s="1">
        <v>2</v>
      </c>
      <c r="P21" s="1">
        <v>1210</v>
      </c>
    </row>
    <row r="22" spans="12:16" x14ac:dyDescent="0.25">
      <c r="L22" s="1" t="s">
        <v>576</v>
      </c>
      <c r="M22" s="1">
        <v>1</v>
      </c>
      <c r="N22" s="1">
        <v>20</v>
      </c>
      <c r="O22" s="1">
        <v>1</v>
      </c>
      <c r="P22" s="1">
        <v>6</v>
      </c>
    </row>
    <row r="23" spans="12:16" x14ac:dyDescent="0.25">
      <c r="L23" s="1" t="s">
        <v>577</v>
      </c>
      <c r="M23" s="1">
        <v>1</v>
      </c>
      <c r="N23" s="1">
        <v>20</v>
      </c>
      <c r="O23" s="1">
        <v>2</v>
      </c>
      <c r="P23" s="1">
        <v>1301</v>
      </c>
    </row>
    <row r="24" spans="12:16" x14ac:dyDescent="0.25">
      <c r="L24" s="1" t="s">
        <v>578</v>
      </c>
      <c r="M24" s="1">
        <v>1</v>
      </c>
      <c r="N24" s="1">
        <v>20</v>
      </c>
      <c r="O24" s="1">
        <v>2</v>
      </c>
      <c r="P24" s="1">
        <v>1302</v>
      </c>
    </row>
    <row r="25" spans="12:16" x14ac:dyDescent="0.25">
      <c r="L25" s="1" t="s">
        <v>579</v>
      </c>
      <c r="M25" s="1">
        <v>1</v>
      </c>
      <c r="N25" s="1">
        <v>20</v>
      </c>
      <c r="O25" s="1">
        <v>2</v>
      </c>
      <c r="P25" s="1">
        <v>1303</v>
      </c>
    </row>
    <row r="26" spans="12:16" x14ac:dyDescent="0.25">
      <c r="L26" s="1" t="s">
        <v>581</v>
      </c>
      <c r="M26" s="1">
        <v>1</v>
      </c>
      <c r="N26" s="1">
        <v>20</v>
      </c>
      <c r="O26" s="1">
        <v>2</v>
      </c>
      <c r="P26" s="1">
        <v>1304</v>
      </c>
    </row>
    <row r="27" spans="12:16" x14ac:dyDescent="0.25">
      <c r="L27" s="1" t="s">
        <v>580</v>
      </c>
      <c r="M27" s="1">
        <v>30</v>
      </c>
      <c r="N27" s="1">
        <v>600</v>
      </c>
      <c r="O27" s="1">
        <v>2</v>
      </c>
      <c r="P27" s="1">
        <v>1500</v>
      </c>
    </row>
  </sheetData>
  <phoneticPr fontId="40" type="noConversion"/>
  <conditionalFormatting sqref="E6">
    <cfRule type="containsText" dxfId="30" priority="13" operator="containsText" text=" ">
      <formula>NOT(ISERROR(SEARCH(" ",E6)))</formula>
    </cfRule>
  </conditionalFormatting>
  <conditionalFormatting sqref="E7">
    <cfRule type="containsText" dxfId="29" priority="6" operator="containsText" text=" ">
      <formula>NOT(ISERROR(SEARCH(" ",E7)))</formula>
    </cfRule>
  </conditionalFormatting>
  <conditionalFormatting sqref="E8">
    <cfRule type="containsText" dxfId="28" priority="5" operator="containsText" text=" ">
      <formula>NOT(ISERROR(SEARCH(" ",E8)))</formula>
    </cfRule>
  </conditionalFormatting>
  <conditionalFormatting sqref="E9">
    <cfRule type="containsText" dxfId="27" priority="12" operator="containsText" text=" ">
      <formula>NOT(ISERROR(SEARCH(" ",E9)))</formula>
    </cfRule>
  </conditionalFormatting>
  <conditionalFormatting sqref="E11">
    <cfRule type="containsText" dxfId="26" priority="11" operator="containsText" text=" ">
      <formula>NOT(ISERROR(SEARCH(" ",E11)))</formula>
    </cfRule>
  </conditionalFormatting>
  <conditionalFormatting sqref="P12">
    <cfRule type="containsText" dxfId="25" priority="20" operator="containsText" text=" ">
      <formula>NOT(ISERROR(SEARCH(" ",P12)))</formula>
    </cfRule>
  </conditionalFormatting>
  <conditionalFormatting sqref="E16">
    <cfRule type="containsText" dxfId="24" priority="3" operator="containsText" text=" ">
      <formula>NOT(ISERROR(SEARCH(" ",E16)))</formula>
    </cfRule>
  </conditionalFormatting>
  <conditionalFormatting sqref="L17:M17">
    <cfRule type="containsText" dxfId="23" priority="17" operator="containsText" text=" ">
      <formula>NOT(ISERROR(SEARCH(" ",L17)))</formula>
    </cfRule>
  </conditionalFormatting>
  <conditionalFormatting sqref="L18:M18">
    <cfRule type="containsText" dxfId="22" priority="16" operator="containsText" text=" ">
      <formula>NOT(ISERROR(SEARCH(" ",L18)))</formula>
    </cfRule>
  </conditionalFormatting>
  <conditionalFormatting sqref="P19">
    <cfRule type="containsText" dxfId="21" priority="15" operator="containsText" text=" ">
      <formula>NOT(ISERROR(SEARCH(" ",P19)))</formula>
    </cfRule>
  </conditionalFormatting>
  <conditionalFormatting sqref="A1:A11">
    <cfRule type="containsText" dxfId="20" priority="24" operator="containsText" text=" ">
      <formula>NOT(ISERROR(SEARCH(" ",A1)))</formula>
    </cfRule>
  </conditionalFormatting>
  <conditionalFormatting sqref="B5:B11">
    <cfRule type="containsText" dxfId="19" priority="7" operator="containsText" text=" ">
      <formula>NOT(ISERROR(SEARCH(" ",B5)))</formula>
    </cfRule>
  </conditionalFormatting>
  <conditionalFormatting sqref="C5:C11">
    <cfRule type="containsText" dxfId="18" priority="1" operator="containsText" text="1204">
      <formula>NOT(ISERROR(SEARCH("1204",C5)))</formula>
    </cfRule>
    <cfRule type="containsText" dxfId="17" priority="2" operator="containsText" text=" ">
      <formula>NOT(ISERROR(SEARCH(" ",C5)))</formula>
    </cfRule>
  </conditionalFormatting>
  <conditionalFormatting sqref="D5:D11">
    <cfRule type="containsText" dxfId="16" priority="31" operator="containsText" text=" ">
      <formula>NOT(ISERROR(SEARCH(" ",D5)))</formula>
    </cfRule>
  </conditionalFormatting>
  <conditionalFormatting sqref="N8:N11">
    <cfRule type="containsText" dxfId="15" priority="21" operator="containsText" text=" ">
      <formula>NOT(ISERROR(SEARCH(" ",N8)))</formula>
    </cfRule>
  </conditionalFormatting>
  <conditionalFormatting sqref="N13:N16">
    <cfRule type="containsText" dxfId="14" priority="18" operator="containsText" text=" ">
      <formula>NOT(ISERROR(SEARCH(" ",N13)))</formula>
    </cfRule>
  </conditionalFormatting>
  <conditionalFormatting sqref="P8:P11">
    <cfRule type="containsText" dxfId="13" priority="22" operator="containsText" text=" ">
      <formula>NOT(ISERROR(SEARCH(" ",P8)))</formula>
    </cfRule>
  </conditionalFormatting>
  <conditionalFormatting sqref="P13:P16">
    <cfRule type="containsText" dxfId="12" priority="19" operator="containsText" text=" ">
      <formula>NOT(ISERROR(SEARCH(" ",P13)))</formula>
    </cfRule>
  </conditionalFormatting>
  <conditionalFormatting sqref="O8:O11 L1:P7 L8:M11 L20:P1048576 L12:O12 L13:M16 O13:O16 N17:P18 L19:O19">
    <cfRule type="containsText" dxfId="11" priority="23" operator="containsText" text=" ">
      <formula>NOT(ISERROR(SEARCH(" ",L1)))</formula>
    </cfRule>
  </conditionalFormatting>
  <conditionalFormatting sqref="E10:I10 F11:I11 F6:I9 E5:I5">
    <cfRule type="containsText" dxfId="10" priority="14" operator="containsText" text=" ">
      <formula>NOT(ISERROR(SEARCH(" ",E5)))</formula>
    </cfRule>
  </conditionalFormatting>
  <conditionalFormatting sqref="F16:I16 E15:I15">
    <cfRule type="containsText" dxfId="9" priority="4" operator="containsText" text=" ">
      <formula>NOT(ISERROR(SEARCH(" ",E15)))</formula>
    </cfRule>
  </conditionalFormatting>
  <pageMargins left="0.69930555555555596" right="0.69930555555555596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52"/>
  <sheetViews>
    <sheetView workbookViewId="0">
      <selection activeCell="Y15" sqref="Y15"/>
    </sheetView>
  </sheetViews>
  <sheetFormatPr defaultColWidth="9" defaultRowHeight="15.6" x14ac:dyDescent="0.25"/>
  <cols>
    <col min="1" max="2" width="7" customWidth="1"/>
    <col min="3" max="3" width="11.21875" customWidth="1"/>
    <col min="4" max="4" width="11.6640625" customWidth="1"/>
    <col min="5" max="5" width="10.6640625" customWidth="1"/>
    <col min="6" max="6" width="13.44140625" customWidth="1"/>
    <col min="7" max="7" width="10.109375" customWidth="1"/>
    <col min="9" max="10" width="9" style="1"/>
    <col min="11" max="11" width="7.77734375" style="1" customWidth="1"/>
    <col min="12" max="12" width="8" style="1" customWidth="1"/>
    <col min="13" max="13" width="7" style="1" customWidth="1"/>
    <col min="14" max="14" width="9.6640625" style="1" customWidth="1"/>
    <col min="15" max="15" width="9" style="1"/>
    <col min="16" max="16" width="10.109375" style="1" customWidth="1"/>
    <col min="17" max="17" width="9" style="1"/>
    <col min="18" max="18" width="9.21875" style="1" customWidth="1"/>
    <col min="19" max="19" width="13.109375" style="1" customWidth="1"/>
    <col min="20" max="20" width="9.6640625" style="1" customWidth="1"/>
    <col min="21" max="21" width="9" style="1"/>
    <col min="22" max="22" width="9.44140625" customWidth="1"/>
  </cols>
  <sheetData>
    <row r="1" spans="1:21" ht="45" x14ac:dyDescent="0.3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0</v>
      </c>
      <c r="I1" s="6" t="s">
        <v>851</v>
      </c>
      <c r="K1" s="7" t="s">
        <v>852</v>
      </c>
      <c r="L1" s="8" t="s">
        <v>823</v>
      </c>
      <c r="M1" s="9" t="s">
        <v>853</v>
      </c>
      <c r="N1" s="9" t="s">
        <v>854</v>
      </c>
      <c r="O1" s="9" t="s">
        <v>855</v>
      </c>
      <c r="P1" s="9" t="s">
        <v>856</v>
      </c>
      <c r="Q1" s="17" t="s">
        <v>857</v>
      </c>
      <c r="R1" s="18" t="s">
        <v>858</v>
      </c>
      <c r="S1" s="6" t="s">
        <v>859</v>
      </c>
      <c r="T1" s="6" t="s">
        <v>860</v>
      </c>
    </row>
    <row r="2" spans="1:21" x14ac:dyDescent="0.35">
      <c r="A2" s="2" t="s">
        <v>7</v>
      </c>
      <c r="B2" s="2" t="s">
        <v>7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I2" s="1">
        <f>100*1000</f>
        <v>100000</v>
      </c>
      <c r="K2" s="10">
        <v>0</v>
      </c>
      <c r="L2" s="11">
        <v>20</v>
      </c>
      <c r="M2" s="11">
        <f>L2</f>
        <v>20</v>
      </c>
      <c r="N2" s="11">
        <v>20</v>
      </c>
      <c r="O2" s="11">
        <v>0</v>
      </c>
      <c r="P2" s="11">
        <v>0</v>
      </c>
      <c r="Q2" s="19">
        <v>0</v>
      </c>
      <c r="R2" s="20">
        <v>0</v>
      </c>
      <c r="S2" s="20">
        <f t="shared" ref="S2:S8" si="0">R3</f>
        <v>3472.2222222222217</v>
      </c>
      <c r="T2" s="1">
        <v>0</v>
      </c>
      <c r="U2" s="20">
        <f>S2</f>
        <v>3472.2222222222217</v>
      </c>
    </row>
    <row r="3" spans="1:21" ht="30" x14ac:dyDescent="0.35">
      <c r="A3" s="2" t="s">
        <v>365</v>
      </c>
      <c r="B3" s="3" t="s">
        <v>5</v>
      </c>
      <c r="C3" s="2" t="s">
        <v>794</v>
      </c>
      <c r="D3" s="3" t="s">
        <v>861</v>
      </c>
      <c r="E3" s="2" t="s">
        <v>828</v>
      </c>
      <c r="F3" s="2" t="s">
        <v>829</v>
      </c>
      <c r="G3" s="3" t="s">
        <v>830</v>
      </c>
      <c r="K3" s="10">
        <v>1</v>
      </c>
      <c r="L3" s="11">
        <v>30</v>
      </c>
      <c r="M3" s="11">
        <f t="shared" ref="M3:M12" si="1">L3</f>
        <v>30</v>
      </c>
      <c r="N3" s="11">
        <f>L3</f>
        <v>30</v>
      </c>
      <c r="O3" s="11">
        <v>660</v>
      </c>
      <c r="P3" s="11">
        <v>1</v>
      </c>
      <c r="Q3" s="19">
        <f t="shared" ref="Q3:Q11" si="2">L3</f>
        <v>30</v>
      </c>
      <c r="R3" s="20">
        <f t="shared" ref="R3:R12" si="3">1/(0.96/L2)/6*1000</f>
        <v>3472.2222222222217</v>
      </c>
      <c r="S3" s="20">
        <f t="shared" si="0"/>
        <v>5208.333333333333</v>
      </c>
      <c r="T3" s="20">
        <f t="shared" ref="T3:T9" si="4">S3/O3*P3</f>
        <v>7.891414141414141</v>
      </c>
      <c r="U3" s="20">
        <f>U2+S3</f>
        <v>8680.5555555555547</v>
      </c>
    </row>
    <row r="4" spans="1:21" ht="26.4" x14ac:dyDescent="0.25">
      <c r="A4" s="4" t="s">
        <v>852</v>
      </c>
      <c r="B4" s="4" t="s">
        <v>823</v>
      </c>
      <c r="C4" s="4" t="s">
        <v>853</v>
      </c>
      <c r="D4" s="4" t="s">
        <v>854</v>
      </c>
      <c r="E4" s="4" t="s">
        <v>855</v>
      </c>
      <c r="F4" s="4" t="s">
        <v>856</v>
      </c>
      <c r="G4" s="4" t="s">
        <v>857</v>
      </c>
      <c r="H4" s="5">
        <f>10+100+20+100+10</f>
        <v>240</v>
      </c>
      <c r="I4"/>
      <c r="J4" s="12" t="s">
        <v>862</v>
      </c>
      <c r="K4" s="10">
        <v>2</v>
      </c>
      <c r="L4" s="11">
        <v>50</v>
      </c>
      <c r="M4" s="11">
        <f t="shared" si="1"/>
        <v>50</v>
      </c>
      <c r="N4" s="11">
        <f t="shared" ref="N4:N12" si="5">L4</f>
        <v>50</v>
      </c>
      <c r="O4" s="11">
        <f>O3</f>
        <v>660</v>
      </c>
      <c r="P4" s="11">
        <v>2</v>
      </c>
      <c r="Q4" s="19">
        <f t="shared" si="2"/>
        <v>50</v>
      </c>
      <c r="R4" s="20">
        <f t="shared" si="3"/>
        <v>5208.333333333333</v>
      </c>
      <c r="S4" s="20">
        <f t="shared" si="0"/>
        <v>8680.5555555555547</v>
      </c>
      <c r="T4" s="20">
        <f t="shared" si="4"/>
        <v>26.304713804713803</v>
      </c>
      <c r="U4" s="20">
        <f t="shared" ref="U4:U11" si="6">U3+S4</f>
        <v>17361.111111111109</v>
      </c>
    </row>
    <row r="5" spans="1:21" x14ac:dyDescent="0.25">
      <c r="A5" s="1">
        <v>0</v>
      </c>
      <c r="B5" s="1">
        <v>20</v>
      </c>
      <c r="C5" s="1">
        <v>20</v>
      </c>
      <c r="D5" s="1">
        <v>20</v>
      </c>
      <c r="E5" s="1">
        <v>0</v>
      </c>
      <c r="F5" s="1">
        <v>0</v>
      </c>
      <c r="G5" s="1">
        <v>0</v>
      </c>
      <c r="K5" s="10">
        <v>3</v>
      </c>
      <c r="L5" s="11">
        <v>80</v>
      </c>
      <c r="M5" s="11">
        <f t="shared" si="1"/>
        <v>80</v>
      </c>
      <c r="N5" s="11">
        <f t="shared" si="5"/>
        <v>80</v>
      </c>
      <c r="O5" s="11">
        <f t="shared" ref="O5:O12" si="7">O4</f>
        <v>660</v>
      </c>
      <c r="P5" s="11">
        <v>3</v>
      </c>
      <c r="Q5" s="19">
        <f t="shared" si="2"/>
        <v>80</v>
      </c>
      <c r="R5" s="20">
        <f t="shared" si="3"/>
        <v>8680.5555555555547</v>
      </c>
      <c r="S5" s="20">
        <f t="shared" si="0"/>
        <v>13888.888888888887</v>
      </c>
      <c r="T5" s="20">
        <f t="shared" si="4"/>
        <v>63.131313131313121</v>
      </c>
      <c r="U5" s="20">
        <f t="shared" si="6"/>
        <v>31249.999999999996</v>
      </c>
    </row>
    <row r="6" spans="1:21" x14ac:dyDescent="0.25">
      <c r="A6" s="1">
        <v>1</v>
      </c>
      <c r="B6" s="1">
        <v>30</v>
      </c>
      <c r="C6" s="1">
        <v>30</v>
      </c>
      <c r="D6" s="1">
        <v>30</v>
      </c>
      <c r="E6" s="1">
        <v>660</v>
      </c>
      <c r="F6" s="1">
        <v>1</v>
      </c>
      <c r="G6" s="1">
        <v>30</v>
      </c>
      <c r="K6" s="10">
        <v>4</v>
      </c>
      <c r="L6" s="11">
        <v>100</v>
      </c>
      <c r="M6" s="11">
        <f t="shared" si="1"/>
        <v>100</v>
      </c>
      <c r="N6" s="11">
        <f t="shared" si="5"/>
        <v>100</v>
      </c>
      <c r="O6" s="11">
        <f t="shared" si="7"/>
        <v>660</v>
      </c>
      <c r="P6" s="11">
        <v>4</v>
      </c>
      <c r="Q6" s="19">
        <f t="shared" si="2"/>
        <v>100</v>
      </c>
      <c r="R6" s="20">
        <f t="shared" si="3"/>
        <v>13888.888888888887</v>
      </c>
      <c r="S6" s="20">
        <f t="shared" si="0"/>
        <v>17361.111111111109</v>
      </c>
      <c r="T6" s="20">
        <f t="shared" si="4"/>
        <v>105.21885521885521</v>
      </c>
      <c r="U6" s="20">
        <f t="shared" si="6"/>
        <v>48611.111111111109</v>
      </c>
    </row>
    <row r="7" spans="1:21" x14ac:dyDescent="0.25">
      <c r="A7" s="1">
        <v>2</v>
      </c>
      <c r="B7" s="1">
        <v>50</v>
      </c>
      <c r="C7" s="1">
        <v>50</v>
      </c>
      <c r="D7" s="1">
        <v>50</v>
      </c>
      <c r="E7" s="1">
        <v>660</v>
      </c>
      <c r="F7" s="1">
        <v>2</v>
      </c>
      <c r="G7" s="1">
        <v>50</v>
      </c>
      <c r="K7" s="10">
        <v>5</v>
      </c>
      <c r="L7" s="11">
        <v>120</v>
      </c>
      <c r="M7" s="11">
        <f t="shared" si="1"/>
        <v>120</v>
      </c>
      <c r="N7" s="11">
        <f t="shared" si="5"/>
        <v>120</v>
      </c>
      <c r="O7" s="11">
        <f t="shared" si="7"/>
        <v>660</v>
      </c>
      <c r="P7" s="11">
        <v>5</v>
      </c>
      <c r="Q7" s="19">
        <f t="shared" si="2"/>
        <v>120</v>
      </c>
      <c r="R7" s="20">
        <f t="shared" si="3"/>
        <v>17361.111111111109</v>
      </c>
      <c r="S7" s="20">
        <f t="shared" si="0"/>
        <v>20833.333333333332</v>
      </c>
      <c r="T7" s="20">
        <f t="shared" si="4"/>
        <v>157.82828282828282</v>
      </c>
      <c r="U7" s="20">
        <f t="shared" si="6"/>
        <v>69444.444444444438</v>
      </c>
    </row>
    <row r="8" spans="1:21" x14ac:dyDescent="0.25">
      <c r="A8" s="1">
        <v>3</v>
      </c>
      <c r="B8" s="1">
        <v>80</v>
      </c>
      <c r="C8" s="1">
        <v>80</v>
      </c>
      <c r="D8" s="1">
        <v>80</v>
      </c>
      <c r="E8" s="1">
        <v>660</v>
      </c>
      <c r="F8" s="1">
        <v>3</v>
      </c>
      <c r="G8" s="1">
        <v>80</v>
      </c>
      <c r="K8" s="10">
        <v>6</v>
      </c>
      <c r="L8" s="11">
        <v>150</v>
      </c>
      <c r="M8" s="11">
        <f t="shared" si="1"/>
        <v>150</v>
      </c>
      <c r="N8" s="11">
        <f t="shared" si="5"/>
        <v>150</v>
      </c>
      <c r="O8" s="11">
        <f t="shared" si="7"/>
        <v>660</v>
      </c>
      <c r="P8" s="11">
        <v>6</v>
      </c>
      <c r="Q8" s="19">
        <f t="shared" si="2"/>
        <v>150</v>
      </c>
      <c r="R8" s="20">
        <f t="shared" si="3"/>
        <v>20833.333333333332</v>
      </c>
      <c r="S8" s="20">
        <f t="shared" si="0"/>
        <v>26041.666666666668</v>
      </c>
      <c r="T8" s="20">
        <f t="shared" si="4"/>
        <v>236.74242424242425</v>
      </c>
      <c r="U8" s="20">
        <f t="shared" si="6"/>
        <v>95486.111111111109</v>
      </c>
    </row>
    <row r="9" spans="1:21" x14ac:dyDescent="0.25">
      <c r="A9" s="1">
        <v>4</v>
      </c>
      <c r="B9" s="1">
        <v>100</v>
      </c>
      <c r="C9" s="1">
        <v>100</v>
      </c>
      <c r="D9" s="1">
        <v>100</v>
      </c>
      <c r="E9" s="1">
        <v>660</v>
      </c>
      <c r="F9" s="1">
        <v>4</v>
      </c>
      <c r="G9" s="1">
        <v>100</v>
      </c>
      <c r="K9" s="10">
        <v>7</v>
      </c>
      <c r="L9" s="11">
        <v>150</v>
      </c>
      <c r="M9" s="11">
        <f t="shared" si="1"/>
        <v>150</v>
      </c>
      <c r="N9" s="11">
        <f t="shared" si="5"/>
        <v>150</v>
      </c>
      <c r="O9" s="11">
        <f t="shared" si="7"/>
        <v>660</v>
      </c>
      <c r="P9" s="11">
        <v>7</v>
      </c>
      <c r="Q9" s="19">
        <f t="shared" si="2"/>
        <v>150</v>
      </c>
      <c r="R9" s="20">
        <f t="shared" si="3"/>
        <v>26041.666666666668</v>
      </c>
      <c r="S9" s="20">
        <f>I2-SUM(S1:S8)</f>
        <v>4513.8888888888905</v>
      </c>
      <c r="T9" s="20">
        <f t="shared" si="4"/>
        <v>47.874579124579142</v>
      </c>
      <c r="U9" s="20">
        <f t="shared" si="6"/>
        <v>100000</v>
      </c>
    </row>
    <row r="10" spans="1:21" x14ac:dyDescent="0.25">
      <c r="A10" s="1">
        <v>5</v>
      </c>
      <c r="B10" s="1">
        <v>120</v>
      </c>
      <c r="C10" s="1">
        <v>120</v>
      </c>
      <c r="D10" s="1">
        <v>120</v>
      </c>
      <c r="E10" s="1">
        <v>660</v>
      </c>
      <c r="F10" s="1">
        <v>5</v>
      </c>
      <c r="G10" s="1">
        <v>120</v>
      </c>
      <c r="K10" s="10">
        <v>8</v>
      </c>
      <c r="L10" s="11">
        <v>200</v>
      </c>
      <c r="M10" s="11">
        <f t="shared" si="1"/>
        <v>200</v>
      </c>
      <c r="N10" s="11">
        <f t="shared" si="5"/>
        <v>200</v>
      </c>
      <c r="O10" s="11">
        <f t="shared" si="7"/>
        <v>660</v>
      </c>
      <c r="P10" s="11">
        <v>8</v>
      </c>
      <c r="Q10" s="19">
        <f t="shared" si="2"/>
        <v>200</v>
      </c>
      <c r="R10" s="20">
        <f t="shared" si="3"/>
        <v>26041.666666666668</v>
      </c>
      <c r="S10" s="20"/>
      <c r="T10" s="20"/>
      <c r="U10" s="20">
        <f t="shared" si="6"/>
        <v>100000</v>
      </c>
    </row>
    <row r="11" spans="1:21" x14ac:dyDescent="0.25">
      <c r="A11" s="1">
        <v>6</v>
      </c>
      <c r="B11" s="1">
        <v>150</v>
      </c>
      <c r="C11" s="1">
        <v>150</v>
      </c>
      <c r="D11" s="1">
        <v>150</v>
      </c>
      <c r="E11" s="1">
        <v>660</v>
      </c>
      <c r="F11" s="1">
        <v>6</v>
      </c>
      <c r="G11" s="1">
        <v>150</v>
      </c>
      <c r="K11" s="10">
        <v>9</v>
      </c>
      <c r="L11" s="11">
        <v>250</v>
      </c>
      <c r="M11" s="11">
        <f t="shared" si="1"/>
        <v>250</v>
      </c>
      <c r="N11" s="11">
        <f t="shared" si="5"/>
        <v>250</v>
      </c>
      <c r="O11" s="11">
        <f t="shared" si="7"/>
        <v>660</v>
      </c>
      <c r="P11" s="11">
        <v>9</v>
      </c>
      <c r="Q11" s="19">
        <f t="shared" si="2"/>
        <v>250</v>
      </c>
      <c r="R11" s="20">
        <f t="shared" si="3"/>
        <v>34722.222222222219</v>
      </c>
      <c r="S11" s="20"/>
      <c r="T11" s="20"/>
      <c r="U11" s="20">
        <f t="shared" si="6"/>
        <v>100000</v>
      </c>
    </row>
    <row r="12" spans="1:21" x14ac:dyDescent="0.25">
      <c r="A12" s="1">
        <v>7</v>
      </c>
      <c r="B12" s="1">
        <v>150</v>
      </c>
      <c r="C12" s="1">
        <v>150</v>
      </c>
      <c r="D12" s="1">
        <v>150</v>
      </c>
      <c r="E12" s="1">
        <v>660</v>
      </c>
      <c r="F12" s="1">
        <v>7</v>
      </c>
      <c r="G12" s="1">
        <v>150</v>
      </c>
      <c r="K12" s="13">
        <v>10</v>
      </c>
      <c r="L12" s="14">
        <v>300</v>
      </c>
      <c r="M12" s="14">
        <f t="shared" si="1"/>
        <v>300</v>
      </c>
      <c r="N12" s="14">
        <f t="shared" si="5"/>
        <v>300</v>
      </c>
      <c r="O12" s="14">
        <f t="shared" si="7"/>
        <v>660</v>
      </c>
      <c r="P12" s="14">
        <v>10</v>
      </c>
      <c r="Q12" s="21">
        <f t="shared" ref="Q12" si="8">L12</f>
        <v>300</v>
      </c>
      <c r="R12" s="20">
        <f t="shared" si="3"/>
        <v>43402.777777777781</v>
      </c>
      <c r="U12" s="20"/>
    </row>
    <row r="13" spans="1:21" x14ac:dyDescent="0.25">
      <c r="A13" s="1">
        <v>8</v>
      </c>
      <c r="B13" s="1">
        <v>200</v>
      </c>
      <c r="C13" s="1">
        <v>200</v>
      </c>
      <c r="D13" s="1">
        <v>200</v>
      </c>
      <c r="E13" s="1">
        <v>660</v>
      </c>
      <c r="F13" s="1">
        <v>8</v>
      </c>
      <c r="G13" s="1">
        <v>200</v>
      </c>
      <c r="S13" s="22" t="s">
        <v>863</v>
      </c>
      <c r="T13" s="23">
        <f>SUM(T2:T9)</f>
        <v>644.99158249158245</v>
      </c>
      <c r="U13" s="20"/>
    </row>
    <row r="14" spans="1:21" x14ac:dyDescent="0.25">
      <c r="A14" s="1">
        <v>9</v>
      </c>
      <c r="B14" s="1">
        <v>250</v>
      </c>
      <c r="C14" s="1">
        <v>250</v>
      </c>
      <c r="D14" s="1">
        <v>250</v>
      </c>
      <c r="E14" s="1">
        <v>660</v>
      </c>
      <c r="F14" s="1">
        <v>9</v>
      </c>
      <c r="G14" s="1">
        <v>250</v>
      </c>
      <c r="S14" s="24" t="s">
        <v>864</v>
      </c>
      <c r="T14" s="19">
        <f>SUM(N2:N8)</f>
        <v>550</v>
      </c>
      <c r="U14" s="20"/>
    </row>
    <row r="15" spans="1:21" x14ac:dyDescent="0.25">
      <c r="A15" s="1">
        <v>10</v>
      </c>
      <c r="B15" s="1">
        <v>300</v>
      </c>
      <c r="C15" s="1">
        <v>300</v>
      </c>
      <c r="D15" s="1">
        <v>300</v>
      </c>
      <c r="E15" s="1">
        <v>660</v>
      </c>
      <c r="F15" s="1">
        <v>10</v>
      </c>
      <c r="G15" s="1">
        <v>300</v>
      </c>
      <c r="S15" s="24" t="s">
        <v>844</v>
      </c>
      <c r="T15" s="19">
        <f>Q9</f>
        <v>150</v>
      </c>
      <c r="U15" s="20"/>
    </row>
    <row r="16" spans="1:21" x14ac:dyDescent="0.25">
      <c r="S16" s="25" t="s">
        <v>865</v>
      </c>
      <c r="T16" s="26">
        <f>SUM(T13:T15)</f>
        <v>1344.9915824915824</v>
      </c>
      <c r="U16" s="20"/>
    </row>
    <row r="20" spans="10:21" ht="45" x14ac:dyDescent="0.25">
      <c r="K20" s="15" t="s">
        <v>852</v>
      </c>
      <c r="L20" s="16" t="s">
        <v>823</v>
      </c>
      <c r="M20" s="16" t="s">
        <v>853</v>
      </c>
      <c r="N20" s="16" t="s">
        <v>854</v>
      </c>
      <c r="O20" s="16" t="s">
        <v>855</v>
      </c>
      <c r="P20" s="16" t="s">
        <v>856</v>
      </c>
      <c r="Q20" s="27" t="s">
        <v>857</v>
      </c>
      <c r="R20" s="18" t="s">
        <v>858</v>
      </c>
      <c r="S20" s="6" t="s">
        <v>859</v>
      </c>
      <c r="T20" s="6" t="s">
        <v>860</v>
      </c>
    </row>
    <row r="21" spans="10:21" x14ac:dyDescent="0.25">
      <c r="K21" s="1">
        <v>0</v>
      </c>
      <c r="L21" s="1">
        <f>L2</f>
        <v>20</v>
      </c>
      <c r="M21" s="1">
        <f>L21</f>
        <v>20</v>
      </c>
      <c r="N21" s="1">
        <f>N2</f>
        <v>20</v>
      </c>
      <c r="O21" s="1">
        <f>O2</f>
        <v>0</v>
      </c>
      <c r="P21" s="1">
        <f>P2</f>
        <v>0</v>
      </c>
      <c r="Q21" s="1">
        <f>Q2</f>
        <v>0</v>
      </c>
      <c r="R21" s="20">
        <f>R2</f>
        <v>0</v>
      </c>
      <c r="S21" s="20">
        <f t="shared" ref="S21:S32" si="9">R22</f>
        <v>868.05555555555543</v>
      </c>
      <c r="T21" s="1">
        <v>0</v>
      </c>
      <c r="U21" s="20">
        <f>S21</f>
        <v>868.05555555555543</v>
      </c>
    </row>
    <row r="22" spans="10:21" x14ac:dyDescent="0.25">
      <c r="K22" s="1">
        <v>1</v>
      </c>
      <c r="L22" s="1">
        <f t="shared" ref="L22:Q31" si="10">L3</f>
        <v>30</v>
      </c>
      <c r="M22" s="1">
        <f t="shared" ref="M22:M36" si="11">L22</f>
        <v>30</v>
      </c>
      <c r="N22" s="1">
        <f t="shared" si="10"/>
        <v>30</v>
      </c>
      <c r="O22" s="1">
        <f t="shared" ref="O22:O30" si="12">O3</f>
        <v>660</v>
      </c>
      <c r="P22" s="1">
        <f t="shared" si="10"/>
        <v>1</v>
      </c>
      <c r="Q22" s="1">
        <f t="shared" si="10"/>
        <v>30</v>
      </c>
      <c r="R22" s="20">
        <f t="shared" ref="R22:R40" si="13">1/(0.96/L21)/6*1000/4</f>
        <v>868.05555555555543</v>
      </c>
      <c r="S22" s="20">
        <f t="shared" si="9"/>
        <v>1302.0833333333333</v>
      </c>
      <c r="T22" s="20">
        <f t="shared" ref="T22:T33" si="14">S22/O22*P22</f>
        <v>1.9728535353535352</v>
      </c>
      <c r="U22" s="20">
        <f>U21+S22</f>
        <v>2170.1388888888887</v>
      </c>
    </row>
    <row r="23" spans="10:21" x14ac:dyDescent="0.25">
      <c r="K23" s="1">
        <v>2</v>
      </c>
      <c r="L23" s="1">
        <f t="shared" si="10"/>
        <v>50</v>
      </c>
      <c r="M23" s="1">
        <f t="shared" si="11"/>
        <v>50</v>
      </c>
      <c r="N23" s="1">
        <f t="shared" si="10"/>
        <v>50</v>
      </c>
      <c r="O23" s="1">
        <f t="shared" si="12"/>
        <v>660</v>
      </c>
      <c r="P23" s="1">
        <f t="shared" si="10"/>
        <v>2</v>
      </c>
      <c r="Q23" s="1">
        <f t="shared" si="10"/>
        <v>50</v>
      </c>
      <c r="R23" s="20">
        <f t="shared" si="13"/>
        <v>1302.0833333333333</v>
      </c>
      <c r="S23" s="20">
        <f t="shared" si="9"/>
        <v>2170.1388888888887</v>
      </c>
      <c r="T23" s="20">
        <f t="shared" si="14"/>
        <v>6.5761784511784507</v>
      </c>
      <c r="U23" s="20">
        <f t="shared" ref="U23:U33" si="15">U22+S23</f>
        <v>4340.2777777777774</v>
      </c>
    </row>
    <row r="24" spans="10:21" x14ac:dyDescent="0.25">
      <c r="J24" s="12" t="s">
        <v>866</v>
      </c>
      <c r="K24" s="1">
        <v>3</v>
      </c>
      <c r="L24" s="1">
        <f t="shared" si="10"/>
        <v>80</v>
      </c>
      <c r="M24" s="1">
        <f t="shared" si="11"/>
        <v>80</v>
      </c>
      <c r="N24" s="1">
        <f t="shared" si="10"/>
        <v>80</v>
      </c>
      <c r="O24" s="1">
        <f t="shared" si="12"/>
        <v>660</v>
      </c>
      <c r="P24" s="1">
        <f t="shared" si="10"/>
        <v>3</v>
      </c>
      <c r="Q24" s="1">
        <f t="shared" si="10"/>
        <v>80</v>
      </c>
      <c r="R24" s="20">
        <f t="shared" si="13"/>
        <v>2170.1388888888887</v>
      </c>
      <c r="S24" s="20">
        <f t="shared" si="9"/>
        <v>3472.2222222222217</v>
      </c>
      <c r="T24" s="20">
        <f t="shared" si="14"/>
        <v>15.78282828282828</v>
      </c>
      <c r="U24" s="20">
        <f t="shared" si="15"/>
        <v>7812.4999999999991</v>
      </c>
    </row>
    <row r="25" spans="10:21" x14ac:dyDescent="0.25">
      <c r="K25" s="1">
        <v>4</v>
      </c>
      <c r="L25" s="1">
        <f t="shared" si="10"/>
        <v>100</v>
      </c>
      <c r="M25" s="1">
        <f t="shared" si="11"/>
        <v>100</v>
      </c>
      <c r="N25" s="1">
        <f t="shared" si="10"/>
        <v>100</v>
      </c>
      <c r="O25" s="1">
        <f t="shared" si="12"/>
        <v>660</v>
      </c>
      <c r="P25" s="1">
        <f t="shared" si="10"/>
        <v>4</v>
      </c>
      <c r="Q25" s="1">
        <f t="shared" si="10"/>
        <v>100</v>
      </c>
      <c r="R25" s="20">
        <f t="shared" si="13"/>
        <v>3472.2222222222217</v>
      </c>
      <c r="S25" s="20">
        <f t="shared" si="9"/>
        <v>4340.2777777777774</v>
      </c>
      <c r="T25" s="20">
        <f t="shared" si="14"/>
        <v>26.304713804713803</v>
      </c>
      <c r="U25" s="20">
        <f t="shared" si="15"/>
        <v>12152.777777777777</v>
      </c>
    </row>
    <row r="26" spans="10:21" x14ac:dyDescent="0.25">
      <c r="K26" s="1">
        <v>5</v>
      </c>
      <c r="L26" s="1">
        <f t="shared" si="10"/>
        <v>120</v>
      </c>
      <c r="M26" s="1">
        <f t="shared" si="11"/>
        <v>120</v>
      </c>
      <c r="N26" s="1">
        <f t="shared" si="10"/>
        <v>120</v>
      </c>
      <c r="O26" s="1">
        <f t="shared" si="12"/>
        <v>660</v>
      </c>
      <c r="P26" s="1">
        <f t="shared" si="10"/>
        <v>5</v>
      </c>
      <c r="Q26" s="1">
        <f t="shared" si="10"/>
        <v>120</v>
      </c>
      <c r="R26" s="20">
        <f t="shared" si="13"/>
        <v>4340.2777777777774</v>
      </c>
      <c r="S26" s="20">
        <f t="shared" si="9"/>
        <v>5208.333333333333</v>
      </c>
      <c r="T26" s="20">
        <f t="shared" si="14"/>
        <v>39.457070707070706</v>
      </c>
      <c r="U26" s="20">
        <f t="shared" si="15"/>
        <v>17361.111111111109</v>
      </c>
    </row>
    <row r="27" spans="10:21" x14ac:dyDescent="0.25">
      <c r="K27" s="1">
        <v>6</v>
      </c>
      <c r="L27" s="1">
        <f t="shared" si="10"/>
        <v>150</v>
      </c>
      <c r="M27" s="1">
        <f t="shared" si="11"/>
        <v>150</v>
      </c>
      <c r="N27" s="1">
        <f t="shared" si="10"/>
        <v>150</v>
      </c>
      <c r="O27" s="1">
        <f t="shared" si="12"/>
        <v>660</v>
      </c>
      <c r="P27" s="1">
        <f t="shared" si="10"/>
        <v>6</v>
      </c>
      <c r="Q27" s="1">
        <f t="shared" si="10"/>
        <v>150</v>
      </c>
      <c r="R27" s="20">
        <f t="shared" si="13"/>
        <v>5208.333333333333</v>
      </c>
      <c r="S27" s="20">
        <f t="shared" si="9"/>
        <v>6510.416666666667</v>
      </c>
      <c r="T27" s="20">
        <f t="shared" si="14"/>
        <v>59.185606060606062</v>
      </c>
      <c r="U27" s="20">
        <f t="shared" si="15"/>
        <v>23871.527777777777</v>
      </c>
    </row>
    <row r="28" spans="10:21" x14ac:dyDescent="0.25">
      <c r="K28" s="1">
        <v>7</v>
      </c>
      <c r="L28" s="1">
        <f t="shared" si="10"/>
        <v>150</v>
      </c>
      <c r="M28" s="1">
        <f t="shared" si="11"/>
        <v>150</v>
      </c>
      <c r="N28" s="1">
        <f t="shared" si="10"/>
        <v>150</v>
      </c>
      <c r="O28" s="1">
        <f t="shared" si="12"/>
        <v>660</v>
      </c>
      <c r="P28" s="1">
        <f t="shared" si="10"/>
        <v>7</v>
      </c>
      <c r="Q28" s="1">
        <f t="shared" si="10"/>
        <v>150</v>
      </c>
      <c r="R28" s="20">
        <f t="shared" si="13"/>
        <v>6510.416666666667</v>
      </c>
      <c r="S28" s="20">
        <f t="shared" si="9"/>
        <v>6510.416666666667</v>
      </c>
      <c r="T28" s="20">
        <f t="shared" si="14"/>
        <v>69.04987373737373</v>
      </c>
      <c r="U28" s="20">
        <f t="shared" si="15"/>
        <v>30381.944444444445</v>
      </c>
    </row>
    <row r="29" spans="10:21" x14ac:dyDescent="0.25">
      <c r="K29" s="1">
        <v>8</v>
      </c>
      <c r="L29" s="1">
        <f t="shared" si="10"/>
        <v>200</v>
      </c>
      <c r="M29" s="1">
        <f t="shared" si="11"/>
        <v>200</v>
      </c>
      <c r="N29" s="1">
        <f t="shared" si="10"/>
        <v>200</v>
      </c>
      <c r="O29" s="1">
        <f t="shared" si="12"/>
        <v>660</v>
      </c>
      <c r="P29" s="1">
        <f t="shared" si="10"/>
        <v>8</v>
      </c>
      <c r="Q29" s="1">
        <f t="shared" si="10"/>
        <v>200</v>
      </c>
      <c r="R29" s="20">
        <f t="shared" si="13"/>
        <v>6510.416666666667</v>
      </c>
      <c r="S29" s="20">
        <f t="shared" si="9"/>
        <v>8680.5555555555547</v>
      </c>
      <c r="T29" s="20">
        <f t="shared" si="14"/>
        <v>105.21885521885521</v>
      </c>
      <c r="U29" s="20">
        <f t="shared" si="15"/>
        <v>39062.5</v>
      </c>
    </row>
    <row r="30" spans="10:21" x14ac:dyDescent="0.25">
      <c r="K30" s="1">
        <v>9</v>
      </c>
      <c r="L30" s="1">
        <f t="shared" si="10"/>
        <v>250</v>
      </c>
      <c r="M30" s="1">
        <f t="shared" si="11"/>
        <v>250</v>
      </c>
      <c r="N30" s="1">
        <f t="shared" si="10"/>
        <v>250</v>
      </c>
      <c r="O30" s="1">
        <f t="shared" si="12"/>
        <v>660</v>
      </c>
      <c r="P30" s="1">
        <f t="shared" si="10"/>
        <v>9</v>
      </c>
      <c r="Q30" s="1">
        <f t="shared" si="10"/>
        <v>250</v>
      </c>
      <c r="R30" s="20">
        <f t="shared" si="13"/>
        <v>8680.5555555555547</v>
      </c>
      <c r="S30" s="20">
        <f t="shared" si="9"/>
        <v>10850.694444444445</v>
      </c>
      <c r="T30" s="20">
        <f t="shared" si="14"/>
        <v>147.96401515151516</v>
      </c>
      <c r="U30" s="20">
        <f t="shared" si="15"/>
        <v>49913.194444444445</v>
      </c>
    </row>
    <row r="31" spans="10:21" x14ac:dyDescent="0.25">
      <c r="K31" s="1">
        <v>10</v>
      </c>
      <c r="L31" s="1">
        <f t="shared" si="10"/>
        <v>300</v>
      </c>
      <c r="M31" s="1">
        <f t="shared" si="11"/>
        <v>300</v>
      </c>
      <c r="N31" s="1">
        <f t="shared" si="10"/>
        <v>300</v>
      </c>
      <c r="O31" s="1">
        <f t="shared" ref="O31:O40" si="16">O30</f>
        <v>660</v>
      </c>
      <c r="P31" s="1">
        <f t="shared" si="10"/>
        <v>10</v>
      </c>
      <c r="Q31" s="1">
        <f t="shared" si="10"/>
        <v>300</v>
      </c>
      <c r="R31" s="20">
        <f t="shared" si="13"/>
        <v>10850.694444444445</v>
      </c>
      <c r="S31" s="20">
        <f t="shared" si="9"/>
        <v>13020.833333333334</v>
      </c>
      <c r="T31" s="20">
        <f t="shared" si="14"/>
        <v>197.28535353535352</v>
      </c>
      <c r="U31" s="20">
        <f t="shared" si="15"/>
        <v>62934.027777777781</v>
      </c>
    </row>
    <row r="32" spans="10:21" x14ac:dyDescent="0.25">
      <c r="K32" s="1">
        <f t="shared" ref="K32:Q36" si="17">K31</f>
        <v>10</v>
      </c>
      <c r="L32" s="1">
        <f t="shared" si="17"/>
        <v>300</v>
      </c>
      <c r="M32" s="1">
        <f t="shared" si="11"/>
        <v>300</v>
      </c>
      <c r="N32" s="1">
        <f t="shared" ref="N32:N40" si="18">N31</f>
        <v>300</v>
      </c>
      <c r="O32" s="1">
        <f t="shared" si="16"/>
        <v>660</v>
      </c>
      <c r="P32" s="1">
        <f t="shared" si="17"/>
        <v>10</v>
      </c>
      <c r="Q32" s="1">
        <f>Q31</f>
        <v>300</v>
      </c>
      <c r="R32" s="20">
        <f t="shared" si="13"/>
        <v>13020.833333333334</v>
      </c>
      <c r="S32" s="20">
        <f t="shared" si="9"/>
        <v>13020.833333333334</v>
      </c>
      <c r="T32" s="20">
        <f t="shared" si="14"/>
        <v>197.28535353535352</v>
      </c>
      <c r="U32" s="20">
        <f t="shared" si="15"/>
        <v>75954.861111111109</v>
      </c>
    </row>
    <row r="33" spans="11:22" x14ac:dyDescent="0.25">
      <c r="K33" s="1">
        <f t="shared" si="17"/>
        <v>10</v>
      </c>
      <c r="L33" s="1">
        <f t="shared" si="17"/>
        <v>300</v>
      </c>
      <c r="M33" s="1">
        <f t="shared" si="11"/>
        <v>300</v>
      </c>
      <c r="N33" s="1">
        <f t="shared" si="18"/>
        <v>300</v>
      </c>
      <c r="O33" s="1">
        <f t="shared" si="16"/>
        <v>660</v>
      </c>
      <c r="P33" s="1">
        <f t="shared" si="17"/>
        <v>10</v>
      </c>
      <c r="Q33" s="1">
        <f t="shared" si="17"/>
        <v>300</v>
      </c>
      <c r="R33" s="20">
        <f t="shared" si="13"/>
        <v>13020.833333333334</v>
      </c>
      <c r="S33" s="20">
        <f t="shared" ref="S33" si="19">R34</f>
        <v>13020.833333333334</v>
      </c>
      <c r="T33" s="20">
        <f t="shared" si="14"/>
        <v>197.28535353535352</v>
      </c>
      <c r="U33" s="20">
        <f t="shared" si="15"/>
        <v>88975.694444444438</v>
      </c>
    </row>
    <row r="34" spans="11:22" x14ac:dyDescent="0.25">
      <c r="K34" s="1">
        <f t="shared" si="17"/>
        <v>10</v>
      </c>
      <c r="L34" s="1">
        <f t="shared" si="17"/>
        <v>300</v>
      </c>
      <c r="M34" s="1">
        <f t="shared" si="11"/>
        <v>300</v>
      </c>
      <c r="N34" s="1">
        <f t="shared" si="18"/>
        <v>300</v>
      </c>
      <c r="O34" s="1">
        <f t="shared" si="16"/>
        <v>660</v>
      </c>
      <c r="P34" s="1">
        <f t="shared" si="17"/>
        <v>10</v>
      </c>
      <c r="Q34" s="1">
        <f t="shared" si="17"/>
        <v>300</v>
      </c>
      <c r="R34" s="20">
        <f t="shared" si="13"/>
        <v>13020.833333333334</v>
      </c>
      <c r="S34" s="20">
        <f>I2-SUM(S21:S33)</f>
        <v>11024.305555555562</v>
      </c>
      <c r="T34" s="20">
        <f t="shared" ref="T34" si="20">S34/O34*P34</f>
        <v>167.03493265993276</v>
      </c>
      <c r="U34" s="20">
        <f t="shared" ref="U34" si="21">U33+S34</f>
        <v>100000</v>
      </c>
    </row>
    <row r="35" spans="11:22" x14ac:dyDescent="0.25">
      <c r="K35" s="1">
        <f t="shared" si="17"/>
        <v>10</v>
      </c>
      <c r="L35" s="1">
        <f t="shared" si="17"/>
        <v>300</v>
      </c>
      <c r="M35" s="1">
        <f t="shared" si="11"/>
        <v>300</v>
      </c>
      <c r="N35" s="1">
        <f t="shared" si="18"/>
        <v>300</v>
      </c>
      <c r="O35" s="1">
        <f t="shared" si="16"/>
        <v>660</v>
      </c>
      <c r="P35" s="1">
        <f t="shared" si="17"/>
        <v>10</v>
      </c>
      <c r="Q35" s="1">
        <f t="shared" si="17"/>
        <v>300</v>
      </c>
      <c r="R35" s="20">
        <f t="shared" si="13"/>
        <v>13020.833333333334</v>
      </c>
      <c r="S35" s="20"/>
      <c r="T35" s="20"/>
      <c r="U35" s="20"/>
    </row>
    <row r="36" spans="11:22" x14ac:dyDescent="0.25">
      <c r="K36" s="1">
        <f t="shared" si="17"/>
        <v>10</v>
      </c>
      <c r="L36" s="1">
        <f t="shared" si="17"/>
        <v>300</v>
      </c>
      <c r="M36" s="1">
        <f t="shared" si="11"/>
        <v>300</v>
      </c>
      <c r="N36" s="1">
        <f t="shared" si="18"/>
        <v>300</v>
      </c>
      <c r="O36" s="1">
        <f t="shared" si="16"/>
        <v>660</v>
      </c>
      <c r="P36" s="1">
        <f t="shared" si="17"/>
        <v>10</v>
      </c>
      <c r="Q36" s="1">
        <f t="shared" si="17"/>
        <v>300</v>
      </c>
      <c r="R36" s="20">
        <f t="shared" si="13"/>
        <v>13020.833333333334</v>
      </c>
      <c r="S36" s="20"/>
      <c r="T36" s="20"/>
      <c r="U36" s="20"/>
    </row>
    <row r="37" spans="11:22" x14ac:dyDescent="0.25">
      <c r="K37" s="1">
        <f t="shared" ref="K37:L39" si="22">K36</f>
        <v>10</v>
      </c>
      <c r="L37" s="1">
        <f t="shared" si="22"/>
        <v>300</v>
      </c>
      <c r="M37" s="1">
        <f t="shared" ref="M37:M38" si="23">L37</f>
        <v>300</v>
      </c>
      <c r="N37" s="1">
        <f t="shared" si="18"/>
        <v>300</v>
      </c>
      <c r="O37" s="1">
        <f t="shared" si="16"/>
        <v>660</v>
      </c>
      <c r="P37" s="1">
        <f t="shared" ref="P37:Q39" si="24">P36</f>
        <v>10</v>
      </c>
      <c r="Q37" s="1">
        <f t="shared" si="24"/>
        <v>300</v>
      </c>
      <c r="R37" s="20">
        <f t="shared" si="13"/>
        <v>13020.833333333334</v>
      </c>
      <c r="S37" s="20"/>
      <c r="T37" s="20"/>
      <c r="U37" s="20"/>
    </row>
    <row r="38" spans="11:22" x14ac:dyDescent="0.25">
      <c r="K38" s="1">
        <f t="shared" ref="K38:L40" si="25">K37</f>
        <v>10</v>
      </c>
      <c r="L38" s="1">
        <f t="shared" si="25"/>
        <v>300</v>
      </c>
      <c r="M38" s="1">
        <f t="shared" si="23"/>
        <v>300</v>
      </c>
      <c r="N38" s="1">
        <f t="shared" si="18"/>
        <v>300</v>
      </c>
      <c r="O38" s="1">
        <f t="shared" si="16"/>
        <v>660</v>
      </c>
      <c r="P38" s="1">
        <f t="shared" ref="P38:Q40" si="26">P37</f>
        <v>10</v>
      </c>
      <c r="Q38" s="1">
        <f t="shared" si="26"/>
        <v>300</v>
      </c>
      <c r="R38" s="20">
        <f t="shared" si="13"/>
        <v>13020.833333333334</v>
      </c>
      <c r="S38" s="20"/>
      <c r="T38" s="20"/>
      <c r="U38" s="20"/>
    </row>
    <row r="39" spans="11:22" x14ac:dyDescent="0.25">
      <c r="K39" s="1">
        <f t="shared" si="22"/>
        <v>10</v>
      </c>
      <c r="L39" s="1">
        <f t="shared" si="22"/>
        <v>300</v>
      </c>
      <c r="M39" s="1">
        <f t="shared" ref="M39:M40" si="27">L39</f>
        <v>300</v>
      </c>
      <c r="N39" s="1">
        <f t="shared" si="18"/>
        <v>300</v>
      </c>
      <c r="O39" s="1">
        <f t="shared" si="16"/>
        <v>660</v>
      </c>
      <c r="P39" s="1">
        <f t="shared" si="24"/>
        <v>10</v>
      </c>
      <c r="Q39" s="1">
        <f t="shared" si="24"/>
        <v>300</v>
      </c>
      <c r="R39" s="20">
        <f t="shared" si="13"/>
        <v>13020.833333333334</v>
      </c>
      <c r="S39" s="20"/>
      <c r="T39" s="20"/>
      <c r="U39" s="20"/>
    </row>
    <row r="40" spans="11:22" x14ac:dyDescent="0.25">
      <c r="K40" s="1">
        <f t="shared" si="25"/>
        <v>10</v>
      </c>
      <c r="L40" s="1">
        <f t="shared" si="25"/>
        <v>300</v>
      </c>
      <c r="M40" s="1">
        <f t="shared" si="27"/>
        <v>300</v>
      </c>
      <c r="N40" s="1">
        <f t="shared" si="18"/>
        <v>300</v>
      </c>
      <c r="O40" s="1">
        <f t="shared" si="16"/>
        <v>660</v>
      </c>
      <c r="P40" s="1">
        <f t="shared" si="26"/>
        <v>10</v>
      </c>
      <c r="Q40" s="1">
        <f t="shared" si="26"/>
        <v>300</v>
      </c>
      <c r="R40" s="20">
        <f t="shared" si="13"/>
        <v>13020.833333333334</v>
      </c>
    </row>
    <row r="42" spans="11:22" x14ac:dyDescent="0.25">
      <c r="S42" s="22" t="s">
        <v>863</v>
      </c>
      <c r="T42" s="23">
        <f>SUM(T21:T39)</f>
        <v>1230.4029882154884</v>
      </c>
      <c r="U42" s="1">
        <f t="shared" ref="U42" si="28">T42/4</f>
        <v>307.60074705387211</v>
      </c>
    </row>
    <row r="43" spans="11:22" x14ac:dyDescent="0.3">
      <c r="S43" s="24" t="s">
        <v>867</v>
      </c>
      <c r="T43" s="19">
        <f>SUM(N21:N32)</f>
        <v>1750</v>
      </c>
      <c r="U43" s="1">
        <f>T43/4+N33</f>
        <v>737.5</v>
      </c>
      <c r="V43" s="28" t="s">
        <v>868</v>
      </c>
    </row>
    <row r="44" spans="11:22" x14ac:dyDescent="0.25">
      <c r="S44" s="24" t="s">
        <v>844</v>
      </c>
      <c r="T44" s="19">
        <f>Q37</f>
        <v>300</v>
      </c>
      <c r="U44" s="1">
        <f>T44</f>
        <v>300</v>
      </c>
    </row>
    <row r="45" spans="11:22" x14ac:dyDescent="0.35">
      <c r="S45" s="25" t="s">
        <v>865</v>
      </c>
      <c r="T45" s="26">
        <f>SUM(T42:T44)</f>
        <v>3280.4029882154882</v>
      </c>
      <c r="U45" s="1">
        <f>SUM(U42:U44)</f>
        <v>1345.1007470538721</v>
      </c>
      <c r="V45" s="29">
        <f>U45/T16</f>
        <v>1.0000811637512907</v>
      </c>
    </row>
    <row r="52" spans="18:18" x14ac:dyDescent="0.25">
      <c r="R52" s="20"/>
    </row>
  </sheetData>
  <phoneticPr fontId="40" type="noConversion"/>
  <conditionalFormatting sqref="U2">
    <cfRule type="containsText" dxfId="8" priority="5" operator="containsText" text=" ">
      <formula>NOT(ISERROR(SEARCH(" ",U2)))</formula>
    </cfRule>
  </conditionalFormatting>
  <conditionalFormatting sqref="B5:G5">
    <cfRule type="containsText" dxfId="7" priority="1" operator="containsText" text=" ">
      <formula>NOT(ISERROR(SEARCH(" ",B5)))</formula>
    </cfRule>
  </conditionalFormatting>
  <conditionalFormatting sqref="M21:M40">
    <cfRule type="containsText" dxfId="6" priority="2" operator="containsText" text=" ">
      <formula>NOT(ISERROR(SEARCH(" ",M21)))</formula>
    </cfRule>
  </conditionalFormatting>
  <conditionalFormatting sqref="N21:N31">
    <cfRule type="containsText" dxfId="5" priority="3" operator="containsText" text=" ">
      <formula>NOT(ISERROR(SEARCH(" ",N21)))</formula>
    </cfRule>
  </conditionalFormatting>
  <conditionalFormatting sqref="U3:U16">
    <cfRule type="containsText" dxfId="4" priority="4" operator="containsText" text=" ">
      <formula>NOT(ISERROR(SEARCH(" ",U3)))</formula>
    </cfRule>
  </conditionalFormatting>
  <conditionalFormatting sqref="I5:J6 I37:I52">
    <cfRule type="containsText" dxfId="3" priority="8" operator="containsText" text=" ">
      <formula>NOT(ISERROR(SEARCH(" ",I5)))</formula>
    </cfRule>
  </conditionalFormatting>
  <conditionalFormatting sqref="B6:D15">
    <cfRule type="containsText" dxfId="2" priority="9" operator="containsText" text=" ">
      <formula>NOT(ISERROR(SEARCH(" ",B6)))</formula>
    </cfRule>
  </conditionalFormatting>
  <conditionalFormatting sqref="I7:J8 I9:I36 S13:T16 J20:J40 J52:N52 I53:N1048576 S42:U45 K24:K26 K29:K31 L32:L40 N32:N40 U20:U39">
    <cfRule type="containsText" dxfId="1" priority="7" operator="containsText" text=" ">
      <formula>NOT(ISERROR(SEARCH(" ",I7)))</formula>
    </cfRule>
  </conditionalFormatting>
  <conditionalFormatting sqref="A9:A15 O52:P1048576 Q52:R52 Q53:U1048576 O31 O32:P40">
    <cfRule type="containsText" dxfId="0" priority="10" operator="containsText" text=" ">
      <formula>NOT(ISERROR(SEARCH(" ",A9)))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49"/>
  <sheetViews>
    <sheetView tabSelected="1" workbookViewId="0">
      <pane xSplit="1" ySplit="4" topLeftCell="V5" activePane="bottomRight" state="frozen"/>
      <selection pane="topRight"/>
      <selection pane="bottomLeft"/>
      <selection pane="bottomRight" activeCell="Y16" sqref="Y16"/>
    </sheetView>
  </sheetViews>
  <sheetFormatPr defaultColWidth="9" defaultRowHeight="15.6" x14ac:dyDescent="0.35"/>
  <cols>
    <col min="1" max="1" width="15.77734375" style="276" customWidth="1"/>
    <col min="2" max="2" width="15.88671875" style="276" customWidth="1"/>
    <col min="3" max="3" width="13.77734375" style="276" customWidth="1"/>
    <col min="4" max="4" width="15.109375" style="276" customWidth="1"/>
    <col min="5" max="5" width="12" style="276" customWidth="1"/>
    <col min="6" max="6" width="13.109375" style="276" customWidth="1"/>
    <col min="7" max="8" width="11.109375" style="276" customWidth="1"/>
    <col min="9" max="9" width="21.109375" style="276" customWidth="1"/>
    <col min="10" max="10" width="13.33203125" style="276" customWidth="1"/>
    <col min="11" max="11" width="23.88671875" style="276" customWidth="1"/>
    <col min="12" max="12" width="21" style="276" customWidth="1"/>
    <col min="13" max="14" width="18.88671875" style="276" customWidth="1"/>
    <col min="15" max="17" width="19.21875" style="276" customWidth="1"/>
    <col min="18" max="18" width="29.44140625" style="276" customWidth="1"/>
    <col min="19" max="19" width="22.77734375" style="276" customWidth="1"/>
    <col min="20" max="20" width="20.44140625" style="276" customWidth="1"/>
    <col min="21" max="21" width="19.21875" style="276" customWidth="1"/>
    <col min="22" max="22" width="11.88671875" style="276" customWidth="1"/>
    <col min="23" max="24" width="19.21875" style="276" customWidth="1"/>
    <col min="25" max="25" width="146.21875" style="276" customWidth="1"/>
    <col min="26" max="26" width="18.21875" style="276" customWidth="1"/>
    <col min="27" max="27" width="23" style="276" customWidth="1"/>
    <col min="28" max="28" width="18.109375" style="276" customWidth="1"/>
    <col min="29" max="29" width="16" style="276" customWidth="1"/>
    <col min="30" max="31" width="23.21875" style="276" customWidth="1"/>
    <col min="32" max="32" width="15.33203125" style="276" customWidth="1"/>
    <col min="33" max="33" width="15.88671875" style="276" customWidth="1"/>
    <col min="34" max="34" width="9.33203125" style="276" customWidth="1"/>
    <col min="35" max="35" width="14.109375" style="276" customWidth="1"/>
    <col min="36" max="36" width="18.6640625" style="276" customWidth="1"/>
    <col min="37" max="37" width="14.109375" style="276" customWidth="1"/>
    <col min="38" max="38" width="23.77734375" style="276" customWidth="1"/>
    <col min="39" max="39" width="21.33203125" style="276" customWidth="1"/>
    <col min="40" max="40" width="15.44140625" style="276" customWidth="1"/>
    <col min="41" max="42" width="11.6640625" style="276" customWidth="1"/>
    <col min="43" max="43" width="20" style="276" customWidth="1"/>
    <col min="44" max="44" width="24.77734375" style="276" customWidth="1"/>
    <col min="45" max="45" width="12.88671875" style="276" customWidth="1"/>
    <col min="46" max="46" width="13" style="276" customWidth="1"/>
    <col min="47" max="47" width="12.6640625" style="276" customWidth="1"/>
    <col min="48" max="48" width="14.33203125" style="276" customWidth="1"/>
    <col min="49" max="49" width="12.21875" style="276" customWidth="1"/>
    <col min="50" max="52" width="9" style="276"/>
    <col min="53" max="53" width="13.88671875" style="276" customWidth="1"/>
    <col min="54" max="54" width="36.109375" style="276" customWidth="1"/>
    <col min="55" max="55" width="11.6640625" style="39" customWidth="1"/>
    <col min="56" max="56" width="10.21875" style="39" customWidth="1"/>
    <col min="57" max="57" width="17.109375" style="39" customWidth="1"/>
    <col min="58" max="58" width="10.109375" style="39" customWidth="1"/>
    <col min="59" max="59" width="9" style="39"/>
    <col min="60" max="60" width="30.33203125" style="39" customWidth="1"/>
    <col min="61" max="63" width="9" style="39"/>
    <col min="64" max="16384" width="9" style="276"/>
  </cols>
  <sheetData>
    <row r="1" spans="1:72" ht="16.2" x14ac:dyDescent="0.4">
      <c r="A1" s="2" t="s">
        <v>0</v>
      </c>
      <c r="B1" s="2" t="s">
        <v>0</v>
      </c>
      <c r="C1" s="2" t="s">
        <v>0</v>
      </c>
      <c r="D1" s="277" t="s">
        <v>0</v>
      </c>
      <c r="E1" s="2" t="s">
        <v>0</v>
      </c>
      <c r="F1" s="277" t="s">
        <v>0</v>
      </c>
      <c r="G1" s="2" t="s">
        <v>0</v>
      </c>
      <c r="H1" s="2" t="s">
        <v>0</v>
      </c>
      <c r="I1" s="51" t="s">
        <v>1</v>
      </c>
      <c r="J1" s="277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51" t="s">
        <v>1</v>
      </c>
      <c r="P1" s="51" t="s">
        <v>1</v>
      </c>
      <c r="Q1" s="51" t="s">
        <v>1</v>
      </c>
      <c r="R1" s="51" t="s">
        <v>1</v>
      </c>
      <c r="S1" s="51" t="s">
        <v>0</v>
      </c>
      <c r="T1" s="51" t="s">
        <v>1</v>
      </c>
      <c r="U1" s="51" t="s">
        <v>1</v>
      </c>
      <c r="V1" s="34" t="s">
        <v>1</v>
      </c>
      <c r="W1" s="51" t="s">
        <v>1</v>
      </c>
      <c r="X1" s="286" t="s">
        <v>2</v>
      </c>
      <c r="Y1" s="286" t="s">
        <v>2</v>
      </c>
      <c r="Z1" s="34" t="s">
        <v>0</v>
      </c>
      <c r="AA1" s="34" t="s">
        <v>0</v>
      </c>
      <c r="AB1" s="34" t="s">
        <v>0</v>
      </c>
      <c r="AC1" s="34" t="s">
        <v>2</v>
      </c>
      <c r="AD1" s="34" t="s">
        <v>2</v>
      </c>
      <c r="AE1" s="34" t="s">
        <v>2</v>
      </c>
      <c r="AF1" s="34" t="s">
        <v>2</v>
      </c>
      <c r="AG1" s="34" t="s">
        <v>2</v>
      </c>
      <c r="AH1" s="34" t="s">
        <v>2</v>
      </c>
      <c r="AI1" s="2" t="s">
        <v>2</v>
      </c>
      <c r="AJ1" s="2" t="s">
        <v>2</v>
      </c>
      <c r="AK1" s="2" t="s">
        <v>2</v>
      </c>
      <c r="AL1" s="2" t="s">
        <v>2</v>
      </c>
      <c r="AM1" s="2" t="s">
        <v>2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0</v>
      </c>
      <c r="AU1" s="2" t="s">
        <v>0</v>
      </c>
      <c r="AV1" s="2" t="s">
        <v>0</v>
      </c>
      <c r="AW1" s="2" t="s">
        <v>0</v>
      </c>
    </row>
    <row r="2" spans="1:72" ht="16.2" x14ac:dyDescent="0.4">
      <c r="A2" s="2" t="s">
        <v>7</v>
      </c>
      <c r="B2" s="2" t="s">
        <v>7</v>
      </c>
      <c r="C2" s="2" t="s">
        <v>7</v>
      </c>
      <c r="D2" s="277" t="s">
        <v>7</v>
      </c>
      <c r="E2" s="2" t="s">
        <v>7</v>
      </c>
      <c r="F2" s="277" t="s">
        <v>7</v>
      </c>
      <c r="G2" s="2" t="s">
        <v>7</v>
      </c>
      <c r="H2" s="2" t="s">
        <v>7</v>
      </c>
      <c r="I2" s="34" t="s">
        <v>9</v>
      </c>
      <c r="J2" s="277" t="s">
        <v>7</v>
      </c>
      <c r="K2" s="34" t="s">
        <v>9</v>
      </c>
      <c r="L2" s="2" t="s">
        <v>45</v>
      </c>
      <c r="M2" s="2" t="s">
        <v>45</v>
      </c>
      <c r="N2" s="277" t="s">
        <v>7</v>
      </c>
      <c r="O2" s="277" t="s">
        <v>7</v>
      </c>
      <c r="P2" s="277" t="s">
        <v>7</v>
      </c>
      <c r="Q2" s="34" t="s">
        <v>9</v>
      </c>
      <c r="R2" s="34" t="s">
        <v>9</v>
      </c>
      <c r="S2" s="277" t="s">
        <v>7</v>
      </c>
      <c r="T2" s="34" t="s">
        <v>9</v>
      </c>
      <c r="U2" s="34" t="s">
        <v>9</v>
      </c>
      <c r="V2" s="51" t="s">
        <v>8</v>
      </c>
      <c r="W2" s="51" t="s">
        <v>8</v>
      </c>
      <c r="X2" s="286" t="s">
        <v>9</v>
      </c>
      <c r="Y2" s="286" t="s">
        <v>9</v>
      </c>
      <c r="Z2" s="34" t="s">
        <v>9</v>
      </c>
      <c r="AA2" s="34" t="s">
        <v>9</v>
      </c>
      <c r="AB2" s="34" t="s">
        <v>9</v>
      </c>
      <c r="AC2" s="34" t="s">
        <v>9</v>
      </c>
      <c r="AD2" s="34" t="s">
        <v>9</v>
      </c>
      <c r="AE2" s="34" t="s">
        <v>9</v>
      </c>
      <c r="AF2" s="34" t="s">
        <v>9</v>
      </c>
      <c r="AG2" s="34" t="s">
        <v>9</v>
      </c>
      <c r="AH2" s="34" t="s">
        <v>9</v>
      </c>
      <c r="AI2" s="2" t="s">
        <v>7</v>
      </c>
      <c r="AJ2" s="2" t="s">
        <v>9</v>
      </c>
      <c r="AK2" s="2" t="s">
        <v>9</v>
      </c>
      <c r="AL2" s="2" t="s">
        <v>9</v>
      </c>
      <c r="AM2" s="2" t="s">
        <v>9</v>
      </c>
      <c r="AN2" s="2" t="s">
        <v>7</v>
      </c>
      <c r="AO2" s="2" t="s">
        <v>7</v>
      </c>
      <c r="AP2" s="2" t="s">
        <v>9</v>
      </c>
      <c r="AQ2" s="2" t="s">
        <v>9</v>
      </c>
      <c r="AR2" s="2" t="s">
        <v>9</v>
      </c>
      <c r="AS2" s="2" t="s">
        <v>7</v>
      </c>
      <c r="AT2" s="2" t="s">
        <v>7</v>
      </c>
      <c r="AU2" s="2" t="s">
        <v>7</v>
      </c>
      <c r="AV2" s="2" t="s">
        <v>7</v>
      </c>
      <c r="AW2" s="2" t="s">
        <v>7</v>
      </c>
      <c r="AX2" s="276" t="s">
        <v>46</v>
      </c>
    </row>
    <row r="3" spans="1:72" s="275" customFormat="1" ht="13.2" x14ac:dyDescent="0.3">
      <c r="A3" s="278" t="s">
        <v>47</v>
      </c>
      <c r="B3" s="278" t="s">
        <v>48</v>
      </c>
      <c r="C3" s="278" t="s">
        <v>49</v>
      </c>
      <c r="D3" s="279" t="s">
        <v>50</v>
      </c>
      <c r="E3" s="227" t="s">
        <v>51</v>
      </c>
      <c r="F3" s="280" t="s">
        <v>52</v>
      </c>
      <c r="G3" s="227" t="s">
        <v>53</v>
      </c>
      <c r="H3" s="278" t="s">
        <v>54</v>
      </c>
      <c r="I3" s="278" t="s">
        <v>894</v>
      </c>
      <c r="J3" s="280" t="s">
        <v>55</v>
      </c>
      <c r="K3" s="227" t="s">
        <v>56</v>
      </c>
      <c r="L3" s="284" t="s">
        <v>57</v>
      </c>
      <c r="M3" s="227" t="s">
        <v>58</v>
      </c>
      <c r="N3" s="227" t="s">
        <v>59</v>
      </c>
      <c r="O3" s="227" t="s">
        <v>60</v>
      </c>
      <c r="P3" s="227" t="s">
        <v>61</v>
      </c>
      <c r="Q3" s="227" t="s">
        <v>62</v>
      </c>
      <c r="R3" s="227" t="s">
        <v>63</v>
      </c>
      <c r="S3" s="227" t="s">
        <v>64</v>
      </c>
      <c r="T3" s="284" t="s">
        <v>65</v>
      </c>
      <c r="U3" s="284" t="s">
        <v>66</v>
      </c>
      <c r="V3" s="284" t="s">
        <v>67</v>
      </c>
      <c r="W3" s="284" t="s">
        <v>68</v>
      </c>
      <c r="X3" s="280" t="s">
        <v>69</v>
      </c>
      <c r="Y3" s="280" t="s">
        <v>70</v>
      </c>
      <c r="Z3" s="34" t="s">
        <v>71</v>
      </c>
      <c r="AA3" s="34" t="s">
        <v>72</v>
      </c>
      <c r="AB3" s="34" t="s">
        <v>73</v>
      </c>
      <c r="AC3" s="34" t="s">
        <v>74</v>
      </c>
      <c r="AD3" s="34" t="s">
        <v>75</v>
      </c>
      <c r="AE3" s="34" t="s">
        <v>76</v>
      </c>
      <c r="AF3" s="34" t="s">
        <v>77</v>
      </c>
      <c r="AG3" s="34" t="s">
        <v>78</v>
      </c>
      <c r="AH3" s="34" t="s">
        <v>79</v>
      </c>
      <c r="AI3" s="34" t="s">
        <v>80</v>
      </c>
      <c r="AJ3" s="34" t="s">
        <v>81</v>
      </c>
      <c r="AK3" s="34" t="s">
        <v>82</v>
      </c>
      <c r="AL3" s="34" t="s">
        <v>83</v>
      </c>
      <c r="AM3" s="34" t="s">
        <v>84</v>
      </c>
      <c r="AN3" s="34" t="s">
        <v>85</v>
      </c>
      <c r="AO3" s="34" t="s">
        <v>86</v>
      </c>
      <c r="AP3" s="34" t="s">
        <v>87</v>
      </c>
      <c r="AQ3" s="34" t="s">
        <v>88</v>
      </c>
      <c r="AR3" s="34" t="s">
        <v>89</v>
      </c>
      <c r="AS3" s="34" t="s">
        <v>90</v>
      </c>
      <c r="AT3" s="294" t="s">
        <v>91</v>
      </c>
      <c r="AU3" s="294" t="s">
        <v>92</v>
      </c>
      <c r="AV3" s="294" t="s">
        <v>93</v>
      </c>
      <c r="AW3" s="294" t="s">
        <v>94</v>
      </c>
      <c r="AX3" s="275" t="s">
        <v>95</v>
      </c>
      <c r="BC3" s="295"/>
      <c r="BD3" s="295"/>
      <c r="BE3" s="295"/>
      <c r="BF3" s="295"/>
      <c r="BG3" s="295"/>
      <c r="BH3" s="295"/>
      <c r="BI3" s="295"/>
      <c r="BJ3" s="295"/>
      <c r="BK3" s="295"/>
    </row>
    <row r="4" spans="1:72" ht="171.6" x14ac:dyDescent="0.35">
      <c r="A4" s="72" t="s">
        <v>96</v>
      </c>
      <c r="B4" s="72" t="s">
        <v>97</v>
      </c>
      <c r="C4" s="72" t="s">
        <v>98</v>
      </c>
      <c r="D4" s="281" t="s">
        <v>99</v>
      </c>
      <c r="E4" s="72" t="s">
        <v>100</v>
      </c>
      <c r="F4" s="281" t="s">
        <v>101</v>
      </c>
      <c r="G4" s="72" t="s">
        <v>102</v>
      </c>
      <c r="H4" s="72" t="s">
        <v>893</v>
      </c>
      <c r="I4" s="72" t="s">
        <v>896</v>
      </c>
      <c r="J4" s="281" t="s">
        <v>103</v>
      </c>
      <c r="K4" s="72" t="s">
        <v>104</v>
      </c>
      <c r="L4" s="72" t="s">
        <v>105</v>
      </c>
      <c r="M4" s="34" t="s">
        <v>106</v>
      </c>
      <c r="N4" s="34" t="s">
        <v>107</v>
      </c>
      <c r="O4" s="34" t="s">
        <v>108</v>
      </c>
      <c r="P4" s="34" t="s">
        <v>109</v>
      </c>
      <c r="Q4" s="34" t="s">
        <v>110</v>
      </c>
      <c r="R4" s="34" t="s">
        <v>111</v>
      </c>
      <c r="S4" s="34" t="s">
        <v>112</v>
      </c>
      <c r="T4" s="34" t="s">
        <v>113</v>
      </c>
      <c r="U4" s="34" t="s">
        <v>114</v>
      </c>
      <c r="V4" s="34" t="s">
        <v>115</v>
      </c>
      <c r="W4" s="34" t="s">
        <v>116</v>
      </c>
      <c r="X4" s="34" t="s">
        <v>117</v>
      </c>
      <c r="Y4" s="34" t="s">
        <v>118</v>
      </c>
      <c r="Z4" s="34" t="s">
        <v>119</v>
      </c>
      <c r="AA4" s="34" t="s">
        <v>120</v>
      </c>
      <c r="AB4" s="34" t="s">
        <v>121</v>
      </c>
      <c r="AC4" s="34" t="s">
        <v>122</v>
      </c>
      <c r="AD4" s="34" t="s">
        <v>123</v>
      </c>
      <c r="AE4" s="34" t="s">
        <v>124</v>
      </c>
      <c r="AF4" s="34" t="s">
        <v>125</v>
      </c>
      <c r="AG4" s="34" t="s">
        <v>126</v>
      </c>
      <c r="AH4" s="34" t="s">
        <v>127</v>
      </c>
      <c r="AI4" s="34" t="s">
        <v>128</v>
      </c>
      <c r="AJ4" s="290" t="s">
        <v>129</v>
      </c>
      <c r="AK4" s="290" t="s">
        <v>130</v>
      </c>
      <c r="AL4" s="34" t="s">
        <v>131</v>
      </c>
      <c r="AM4" s="291" t="s">
        <v>132</v>
      </c>
      <c r="AN4" s="291" t="s">
        <v>133</v>
      </c>
      <c r="AO4" s="291" t="s">
        <v>134</v>
      </c>
      <c r="AP4" s="291" t="s">
        <v>135</v>
      </c>
      <c r="AQ4" s="72" t="s">
        <v>136</v>
      </c>
      <c r="AR4" s="72" t="s">
        <v>137</v>
      </c>
      <c r="AS4" s="72" t="s">
        <v>138</v>
      </c>
      <c r="AT4" s="72" t="s">
        <v>139</v>
      </c>
      <c r="AU4" s="72" t="s">
        <v>140</v>
      </c>
      <c r="AV4" s="72" t="s">
        <v>141</v>
      </c>
      <c r="AW4" s="72" t="s">
        <v>142</v>
      </c>
      <c r="BD4" s="39" t="s">
        <v>143</v>
      </c>
      <c r="BK4" s="39" t="s">
        <v>70</v>
      </c>
    </row>
    <row r="5" spans="1:72" ht="16.2" x14ac:dyDescent="0.4">
      <c r="A5" s="39">
        <v>1</v>
      </c>
      <c r="B5" s="39">
        <v>1</v>
      </c>
      <c r="C5" s="5">
        <v>20</v>
      </c>
      <c r="D5" s="5">
        <v>100</v>
      </c>
      <c r="E5" s="5">
        <v>0</v>
      </c>
      <c r="F5" s="75">
        <v>200000</v>
      </c>
      <c r="G5" s="39">
        <v>0</v>
      </c>
      <c r="H5" s="39">
        <f>C5</f>
        <v>20</v>
      </c>
      <c r="I5" s="351" t="s">
        <v>895</v>
      </c>
      <c r="J5" s="39">
        <v>0</v>
      </c>
      <c r="K5" s="39"/>
      <c r="L5" s="285">
        <v>-1</v>
      </c>
      <c r="M5" s="58"/>
      <c r="N5" s="58" t="s">
        <v>144</v>
      </c>
      <c r="O5" s="1">
        <f>12*60*6</f>
        <v>4320</v>
      </c>
      <c r="P5" s="1">
        <v>1000</v>
      </c>
      <c r="Q5" s="1" t="s">
        <v>145</v>
      </c>
      <c r="R5" s="287" t="s">
        <v>146</v>
      </c>
      <c r="S5" s="287">
        <v>202000</v>
      </c>
      <c r="T5" s="58" t="s">
        <v>147</v>
      </c>
      <c r="U5" s="58" t="s">
        <v>148</v>
      </c>
      <c r="V5" s="58">
        <v>0.5</v>
      </c>
      <c r="W5" s="73">
        <v>0</v>
      </c>
      <c r="X5" s="73" t="s">
        <v>149</v>
      </c>
      <c r="Y5" s="73" t="s">
        <v>150</v>
      </c>
      <c r="Z5" s="288" t="s">
        <v>151</v>
      </c>
      <c r="AA5" s="288" t="s">
        <v>152</v>
      </c>
      <c r="AB5" s="276" t="s">
        <v>153</v>
      </c>
      <c r="AC5" s="276" t="s">
        <v>154</v>
      </c>
      <c r="AD5" t="s">
        <v>155</v>
      </c>
      <c r="AE5" s="39" t="s">
        <v>156</v>
      </c>
      <c r="AF5" s="39" t="s">
        <v>157</v>
      </c>
      <c r="AG5" s="39" t="s">
        <v>158</v>
      </c>
      <c r="AH5" s="292" t="s">
        <v>159</v>
      </c>
      <c r="AI5" s="276">
        <v>-1</v>
      </c>
      <c r="AJ5" s="276" t="s">
        <v>160</v>
      </c>
      <c r="AK5" s="276" t="s">
        <v>161</v>
      </c>
      <c r="AL5" s="276" t="s">
        <v>160</v>
      </c>
      <c r="AM5" s="276" t="s">
        <v>162</v>
      </c>
      <c r="AN5" s="39">
        <v>800000</v>
      </c>
      <c r="AO5" s="39">
        <v>1000</v>
      </c>
      <c r="AP5" s="292"/>
      <c r="AQ5" s="275" t="s">
        <v>163</v>
      </c>
      <c r="AR5" s="275" t="s">
        <v>164</v>
      </c>
      <c r="AS5" s="295">
        <v>0</v>
      </c>
      <c r="AT5" s="295">
        <v>0</v>
      </c>
      <c r="AU5" s="295"/>
      <c r="AV5" s="295"/>
      <c r="AW5" s="295"/>
      <c r="AX5" s="275">
        <v>0</v>
      </c>
      <c r="AY5" s="275">
        <v>0</v>
      </c>
      <c r="AZ5" s="275">
        <v>0</v>
      </c>
      <c r="BA5" s="297" t="str">
        <f>"["&amp;AX5&amp;","&amp;AY5&amp;"],"</f>
        <v>[0,0],</v>
      </c>
      <c r="BC5" s="39" t="s">
        <v>165</v>
      </c>
      <c r="BD5" s="39" t="s">
        <v>166</v>
      </c>
      <c r="BE5" s="39" t="s">
        <v>167</v>
      </c>
      <c r="BF5" s="39" t="s">
        <v>168</v>
      </c>
      <c r="BH5" s="39" t="str">
        <f>"["&amp;BD5&amp;","&amp;BE5&amp;","&amp;BF5&amp;"]"</f>
        <v>[ic_dcj_8,tx_ld_bhjl_01,ui_dcj_k_1]</v>
      </c>
      <c r="BK5" s="39" t="str">
        <f>"["&amp;BH5&amp;","&amp;BH6&amp;","&amp;BH7&amp;","&amp;BH8&amp;"]"</f>
        <v>[[ic_dcj_8,tx_ld_bhjl_01,ui_dcj_k_1],[ic_dcj_9,tx_ld_lsc_01,ui_dcj_k_3],[ic_dcj_17,tx_ld_bbht_01,ui_dcj_k_3],[ic_dcj_18,tx_ld_jbp_01,ui_dcj_k_3]]</v>
      </c>
      <c r="BL5"/>
      <c r="BM5"/>
      <c r="BN5"/>
      <c r="BO5"/>
      <c r="BP5"/>
      <c r="BQ5"/>
      <c r="BR5"/>
      <c r="BS5"/>
      <c r="BT5"/>
    </row>
    <row r="6" spans="1:72" x14ac:dyDescent="0.35">
      <c r="A6" s="39">
        <v>2</v>
      </c>
      <c r="B6" s="39">
        <v>1</v>
      </c>
      <c r="C6" s="5">
        <v>200</v>
      </c>
      <c r="D6" s="5">
        <v>1000</v>
      </c>
      <c r="E6" s="5">
        <v>200000</v>
      </c>
      <c r="F6" s="5">
        <v>1000000</v>
      </c>
      <c r="G6" s="39">
        <v>0</v>
      </c>
      <c r="H6" s="39">
        <f t="shared" ref="H6:H10" si="0">C6</f>
        <v>200</v>
      </c>
      <c r="I6" s="351" t="s">
        <v>897</v>
      </c>
      <c r="J6" s="39">
        <f>1000*5</f>
        <v>5000</v>
      </c>
      <c r="K6" s="39" t="s">
        <v>169</v>
      </c>
      <c r="L6" s="39" t="s">
        <v>901</v>
      </c>
      <c r="M6" s="58" t="s">
        <v>170</v>
      </c>
      <c r="N6" s="58" t="s">
        <v>144</v>
      </c>
      <c r="O6" s="1">
        <f>15*60*6</f>
        <v>5400</v>
      </c>
      <c r="P6" s="1">
        <v>10000</v>
      </c>
      <c r="Q6" s="1" t="s">
        <v>145</v>
      </c>
      <c r="R6" s="287" t="s">
        <v>171</v>
      </c>
      <c r="S6" s="287">
        <v>1020000</v>
      </c>
      <c r="T6" s="58" t="s">
        <v>172</v>
      </c>
      <c r="U6" s="58" t="s">
        <v>173</v>
      </c>
      <c r="V6" s="58">
        <v>0.5</v>
      </c>
      <c r="W6" s="73">
        <v>0</v>
      </c>
      <c r="X6" s="73" t="s">
        <v>174</v>
      </c>
      <c r="Y6" s="73" t="s">
        <v>175</v>
      </c>
      <c r="Z6" s="288" t="s">
        <v>176</v>
      </c>
      <c r="AA6" s="288" t="s">
        <v>177</v>
      </c>
      <c r="AB6" s="276" t="s">
        <v>153</v>
      </c>
      <c r="AC6" s="276" t="s">
        <v>178</v>
      </c>
      <c r="AD6" s="39" t="s">
        <v>179</v>
      </c>
      <c r="AE6" s="39" t="s">
        <v>180</v>
      </c>
      <c r="AF6" s="39" t="s">
        <v>181</v>
      </c>
      <c r="AG6" s="39" t="s">
        <v>158</v>
      </c>
      <c r="AH6" s="292" t="s">
        <v>182</v>
      </c>
      <c r="AI6" s="276">
        <v>2</v>
      </c>
      <c r="AJ6" s="293" t="s">
        <v>183</v>
      </c>
      <c r="AK6" s="276" t="s">
        <v>161</v>
      </c>
      <c r="AL6" s="293" t="s">
        <v>183</v>
      </c>
      <c r="AM6" s="276" t="s">
        <v>162</v>
      </c>
      <c r="AN6" s="39">
        <v>800000</v>
      </c>
      <c r="AO6" s="39">
        <v>1000</v>
      </c>
      <c r="AP6" s="292" t="s">
        <v>184</v>
      </c>
      <c r="AQ6" s="275" t="s">
        <v>185</v>
      </c>
      <c r="AR6" s="275" t="s">
        <v>164</v>
      </c>
      <c r="AS6" s="295">
        <v>0</v>
      </c>
      <c r="AT6" s="295">
        <v>0</v>
      </c>
      <c r="AU6" s="295"/>
      <c r="AV6" s="295"/>
      <c r="AW6" s="295"/>
      <c r="AX6" s="275">
        <v>0</v>
      </c>
      <c r="AY6" s="275">
        <v>0</v>
      </c>
      <c r="AZ6" s="275">
        <v>1</v>
      </c>
      <c r="BA6" s="297" t="str">
        <f t="shared" ref="BA6:BA17" si="1">"["&amp;AX6&amp;","&amp;AY6&amp;"],"</f>
        <v>[0,0],</v>
      </c>
      <c r="BC6" s="39" t="s">
        <v>186</v>
      </c>
      <c r="BD6" s="39" t="s">
        <v>187</v>
      </c>
      <c r="BE6" s="39" t="s">
        <v>188</v>
      </c>
      <c r="BF6" s="39" t="s">
        <v>189</v>
      </c>
      <c r="BH6" s="39" t="str">
        <f t="shared" ref="BH6:BH35" si="2">"["&amp;BD6&amp;","&amp;BE6&amp;","&amp;BF6&amp;"]"</f>
        <v>[ic_dcj_9,tx_ld_lsc_01,ui_dcj_k_3]</v>
      </c>
      <c r="BK6" s="39" t="str">
        <f>"["&amp;BH10&amp;","&amp;BH13&amp;","&amp;BH14&amp;","&amp;BH15&amp;"]"</f>
        <v>[[ic_dcj_4,tx_ld_as_01,ui_dcj_k_3],[ic_dcj_21,tx_ld_shs_01,ui_dcj_k_1],[ic_dcj_17,tx_ld_bbht_01,ui_dcj_k_3],[ic_dcj_3,tx_ld_xyxkp_01,ui_dcj_k_3]]</v>
      </c>
      <c r="BL6"/>
      <c r="BM6"/>
      <c r="BN6"/>
      <c r="BO6"/>
      <c r="BP6"/>
      <c r="BQ6"/>
      <c r="BR6"/>
      <c r="BS6"/>
      <c r="BT6"/>
    </row>
    <row r="7" spans="1:72" x14ac:dyDescent="0.35">
      <c r="A7" s="39">
        <v>3</v>
      </c>
      <c r="B7" s="39">
        <v>1</v>
      </c>
      <c r="C7" s="5">
        <v>2000</v>
      </c>
      <c r="D7" s="5">
        <v>10000</v>
      </c>
      <c r="E7" s="5">
        <v>1000000</v>
      </c>
      <c r="F7" s="5">
        <v>10000000</v>
      </c>
      <c r="G7" s="39">
        <v>0</v>
      </c>
      <c r="H7" s="39">
        <f t="shared" si="0"/>
        <v>2000</v>
      </c>
      <c r="I7" s="351" t="s">
        <v>900</v>
      </c>
      <c r="J7" s="39">
        <f>10000*5</f>
        <v>50000</v>
      </c>
      <c r="K7" s="39" t="s">
        <v>169</v>
      </c>
      <c r="L7" s="39" t="s">
        <v>902</v>
      </c>
      <c r="M7" s="58"/>
      <c r="N7" s="58" t="s">
        <v>144</v>
      </c>
      <c r="O7" s="1">
        <f>18*60*6</f>
        <v>6480</v>
      </c>
      <c r="P7" s="1"/>
      <c r="Q7" s="1" t="s">
        <v>190</v>
      </c>
      <c r="R7" s="287" t="s">
        <v>191</v>
      </c>
      <c r="S7" s="287">
        <v>10200000</v>
      </c>
      <c r="T7" s="58" t="s">
        <v>192</v>
      </c>
      <c r="U7" s="58" t="s">
        <v>193</v>
      </c>
      <c r="V7" s="58">
        <v>1</v>
      </c>
      <c r="W7" s="73">
        <v>0</v>
      </c>
      <c r="X7" s="73" t="s">
        <v>194</v>
      </c>
      <c r="Y7" s="73" t="s">
        <v>195</v>
      </c>
      <c r="Z7" s="288" t="s">
        <v>196</v>
      </c>
      <c r="AA7" s="288" t="s">
        <v>197</v>
      </c>
      <c r="AB7" s="276" t="s">
        <v>153</v>
      </c>
      <c r="AC7" s="276" t="s">
        <v>154</v>
      </c>
      <c r="AD7" s="39" t="s">
        <v>198</v>
      </c>
      <c r="AE7" s="39" t="s">
        <v>199</v>
      </c>
      <c r="AF7" s="39" t="s">
        <v>200</v>
      </c>
      <c r="AG7" s="39" t="s">
        <v>158</v>
      </c>
      <c r="AH7" s="292" t="s">
        <v>201</v>
      </c>
      <c r="AI7" s="276">
        <v>5</v>
      </c>
      <c r="AJ7" s="293" t="s">
        <v>202</v>
      </c>
      <c r="AK7" s="276" t="s">
        <v>161</v>
      </c>
      <c r="AL7" s="293" t="s">
        <v>202</v>
      </c>
      <c r="AM7" s="276" t="s">
        <v>162</v>
      </c>
      <c r="AN7" s="39">
        <v>9000000</v>
      </c>
      <c r="AO7" s="39">
        <v>1000</v>
      </c>
      <c r="AP7" s="292" t="s">
        <v>184</v>
      </c>
      <c r="AQ7" s="275" t="s">
        <v>203</v>
      </c>
      <c r="AR7" s="275" t="s">
        <v>164</v>
      </c>
      <c r="AS7" s="295">
        <v>0</v>
      </c>
      <c r="AT7" s="295">
        <v>0</v>
      </c>
      <c r="AU7" s="295"/>
      <c r="AV7" s="295"/>
      <c r="AW7" s="295"/>
      <c r="AX7" s="275">
        <v>900000</v>
      </c>
      <c r="AY7" s="275">
        <v>1100000</v>
      </c>
      <c r="AZ7" s="275">
        <v>2</v>
      </c>
      <c r="BA7" s="297" t="str">
        <f t="shared" si="1"/>
        <v>[900000,1100000],</v>
      </c>
      <c r="BC7" s="39" t="s">
        <v>204</v>
      </c>
      <c r="BD7" s="39" t="s">
        <v>205</v>
      </c>
      <c r="BE7" s="39" t="s">
        <v>206</v>
      </c>
      <c r="BF7" s="39" t="s">
        <v>189</v>
      </c>
      <c r="BH7" s="39" t="str">
        <f t="shared" si="2"/>
        <v>[ic_dcj_17,tx_ld_bbht_01,ui_dcj_k_3]</v>
      </c>
      <c r="BK7" s="39" t="str">
        <f>"["&amp;BH17&amp;","&amp;BH18&amp;","&amp;BH19&amp;","&amp;BH20&amp;"]"</f>
        <v>[[ic_dcj_5,tx_ld_cs_01,ui_dcj_k_3],[ic_dcj_7,tx_ld_jc_01,ui_dcj_k_1],[ic_dcj_19,tx_ld_aybc_01,ui_dcj_k_3],[ic_dcj_18,tx_ld_jbp_01,ui_dcj_k_3]]</v>
      </c>
      <c r="BL7"/>
      <c r="BM7"/>
      <c r="BN7"/>
      <c r="BO7"/>
      <c r="BP7"/>
      <c r="BQ7"/>
      <c r="BR7"/>
      <c r="BS7"/>
      <c r="BT7"/>
    </row>
    <row r="8" spans="1:72" x14ac:dyDescent="0.35">
      <c r="A8" s="39">
        <v>4</v>
      </c>
      <c r="B8" s="39">
        <v>1</v>
      </c>
      <c r="C8" s="5">
        <v>20000</v>
      </c>
      <c r="D8" s="75">
        <v>500000</v>
      </c>
      <c r="E8" s="5">
        <v>10000000</v>
      </c>
      <c r="F8" s="5">
        <v>-1</v>
      </c>
      <c r="G8" s="39">
        <v>0</v>
      </c>
      <c r="H8" s="39">
        <f t="shared" si="0"/>
        <v>20000</v>
      </c>
      <c r="I8" s="351" t="s">
        <v>899</v>
      </c>
      <c r="J8" s="39">
        <f>100000*5</f>
        <v>500000</v>
      </c>
      <c r="K8" s="39" t="s">
        <v>169</v>
      </c>
      <c r="L8" s="39" t="s">
        <v>903</v>
      </c>
      <c r="M8" s="58"/>
      <c r="N8" s="58" t="s">
        <v>144</v>
      </c>
      <c r="O8" s="1">
        <f>25*60*6</f>
        <v>9000</v>
      </c>
      <c r="P8" s="1"/>
      <c r="Q8" s="1" t="s">
        <v>207</v>
      </c>
      <c r="R8" s="1"/>
      <c r="S8" s="1"/>
      <c r="T8" s="58" t="s">
        <v>192</v>
      </c>
      <c r="U8" s="58" t="s">
        <v>193</v>
      </c>
      <c r="V8" s="58">
        <v>1</v>
      </c>
      <c r="W8" s="73">
        <v>0</v>
      </c>
      <c r="X8" s="73" t="s">
        <v>208</v>
      </c>
      <c r="Y8" s="73" t="s">
        <v>209</v>
      </c>
      <c r="Z8" s="288" t="s">
        <v>210</v>
      </c>
      <c r="AA8" s="288" t="s">
        <v>211</v>
      </c>
      <c r="AB8" s="276" t="s">
        <v>153</v>
      </c>
      <c r="AC8" s="276" t="s">
        <v>178</v>
      </c>
      <c r="AD8" s="39" t="s">
        <v>212</v>
      </c>
      <c r="AE8" s="39" t="s">
        <v>213</v>
      </c>
      <c r="AF8" s="39" t="s">
        <v>214</v>
      </c>
      <c r="AG8" s="39" t="s">
        <v>158</v>
      </c>
      <c r="AH8" s="292" t="s">
        <v>215</v>
      </c>
      <c r="AI8" s="276">
        <v>10</v>
      </c>
      <c r="AJ8" s="293" t="s">
        <v>216</v>
      </c>
      <c r="AK8" s="276" t="s">
        <v>161</v>
      </c>
      <c r="AL8" s="293" t="s">
        <v>216</v>
      </c>
      <c r="AM8" s="276" t="s">
        <v>162</v>
      </c>
      <c r="AN8" s="39">
        <v>90000000</v>
      </c>
      <c r="AO8" s="39">
        <v>1000</v>
      </c>
      <c r="AP8" s="292" t="s">
        <v>184</v>
      </c>
      <c r="AQ8" s="275" t="s">
        <v>217</v>
      </c>
      <c r="AR8" s="275" t="s">
        <v>164</v>
      </c>
      <c r="AS8" s="295">
        <v>0</v>
      </c>
      <c r="AT8" s="295">
        <v>1</v>
      </c>
      <c r="AU8" s="295">
        <v>16</v>
      </c>
      <c r="AV8" s="295">
        <v>20</v>
      </c>
      <c r="AW8" s="295">
        <v>80</v>
      </c>
      <c r="AX8" s="275">
        <v>1000000</v>
      </c>
      <c r="AY8" s="275">
        <v>1200000</v>
      </c>
      <c r="AZ8" s="275">
        <v>3</v>
      </c>
      <c r="BA8" s="297" t="str">
        <f t="shared" si="1"/>
        <v>[1000000,1200000],</v>
      </c>
      <c r="BC8" s="39" t="s">
        <v>218</v>
      </c>
      <c r="BD8" s="39" t="s">
        <v>219</v>
      </c>
      <c r="BE8" s="39" t="s">
        <v>220</v>
      </c>
      <c r="BF8" s="39" t="s">
        <v>189</v>
      </c>
      <c r="BH8" s="39" t="str">
        <f t="shared" si="2"/>
        <v>[ic_dcj_18,tx_ld_jbp_01,ui_dcj_k_3]</v>
      </c>
      <c r="BK8" s="39" t="str">
        <f>"["&amp;BH22&amp;","&amp;BH23&amp;","&amp;BH24&amp;","&amp;BH25&amp;"]"</f>
        <v>[[ic_dcj_6,tx_ld_xlj_01,ui_dcj_k_3],[ic_dcj_7,tx_ld_jc_01,ui_dcj_k_1],[ic_dcj_20,tx_ld_yhjh_01,ui_dcj_k_3],[ic_dcj_5,tx_ld_cs_01,ui_dcj_k_3]]</v>
      </c>
      <c r="BL8"/>
      <c r="BM8"/>
      <c r="BN8"/>
      <c r="BO8"/>
      <c r="BP8"/>
      <c r="BQ8"/>
      <c r="BR8"/>
      <c r="BS8"/>
      <c r="BT8"/>
    </row>
    <row r="9" spans="1:72" ht="16.2" x14ac:dyDescent="0.4">
      <c r="A9" s="39">
        <v>5</v>
      </c>
      <c r="B9" s="39">
        <v>0</v>
      </c>
      <c r="C9" s="282">
        <v>10000</v>
      </c>
      <c r="D9" s="75">
        <v>500000</v>
      </c>
      <c r="E9" s="5">
        <v>2000000</v>
      </c>
      <c r="F9" s="5">
        <v>-1</v>
      </c>
      <c r="G9" s="39">
        <v>0</v>
      </c>
      <c r="H9" s="283">
        <f t="shared" si="0"/>
        <v>10000</v>
      </c>
      <c r="I9" s="351" t="s">
        <v>898</v>
      </c>
      <c r="J9" s="39">
        <v>0</v>
      </c>
      <c r="K9" s="39">
        <v>3</v>
      </c>
      <c r="L9" s="39">
        <v>-1</v>
      </c>
      <c r="N9" s="58" t="s">
        <v>144</v>
      </c>
      <c r="Q9" s="1"/>
      <c r="T9" s="58" t="s">
        <v>192</v>
      </c>
      <c r="U9" s="58" t="s">
        <v>193</v>
      </c>
      <c r="V9" s="58">
        <v>1</v>
      </c>
      <c r="W9" s="58" t="s">
        <v>144</v>
      </c>
      <c r="X9" s="58" t="s">
        <v>221</v>
      </c>
      <c r="Y9" s="58" t="s">
        <v>222</v>
      </c>
      <c r="Z9" s="288" t="s">
        <v>223</v>
      </c>
      <c r="AA9" s="288" t="s">
        <v>224</v>
      </c>
      <c r="AB9" s="276" t="s">
        <v>153</v>
      </c>
      <c r="AC9" s="276" t="s">
        <v>154</v>
      </c>
      <c r="AD9" s="39">
        <v>0</v>
      </c>
      <c r="AE9" s="39" t="s">
        <v>225</v>
      </c>
      <c r="AF9" s="39"/>
      <c r="AG9" s="39">
        <v>0</v>
      </c>
      <c r="AH9" s="292" t="s">
        <v>226</v>
      </c>
      <c r="AI9" s="276">
        <v>-1</v>
      </c>
      <c r="AJ9" s="276" t="s">
        <v>227</v>
      </c>
      <c r="AK9" s="276" t="s">
        <v>161</v>
      </c>
      <c r="AL9" s="276" t="s">
        <v>227</v>
      </c>
      <c r="AN9" s="39">
        <v>90000000</v>
      </c>
      <c r="AO9" s="39">
        <v>1000</v>
      </c>
      <c r="AP9" s="296" t="s">
        <v>905</v>
      </c>
      <c r="AQ9" s="275" t="str">
        <f>AQ7</f>
        <v>[0,4000000]</v>
      </c>
      <c r="AR9" s="275" t="str">
        <f>AR7</f>
        <v>[[0,0],[0,0],[0,0],[0,0],[0,0]]</v>
      </c>
      <c r="AS9" s="295"/>
      <c r="AT9" s="295">
        <v>0</v>
      </c>
      <c r="AU9" s="295"/>
      <c r="AV9" s="295"/>
      <c r="AW9" s="295"/>
      <c r="AX9" s="275">
        <v>1100000</v>
      </c>
      <c r="AY9" s="275">
        <v>1300000</v>
      </c>
      <c r="AZ9" s="275">
        <v>4</v>
      </c>
      <c r="BA9" s="297" t="str">
        <f t="shared" si="1"/>
        <v>[1100000,1300000],</v>
      </c>
      <c r="BH9" s="39" t="str">
        <f t="shared" si="2"/>
        <v>[,,]</v>
      </c>
      <c r="BK9" s="39" t="str">
        <f>"["&amp;BH27&amp;","&amp;BH28&amp;","&amp;BH29&amp;","&amp;BH30&amp;"]"</f>
        <v>[[ic_dcj_15,tx_ld_pm_01,ui_dcj_k_1],[ic_dcj_14,tx_ld_zd_01,ui_dcj_k_3],[ic_dcj_16,tx_ld_xyjf_01,ui_dcj_k_3],[ic_dcj_12,tx_ld_pb_02,ui_dcj_k_3]]</v>
      </c>
      <c r="BL9"/>
      <c r="BM9"/>
      <c r="BN9"/>
      <c r="BO9"/>
      <c r="BP9"/>
      <c r="BQ9"/>
      <c r="BR9"/>
      <c r="BS9"/>
      <c r="BT9"/>
    </row>
    <row r="10" spans="1:72" x14ac:dyDescent="0.35">
      <c r="A10" s="39">
        <v>6</v>
      </c>
      <c r="B10" s="39">
        <v>0</v>
      </c>
      <c r="C10" s="5">
        <v>20000</v>
      </c>
      <c r="D10" s="75">
        <v>500000</v>
      </c>
      <c r="E10" s="5">
        <v>15000000</v>
      </c>
      <c r="F10" s="5">
        <v>-1</v>
      </c>
      <c r="G10" s="39">
        <v>2</v>
      </c>
      <c r="H10" s="39">
        <f t="shared" si="0"/>
        <v>20000</v>
      </c>
      <c r="I10" s="351" t="s">
        <v>899</v>
      </c>
      <c r="J10" s="39">
        <v>0</v>
      </c>
      <c r="K10" s="39" t="s">
        <v>169</v>
      </c>
      <c r="L10" s="39" t="s">
        <v>901</v>
      </c>
      <c r="M10" s="58"/>
      <c r="N10" s="58" t="s">
        <v>144</v>
      </c>
      <c r="O10" s="58"/>
      <c r="P10" s="58"/>
      <c r="Q10" s="1"/>
      <c r="R10" s="58"/>
      <c r="S10" s="58"/>
      <c r="T10" s="58" t="s">
        <v>192</v>
      </c>
      <c r="U10" s="58" t="s">
        <v>193</v>
      </c>
      <c r="V10" s="58">
        <v>1</v>
      </c>
      <c r="W10" s="73">
        <v>0</v>
      </c>
      <c r="X10" s="73" t="s">
        <v>228</v>
      </c>
      <c r="Y10" s="73" t="s">
        <v>908</v>
      </c>
      <c r="Z10" s="288" t="s">
        <v>229</v>
      </c>
      <c r="AA10" s="288" t="s">
        <v>230</v>
      </c>
      <c r="AB10" s="276" t="s">
        <v>153</v>
      </c>
      <c r="AC10" s="276" t="s">
        <v>154</v>
      </c>
      <c r="AD10" s="39" t="s">
        <v>231</v>
      </c>
      <c r="AE10" s="39" t="s">
        <v>232</v>
      </c>
      <c r="AF10" s="39"/>
      <c r="AG10" s="39" t="s">
        <v>158</v>
      </c>
      <c r="AH10" s="292" t="s">
        <v>233</v>
      </c>
      <c r="AI10" s="276">
        <v>-1</v>
      </c>
      <c r="AJ10" s="276" t="s">
        <v>227</v>
      </c>
      <c r="AK10" s="276" t="s">
        <v>161</v>
      </c>
      <c r="AL10" s="276" t="s">
        <v>227</v>
      </c>
      <c r="AN10" s="39">
        <v>90000000</v>
      </c>
      <c r="AO10" s="39">
        <v>1000</v>
      </c>
      <c r="AP10" s="292" t="s">
        <v>184</v>
      </c>
      <c r="AQ10" s="275" t="str">
        <f>AQ8</f>
        <v>[0,60000000]</v>
      </c>
      <c r="AR10" s="275" t="str">
        <f>AR8</f>
        <v>[[0,0],[0,0],[0,0],[0,0],[0,0]]</v>
      </c>
      <c r="AS10" s="295"/>
      <c r="AT10" s="295">
        <v>0</v>
      </c>
      <c r="AU10" s="295"/>
      <c r="AV10" s="295"/>
      <c r="AW10" s="295"/>
      <c r="AX10" s="275">
        <v>1100000</v>
      </c>
      <c r="AY10" s="275">
        <v>1300000</v>
      </c>
      <c r="AZ10" s="275">
        <v>5</v>
      </c>
      <c r="BA10" s="297" t="str">
        <f t="shared" si="1"/>
        <v>[1100000,1300000],</v>
      </c>
      <c r="BC10" s="39" t="s">
        <v>234</v>
      </c>
      <c r="BD10" s="39" t="s">
        <v>235</v>
      </c>
      <c r="BE10" s="39" t="s">
        <v>236</v>
      </c>
      <c r="BF10" s="39" t="s">
        <v>189</v>
      </c>
      <c r="BH10" s="39" t="str">
        <f t="shared" si="2"/>
        <v>[ic_dcj_4,tx_ld_as_01,ui_dcj_k_3]</v>
      </c>
      <c r="BK10" s="39" t="str">
        <f>"["&amp;BH32&amp;","&amp;BH33&amp;","&amp;BH34&amp;","&amp;BH35&amp;"]"</f>
        <v>[[ic_dcj_13,tx_ld_hjyhzz_01,ui_dcj_k_1],[ic_dcj_12,tx_ld_pb_01,ui_dcj_k_3],[ic_dcj_7,tx_ld_jc_01,ui_dcj_k_1],[ic_dcj_20,tx_ld_yhjh_01,ui_dcj_k_3]]</v>
      </c>
      <c r="BL10"/>
      <c r="BM10"/>
      <c r="BN10"/>
      <c r="BO10"/>
      <c r="BP10"/>
      <c r="BQ10"/>
      <c r="BR10"/>
      <c r="BS10"/>
      <c r="BT10"/>
    </row>
    <row r="11" spans="1:72" ht="16.2" x14ac:dyDescent="0.4">
      <c r="A11" s="39">
        <v>7</v>
      </c>
      <c r="B11" s="39">
        <v>1</v>
      </c>
      <c r="C11" s="5">
        <v>20000</v>
      </c>
      <c r="D11" s="75">
        <v>500000</v>
      </c>
      <c r="E11" s="5">
        <v>30000000</v>
      </c>
      <c r="F11" s="5">
        <v>-1</v>
      </c>
      <c r="G11" s="39">
        <v>0</v>
      </c>
      <c r="H11" s="39">
        <f t="shared" ref="H11" si="3">C11</f>
        <v>20000</v>
      </c>
      <c r="I11" s="351" t="s">
        <v>899</v>
      </c>
      <c r="J11" s="39">
        <v>0</v>
      </c>
      <c r="K11" s="39" t="s">
        <v>169</v>
      </c>
      <c r="L11" s="39" t="s">
        <v>903</v>
      </c>
      <c r="M11" s="58"/>
      <c r="N11" s="58" t="s">
        <v>144</v>
      </c>
      <c r="O11" s="1"/>
      <c r="P11" s="1"/>
      <c r="Q11" s="1"/>
      <c r="R11" s="1"/>
      <c r="S11" s="1"/>
      <c r="T11" s="58" t="s">
        <v>192</v>
      </c>
      <c r="U11" s="58" t="s">
        <v>193</v>
      </c>
      <c r="V11" s="58">
        <v>1</v>
      </c>
      <c r="W11" s="73">
        <v>0</v>
      </c>
      <c r="X11" s="73" t="s">
        <v>237</v>
      </c>
      <c r="Y11" s="73" t="s">
        <v>907</v>
      </c>
      <c r="Z11" s="288" t="s">
        <v>238</v>
      </c>
      <c r="AA11" s="288" t="s">
        <v>239</v>
      </c>
      <c r="AB11" s="276" t="s">
        <v>153</v>
      </c>
      <c r="AC11" s="276" t="s">
        <v>178</v>
      </c>
      <c r="AD11" s="39" t="s">
        <v>212</v>
      </c>
      <c r="AE11" s="289" t="s">
        <v>240</v>
      </c>
      <c r="AF11" s="230" t="s">
        <v>241</v>
      </c>
      <c r="AG11" s="39" t="s">
        <v>158</v>
      </c>
      <c r="AH11" s="292" t="s">
        <v>215</v>
      </c>
      <c r="AI11" s="276">
        <v>10</v>
      </c>
      <c r="AJ11" s="293" t="s">
        <v>216</v>
      </c>
      <c r="AK11" s="276" t="s">
        <v>161</v>
      </c>
      <c r="AL11" s="293" t="s">
        <v>216</v>
      </c>
      <c r="AN11" s="39">
        <v>90000000</v>
      </c>
      <c r="AO11" s="39">
        <v>1000</v>
      </c>
      <c r="AP11" s="292" t="s">
        <v>184</v>
      </c>
      <c r="AQ11" s="275" t="s">
        <v>217</v>
      </c>
      <c r="AR11" s="275" t="s">
        <v>164</v>
      </c>
      <c r="AS11" s="295">
        <v>0</v>
      </c>
      <c r="AT11" s="295">
        <v>1</v>
      </c>
      <c r="AU11" s="295">
        <v>16</v>
      </c>
      <c r="AV11" s="295">
        <v>20</v>
      </c>
      <c r="AW11" s="295">
        <v>80</v>
      </c>
      <c r="AX11" s="275">
        <v>1000000</v>
      </c>
      <c r="AY11" s="275">
        <v>1200000</v>
      </c>
      <c r="AZ11" s="275">
        <v>3</v>
      </c>
      <c r="BA11" s="297" t="str">
        <f t="shared" ref="BA11" si="4">"["&amp;AX11&amp;","&amp;AY11&amp;"],"</f>
        <v>[1000000,1200000],</v>
      </c>
      <c r="BC11" s="39" t="s">
        <v>218</v>
      </c>
      <c r="BD11" s="39" t="s">
        <v>219</v>
      </c>
      <c r="BE11" s="39" t="s">
        <v>220</v>
      </c>
      <c r="BF11" s="39" t="s">
        <v>189</v>
      </c>
      <c r="BH11" s="39" t="str">
        <f t="shared" ref="BH11" si="5">"["&amp;BD11&amp;","&amp;BE11&amp;","&amp;BF11&amp;"]"</f>
        <v>[ic_dcj_18,tx_ld_jbp_01,ui_dcj_k_3]</v>
      </c>
      <c r="BK11" s="39" t="str">
        <f>"["&amp;BH25&amp;","&amp;BH26&amp;","&amp;BH27&amp;","&amp;BH28&amp;"]"</f>
        <v>[[ic_dcj_5,tx_ld_cs_01,ui_dcj_k_3],[,,],[ic_dcj_15,tx_ld_pm_01,ui_dcj_k_1],[ic_dcj_14,tx_ld_zd_01,ui_dcj_k_3]]</v>
      </c>
      <c r="BL11"/>
      <c r="BM11"/>
      <c r="BN11"/>
      <c r="BO11"/>
      <c r="BP11"/>
      <c r="BQ11"/>
      <c r="BR11"/>
      <c r="BS11"/>
      <c r="BT11"/>
    </row>
    <row r="12" spans="1:72" x14ac:dyDescent="0.35">
      <c r="A12" s="39"/>
      <c r="B12" s="39"/>
      <c r="C12" s="5"/>
      <c r="D12" s="5"/>
      <c r="E12" s="5"/>
      <c r="F12" s="5"/>
      <c r="G12" s="39"/>
      <c r="H12" s="39"/>
      <c r="I12" s="39"/>
      <c r="J12" s="39"/>
      <c r="K12" s="39"/>
      <c r="L12" s="39"/>
      <c r="M12" s="58"/>
      <c r="N12" s="58"/>
      <c r="O12" s="58"/>
      <c r="P12" s="58"/>
      <c r="Q12" s="1"/>
      <c r="R12" s="58"/>
      <c r="S12" s="58"/>
      <c r="T12" s="58"/>
      <c r="U12" s="58"/>
      <c r="V12" s="58"/>
      <c r="W12" s="73"/>
      <c r="X12" s="73"/>
      <c r="Y12" s="73"/>
      <c r="Z12" s="288"/>
      <c r="AA12" s="288"/>
      <c r="AD12" s="39"/>
      <c r="AE12" s="39"/>
      <c r="AF12" s="39"/>
      <c r="AG12" s="39"/>
      <c r="AH12" s="292"/>
      <c r="AN12" s="39"/>
      <c r="AO12" s="39"/>
      <c r="AP12" s="292"/>
      <c r="AQ12" s="275"/>
      <c r="AR12" s="275"/>
      <c r="AS12" s="295"/>
      <c r="AT12" s="295"/>
      <c r="AU12" s="295"/>
      <c r="AV12" s="295"/>
      <c r="AW12" s="295"/>
      <c r="AX12" s="275"/>
      <c r="AY12" s="275"/>
      <c r="AZ12" s="275"/>
      <c r="BA12" s="297"/>
      <c r="BL12"/>
      <c r="BM12"/>
      <c r="BN12"/>
      <c r="BO12"/>
      <c r="BP12"/>
      <c r="BQ12"/>
      <c r="BR12"/>
      <c r="BS12"/>
      <c r="BT12"/>
    </row>
    <row r="13" spans="1:72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N13" s="58"/>
      <c r="AX13" s="275">
        <v>1100000</v>
      </c>
      <c r="AY13" s="275">
        <v>1300000</v>
      </c>
      <c r="AZ13" s="275">
        <v>6</v>
      </c>
      <c r="BA13" s="297" t="str">
        <f t="shared" si="1"/>
        <v>[1100000,1300000],</v>
      </c>
      <c r="BC13" s="298" t="s">
        <v>242</v>
      </c>
      <c r="BD13" s="298" t="s">
        <v>243</v>
      </c>
      <c r="BE13" s="298" t="s">
        <v>244</v>
      </c>
      <c r="BF13" s="298" t="s">
        <v>168</v>
      </c>
      <c r="BG13" s="298"/>
      <c r="BH13" s="298" t="str">
        <f t="shared" si="2"/>
        <v>[ic_dcj_21,tx_ld_shs_01,ui_dcj_k_1]</v>
      </c>
      <c r="BI13" s="298"/>
      <c r="BL13"/>
      <c r="BM13"/>
      <c r="BN13"/>
      <c r="BO13"/>
      <c r="BP13"/>
      <c r="BQ13"/>
      <c r="BR13"/>
      <c r="BS13"/>
      <c r="BT13"/>
    </row>
    <row r="14" spans="1:72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AX14" s="275">
        <v>1100000</v>
      </c>
      <c r="AY14" s="275">
        <v>1300000</v>
      </c>
      <c r="AZ14" s="275">
        <v>7</v>
      </c>
      <c r="BA14" s="297" t="str">
        <f t="shared" si="1"/>
        <v>[1100000,1300000],</v>
      </c>
      <c r="BC14" s="71" t="s">
        <v>204</v>
      </c>
      <c r="BD14" s="71" t="s">
        <v>205</v>
      </c>
      <c r="BE14" s="71" t="s">
        <v>206</v>
      </c>
      <c r="BF14" s="71" t="s">
        <v>189</v>
      </c>
      <c r="BH14" s="39" t="str">
        <f t="shared" si="2"/>
        <v>[ic_dcj_17,tx_ld_bbht_01,ui_dcj_k_3]</v>
      </c>
      <c r="BL14"/>
      <c r="BM14"/>
      <c r="BN14"/>
      <c r="BO14"/>
      <c r="BP14"/>
      <c r="BQ14"/>
      <c r="BR14"/>
      <c r="BS14"/>
      <c r="BT14"/>
    </row>
    <row r="15" spans="1:72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AX15" s="275">
        <v>1100000</v>
      </c>
      <c r="AY15" s="275">
        <v>1300000</v>
      </c>
      <c r="AZ15" s="275">
        <v>8</v>
      </c>
      <c r="BA15" s="297" t="str">
        <f t="shared" si="1"/>
        <v>[1100000,1300000],</v>
      </c>
      <c r="BC15" s="39" t="s">
        <v>245</v>
      </c>
      <c r="BD15" s="39" t="s">
        <v>246</v>
      </c>
      <c r="BE15" s="39" t="s">
        <v>247</v>
      </c>
      <c r="BF15" s="39" t="s">
        <v>189</v>
      </c>
      <c r="BH15" s="39" t="str">
        <f t="shared" si="2"/>
        <v>[ic_dcj_3,tx_ld_xyxkp_01,ui_dcj_k_3]</v>
      </c>
      <c r="BL15"/>
      <c r="BM15"/>
      <c r="BN15"/>
      <c r="BO15"/>
      <c r="BP15"/>
      <c r="BQ15"/>
      <c r="BR15"/>
      <c r="BS15"/>
      <c r="BT15"/>
    </row>
    <row r="16" spans="1:72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AX16" s="275">
        <v>1100000</v>
      </c>
      <c r="AY16" s="275">
        <v>1300000</v>
      </c>
      <c r="AZ16" s="275">
        <v>9</v>
      </c>
      <c r="BA16" s="297" t="str">
        <f t="shared" si="1"/>
        <v>[1100000,1300000],</v>
      </c>
      <c r="BB16" s="299" t="str">
        <f>BA5&amp;BA6&amp;BA7&amp;BA8&amp;BA9&amp;BA10&amp;BA13&amp;BA14&amp;BA15&amp;BA16&amp;BA17</f>
        <v>[0,0],[0,0],[900000,1100000],[1000000,1200000],[1100000,1300000],[1100000,1300000],[1100000,1300000],[1100000,1300000],[1100000,1300000],[1100000,1300000],[1100000,1300000],</v>
      </c>
      <c r="BH16" s="39" t="str">
        <f t="shared" si="2"/>
        <v>[,,]</v>
      </c>
      <c r="BL16"/>
      <c r="BM16"/>
      <c r="BN16"/>
      <c r="BO16"/>
      <c r="BP16"/>
      <c r="BQ16"/>
      <c r="BR16"/>
      <c r="BS16"/>
      <c r="BT16"/>
    </row>
    <row r="17" spans="1:72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AD17"/>
      <c r="AE17"/>
      <c r="AF17"/>
      <c r="AX17" s="275">
        <v>1100000</v>
      </c>
      <c r="AY17" s="275">
        <v>1300000</v>
      </c>
      <c r="AZ17" s="275">
        <v>10</v>
      </c>
      <c r="BA17" s="297" t="str">
        <f t="shared" si="1"/>
        <v>[1100000,1300000],</v>
      </c>
      <c r="BC17" s="39" t="s">
        <v>248</v>
      </c>
      <c r="BD17" s="39" t="s">
        <v>249</v>
      </c>
      <c r="BE17" s="39" t="s">
        <v>250</v>
      </c>
      <c r="BF17" s="39" t="s">
        <v>189</v>
      </c>
      <c r="BH17" s="39" t="str">
        <f t="shared" si="2"/>
        <v>[ic_dcj_5,tx_ld_cs_01,ui_dcj_k_3]</v>
      </c>
      <c r="BL17"/>
      <c r="BM17"/>
      <c r="BN17"/>
      <c r="BO17"/>
      <c r="BP17"/>
      <c r="BQ17"/>
      <c r="BR17"/>
      <c r="BS17"/>
      <c r="BT17"/>
    </row>
    <row r="18" spans="1:72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AA18"/>
      <c r="AD18"/>
      <c r="AE18"/>
      <c r="AF18"/>
      <c r="AX18" s="275"/>
      <c r="AY18" s="275"/>
      <c r="AZ18" s="275"/>
      <c r="BC18" s="39" t="s">
        <v>251</v>
      </c>
      <c r="BD18" s="39" t="s">
        <v>252</v>
      </c>
      <c r="BE18" s="39" t="s">
        <v>253</v>
      </c>
      <c r="BF18" s="39" t="s">
        <v>168</v>
      </c>
      <c r="BH18" s="39" t="str">
        <f t="shared" si="2"/>
        <v>[ic_dcj_7,tx_ld_jc_01,ui_dcj_k_1]</v>
      </c>
      <c r="BL18"/>
      <c r="BM18"/>
      <c r="BN18"/>
      <c r="BO18"/>
      <c r="BP18"/>
      <c r="BQ18"/>
      <c r="BR18"/>
      <c r="BS18"/>
      <c r="BT18"/>
    </row>
    <row r="19" spans="1:72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AD19"/>
      <c r="AE19"/>
      <c r="AF19"/>
      <c r="AX19" s="275"/>
      <c r="AY19" s="275"/>
      <c r="AZ19" s="275"/>
      <c r="BC19" s="300" t="s">
        <v>254</v>
      </c>
      <c r="BD19" s="300" t="s">
        <v>255</v>
      </c>
      <c r="BE19" s="300" t="s">
        <v>256</v>
      </c>
      <c r="BF19" s="300" t="s">
        <v>189</v>
      </c>
      <c r="BG19" s="300"/>
      <c r="BH19" s="300" t="str">
        <f t="shared" si="2"/>
        <v>[ic_dcj_19,tx_ld_aybc_01,ui_dcj_k_3]</v>
      </c>
      <c r="BI19" s="300"/>
      <c r="BL19"/>
      <c r="BM19"/>
      <c r="BN19"/>
      <c r="BO19"/>
      <c r="BP19"/>
      <c r="BQ19"/>
      <c r="BR19"/>
      <c r="BS19"/>
      <c r="BT19"/>
    </row>
    <row r="20" spans="1:72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AD20"/>
      <c r="AE20"/>
      <c r="AF20"/>
      <c r="AX20" s="275"/>
      <c r="AY20" s="275"/>
      <c r="AZ20" s="39"/>
      <c r="BA20" s="39"/>
      <c r="BC20" s="71" t="s">
        <v>218</v>
      </c>
      <c r="BD20" s="71" t="s">
        <v>219</v>
      </c>
      <c r="BE20" s="71" t="s">
        <v>220</v>
      </c>
      <c r="BF20" s="71" t="s">
        <v>189</v>
      </c>
      <c r="BH20" s="39" t="str">
        <f t="shared" si="2"/>
        <v>[ic_dcj_18,tx_ld_jbp_01,ui_dcj_k_3]</v>
      </c>
      <c r="BK20" s="71" t="s">
        <v>257</v>
      </c>
      <c r="BL20" s="71" t="s">
        <v>258</v>
      </c>
      <c r="BM20" s="71" t="s">
        <v>259</v>
      </c>
      <c r="BN20" s="71" t="s">
        <v>189</v>
      </c>
      <c r="BO20"/>
      <c r="BP20"/>
      <c r="BQ20"/>
      <c r="BR20"/>
      <c r="BS20"/>
      <c r="BT20"/>
    </row>
    <row r="21" spans="1:72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AX21" s="275">
        <f>AX5*10</f>
        <v>0</v>
      </c>
      <c r="AY21" s="275">
        <f>AY5*10</f>
        <v>0</v>
      </c>
      <c r="AZ21" s="39"/>
      <c r="BA21" s="39"/>
      <c r="BH21" s="39" t="str">
        <f t="shared" si="2"/>
        <v>[,,]</v>
      </c>
      <c r="BL21"/>
      <c r="BM21"/>
      <c r="BN21"/>
      <c r="BO21"/>
      <c r="BP21"/>
      <c r="BQ21"/>
      <c r="BR21"/>
      <c r="BS21"/>
      <c r="BT21"/>
    </row>
    <row r="22" spans="1:72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AX22" s="275">
        <f t="shared" ref="AX22:AY22" si="6">AX6*10</f>
        <v>0</v>
      </c>
      <c r="AY22" s="275">
        <f t="shared" si="6"/>
        <v>0</v>
      </c>
      <c r="AZ22" s="39"/>
      <c r="BA22" s="39"/>
      <c r="BC22" s="39" t="s">
        <v>260</v>
      </c>
      <c r="BD22" s="39" t="s">
        <v>261</v>
      </c>
      <c r="BE22" s="39" t="s">
        <v>262</v>
      </c>
      <c r="BF22" s="39" t="s">
        <v>189</v>
      </c>
      <c r="BH22" s="39" t="str">
        <f t="shared" si="2"/>
        <v>[ic_dcj_6,tx_ld_xlj_01,ui_dcj_k_3]</v>
      </c>
      <c r="BL22"/>
      <c r="BM22"/>
      <c r="BN22"/>
      <c r="BO22"/>
      <c r="BP22"/>
      <c r="BQ22"/>
      <c r="BR22"/>
      <c r="BS22"/>
      <c r="BT22"/>
    </row>
    <row r="23" spans="1:72" x14ac:dyDescent="0.35">
      <c r="AX23" s="275">
        <f t="shared" ref="AX23:AY23" si="7">AX7*10</f>
        <v>9000000</v>
      </c>
      <c r="AY23" s="275">
        <f t="shared" si="7"/>
        <v>11000000</v>
      </c>
      <c r="AZ23" s="39"/>
      <c r="BA23" s="39"/>
      <c r="BC23" s="39" t="s">
        <v>251</v>
      </c>
      <c r="BD23" s="39" t="s">
        <v>252</v>
      </c>
      <c r="BE23" s="39" t="s">
        <v>253</v>
      </c>
      <c r="BF23" s="39" t="s">
        <v>168</v>
      </c>
      <c r="BH23" s="39" t="str">
        <f t="shared" si="2"/>
        <v>[ic_dcj_7,tx_ld_jc_01,ui_dcj_k_1]</v>
      </c>
      <c r="BL23"/>
      <c r="BM23"/>
      <c r="BN23"/>
      <c r="BO23"/>
      <c r="BP23"/>
      <c r="BQ23"/>
      <c r="BR23"/>
      <c r="BS23"/>
      <c r="BT23"/>
    </row>
    <row r="24" spans="1:72" x14ac:dyDescent="0.35">
      <c r="AX24" s="275">
        <f t="shared" ref="AX24:AY24" si="8">AX8*10</f>
        <v>10000000</v>
      </c>
      <c r="AY24" s="275">
        <f t="shared" si="8"/>
        <v>12000000</v>
      </c>
      <c r="AZ24" s="39"/>
      <c r="BA24" s="39"/>
      <c r="BC24" s="298" t="s">
        <v>263</v>
      </c>
      <c r="BD24" s="298" t="s">
        <v>264</v>
      </c>
      <c r="BE24" s="298" t="s">
        <v>265</v>
      </c>
      <c r="BF24" s="298" t="s">
        <v>189</v>
      </c>
      <c r="BG24" s="298"/>
      <c r="BH24" s="298" t="str">
        <f t="shared" si="2"/>
        <v>[ic_dcj_20,tx_ld_yhjh_01,ui_dcj_k_3]</v>
      </c>
      <c r="BI24" s="298"/>
      <c r="BL24"/>
      <c r="BM24"/>
      <c r="BN24"/>
      <c r="BO24"/>
      <c r="BP24"/>
      <c r="BQ24"/>
      <c r="BR24"/>
      <c r="BS24"/>
      <c r="BT24"/>
    </row>
    <row r="25" spans="1:72" x14ac:dyDescent="0.35">
      <c r="AX25" s="275">
        <f t="shared" ref="AX25:AY25" si="9">AX9*10</f>
        <v>11000000</v>
      </c>
      <c r="AY25" s="275">
        <f t="shared" si="9"/>
        <v>13000000</v>
      </c>
      <c r="AZ25" s="39"/>
      <c r="BA25" s="39"/>
      <c r="BC25" s="71" t="s">
        <v>248</v>
      </c>
      <c r="BD25" s="71" t="s">
        <v>249</v>
      </c>
      <c r="BE25" s="71" t="s">
        <v>250</v>
      </c>
      <c r="BF25" s="71" t="s">
        <v>189</v>
      </c>
      <c r="BH25" s="39" t="str">
        <f t="shared" si="2"/>
        <v>[ic_dcj_5,tx_ld_cs_01,ui_dcj_k_3]</v>
      </c>
      <c r="BL25"/>
      <c r="BM25"/>
      <c r="BN25"/>
      <c r="BO25"/>
      <c r="BP25"/>
      <c r="BQ25"/>
      <c r="BR25"/>
      <c r="BS25"/>
      <c r="BT25"/>
    </row>
    <row r="26" spans="1:72" x14ac:dyDescent="0.35">
      <c r="AX26" s="275">
        <f t="shared" ref="AX26:AY26" si="10">AX10*10</f>
        <v>11000000</v>
      </c>
      <c r="AY26" s="275">
        <f t="shared" si="10"/>
        <v>13000000</v>
      </c>
      <c r="AZ26" s="275"/>
      <c r="BH26" s="39" t="str">
        <f t="shared" si="2"/>
        <v>[,,]</v>
      </c>
      <c r="BL26"/>
      <c r="BM26"/>
      <c r="BN26"/>
      <c r="BO26"/>
      <c r="BP26"/>
      <c r="BQ26"/>
      <c r="BR26"/>
      <c r="BS26"/>
      <c r="BT26"/>
    </row>
    <row r="27" spans="1:72" x14ac:dyDescent="0.35">
      <c r="AX27" s="275">
        <f t="shared" ref="AX27:AY27" si="11">AX13*10</f>
        <v>11000000</v>
      </c>
      <c r="AY27" s="275">
        <f t="shared" si="11"/>
        <v>13000000</v>
      </c>
      <c r="AZ27" s="275"/>
      <c r="BC27" s="39" t="s">
        <v>266</v>
      </c>
      <c r="BD27" s="39" t="s">
        <v>267</v>
      </c>
      <c r="BE27" s="39" t="s">
        <v>268</v>
      </c>
      <c r="BF27" s="39" t="s">
        <v>168</v>
      </c>
      <c r="BH27" s="39" t="str">
        <f t="shared" si="2"/>
        <v>[ic_dcj_15,tx_ld_pm_01,ui_dcj_k_1]</v>
      </c>
      <c r="BL27"/>
      <c r="BM27"/>
      <c r="BN27"/>
      <c r="BO27"/>
      <c r="BP27"/>
      <c r="BQ27"/>
      <c r="BR27"/>
      <c r="BS27"/>
      <c r="BT27"/>
    </row>
    <row r="28" spans="1:72" x14ac:dyDescent="0.35">
      <c r="AX28" s="275">
        <f t="shared" ref="AX28:AY28" si="12">AX14*10</f>
        <v>11000000</v>
      </c>
      <c r="AY28" s="275">
        <f t="shared" si="12"/>
        <v>13000000</v>
      </c>
      <c r="AZ28" s="275"/>
      <c r="BC28" s="39" t="s">
        <v>269</v>
      </c>
      <c r="BD28" s="39" t="s">
        <v>270</v>
      </c>
      <c r="BE28" s="39" t="s">
        <v>271</v>
      </c>
      <c r="BF28" s="39" t="s">
        <v>189</v>
      </c>
      <c r="BH28" s="39" t="str">
        <f t="shared" si="2"/>
        <v>[ic_dcj_14,tx_ld_zd_01,ui_dcj_k_3]</v>
      </c>
      <c r="BL28"/>
      <c r="BM28"/>
      <c r="BN28"/>
      <c r="BO28"/>
      <c r="BP28"/>
      <c r="BQ28"/>
      <c r="BR28"/>
      <c r="BS28"/>
      <c r="BT28"/>
    </row>
    <row r="29" spans="1:72" x14ac:dyDescent="0.35">
      <c r="AQ29"/>
      <c r="AX29" s="275">
        <f>AX15*10</f>
        <v>11000000</v>
      </c>
      <c r="AY29" s="275">
        <f>AY15*10</f>
        <v>13000000</v>
      </c>
      <c r="AZ29" s="275"/>
      <c r="BC29" s="39" t="s">
        <v>272</v>
      </c>
      <c r="BD29" s="39" t="s">
        <v>273</v>
      </c>
      <c r="BE29" s="39" t="s">
        <v>274</v>
      </c>
      <c r="BF29" s="39" t="s">
        <v>189</v>
      </c>
      <c r="BH29" s="39" t="str">
        <f t="shared" si="2"/>
        <v>[ic_dcj_16,tx_ld_xyjf_01,ui_dcj_k_3]</v>
      </c>
      <c r="BL29"/>
      <c r="BM29"/>
      <c r="BN29"/>
      <c r="BO29"/>
      <c r="BP29"/>
      <c r="BQ29"/>
      <c r="BR29"/>
      <c r="BS29"/>
      <c r="BT29"/>
    </row>
    <row r="30" spans="1:72" x14ac:dyDescent="0.35">
      <c r="AX30" s="275">
        <f t="shared" ref="AX30:AY30" si="13">AX16*10</f>
        <v>11000000</v>
      </c>
      <c r="AY30" s="275">
        <f t="shared" si="13"/>
        <v>13000000</v>
      </c>
      <c r="AZ30" s="275"/>
      <c r="BC30" s="39" t="s">
        <v>4</v>
      </c>
      <c r="BD30" s="39" t="s">
        <v>275</v>
      </c>
      <c r="BE30" s="39" t="s">
        <v>276</v>
      </c>
      <c r="BF30" s="39" t="s">
        <v>189</v>
      </c>
      <c r="BH30" s="39" t="str">
        <f t="shared" si="2"/>
        <v>[ic_dcj_12,tx_ld_pb_02,ui_dcj_k_3]</v>
      </c>
      <c r="BL30"/>
      <c r="BM30"/>
      <c r="BN30"/>
      <c r="BO30"/>
      <c r="BP30"/>
      <c r="BQ30"/>
      <c r="BR30"/>
      <c r="BS30"/>
      <c r="BT30"/>
    </row>
    <row r="31" spans="1:72" x14ac:dyDescent="0.35">
      <c r="AX31" s="275"/>
      <c r="AY31" s="275"/>
      <c r="AZ31" s="275"/>
      <c r="BH31" s="39" t="str">
        <f t="shared" si="2"/>
        <v>[,,]</v>
      </c>
      <c r="BL31"/>
      <c r="BM31"/>
      <c r="BN31"/>
      <c r="BO31"/>
      <c r="BP31"/>
      <c r="BQ31"/>
      <c r="BR31"/>
      <c r="BS31"/>
      <c r="BT31"/>
    </row>
    <row r="32" spans="1:72" x14ac:dyDescent="0.35">
      <c r="BC32" s="39" t="s">
        <v>277</v>
      </c>
      <c r="BD32" s="39" t="s">
        <v>278</v>
      </c>
      <c r="BE32" s="39" t="s">
        <v>279</v>
      </c>
      <c r="BF32" s="39" t="s">
        <v>168</v>
      </c>
      <c r="BH32" s="39" t="str">
        <f t="shared" si="2"/>
        <v>[ic_dcj_13,tx_ld_hjyhzz_01,ui_dcj_k_1]</v>
      </c>
      <c r="BL32"/>
      <c r="BM32"/>
      <c r="BN32"/>
      <c r="BO32"/>
      <c r="BP32"/>
      <c r="BQ32"/>
      <c r="BR32"/>
      <c r="BS32"/>
      <c r="BT32"/>
    </row>
    <row r="33" spans="55:72" x14ac:dyDescent="0.35">
      <c r="BC33" s="39" t="s">
        <v>280</v>
      </c>
      <c r="BD33" s="39" t="s">
        <v>275</v>
      </c>
      <c r="BE33" s="39" t="s">
        <v>281</v>
      </c>
      <c r="BF33" s="39" t="s">
        <v>189</v>
      </c>
      <c r="BH33" s="39" t="str">
        <f t="shared" si="2"/>
        <v>[ic_dcj_12,tx_ld_pb_01,ui_dcj_k_3]</v>
      </c>
      <c r="BL33"/>
      <c r="BM33"/>
      <c r="BN33"/>
      <c r="BO33"/>
      <c r="BP33"/>
      <c r="BQ33"/>
      <c r="BR33"/>
      <c r="BS33"/>
      <c r="BT33"/>
    </row>
    <row r="34" spans="55:72" x14ac:dyDescent="0.35">
      <c r="BC34" s="39" t="s">
        <v>251</v>
      </c>
      <c r="BD34" s="39" t="s">
        <v>252</v>
      </c>
      <c r="BE34" s="39" t="s">
        <v>253</v>
      </c>
      <c r="BF34" s="39" t="s">
        <v>168</v>
      </c>
      <c r="BH34" s="39" t="str">
        <f t="shared" si="2"/>
        <v>[ic_dcj_7,tx_ld_jc_01,ui_dcj_k_1]</v>
      </c>
      <c r="BL34"/>
      <c r="BM34"/>
      <c r="BN34"/>
      <c r="BO34"/>
      <c r="BP34"/>
      <c r="BQ34"/>
      <c r="BR34"/>
      <c r="BS34"/>
      <c r="BT34"/>
    </row>
    <row r="35" spans="55:72" x14ac:dyDescent="0.35">
      <c r="BC35" s="298" t="s">
        <v>263</v>
      </c>
      <c r="BD35" s="298" t="s">
        <v>264</v>
      </c>
      <c r="BE35" s="298" t="s">
        <v>265</v>
      </c>
      <c r="BF35" s="39" t="s">
        <v>189</v>
      </c>
      <c r="BH35" s="39" t="str">
        <f t="shared" si="2"/>
        <v>[ic_dcj_20,tx_ld_yhjh_01,ui_dcj_k_3]</v>
      </c>
      <c r="BL35"/>
      <c r="BM35"/>
      <c r="BN35"/>
      <c r="BO35"/>
      <c r="BP35"/>
      <c r="BQ35"/>
      <c r="BR35"/>
      <c r="BS35"/>
      <c r="BT35"/>
    </row>
    <row r="47" spans="55:72" x14ac:dyDescent="0.35">
      <c r="BC47" s="39" t="s">
        <v>254</v>
      </c>
      <c r="BD47" s="39" t="s">
        <v>255</v>
      </c>
      <c r="BE47" s="71" t="s">
        <v>256</v>
      </c>
    </row>
    <row r="48" spans="55:72" x14ac:dyDescent="0.35">
      <c r="BC48" s="39" t="s">
        <v>263</v>
      </c>
      <c r="BD48" s="39" t="s">
        <v>264</v>
      </c>
      <c r="BE48" s="71" t="s">
        <v>265</v>
      </c>
    </row>
    <row r="49" spans="55:57" x14ac:dyDescent="0.35">
      <c r="BC49" s="39" t="s">
        <v>242</v>
      </c>
      <c r="BD49" s="39" t="s">
        <v>243</v>
      </c>
      <c r="BE49" s="71" t="s">
        <v>244</v>
      </c>
    </row>
  </sheetData>
  <phoneticPr fontId="40" type="noConversion"/>
  <conditionalFormatting sqref="AA5">
    <cfRule type="containsText" dxfId="980" priority="53" operator="containsText" text=" ">
      <formula>NOT(ISERROR(SEARCH(" ",AA5)))</formula>
    </cfRule>
  </conditionalFormatting>
  <conditionalFormatting sqref="AP5">
    <cfRule type="containsText" dxfId="979" priority="29" operator="containsText" text=" ">
      <formula>NOT(ISERROR(SEARCH(" ",AP5)))</formula>
    </cfRule>
  </conditionalFormatting>
  <conditionalFormatting sqref="Z6">
    <cfRule type="containsText" dxfId="978" priority="67" operator="containsText" text=" ">
      <formula>NOT(ISERROR(SEARCH(" ",Z6)))</formula>
    </cfRule>
    <cfRule type="containsText" dxfId="977" priority="69" operator="containsText" text=" ">
      <formula>NOT(ISERROR(SEARCH(" ",Z6)))</formula>
    </cfRule>
  </conditionalFormatting>
  <conditionalFormatting sqref="AA6">
    <cfRule type="containsText" dxfId="976" priority="52" operator="containsText" text=" ">
      <formula>NOT(ISERROR(SEARCH(" ",AA6)))</formula>
    </cfRule>
    <cfRule type="containsText" dxfId="975" priority="54" operator="containsText" text=" ">
      <formula>NOT(ISERROR(SEARCH(" ",AA6)))</formula>
    </cfRule>
  </conditionalFormatting>
  <conditionalFormatting sqref="Z7">
    <cfRule type="containsText" dxfId="974" priority="83" operator="containsText" text=" ">
      <formula>NOT(ISERROR(SEARCH(" ",Z7)))</formula>
    </cfRule>
  </conditionalFormatting>
  <conditionalFormatting sqref="AA7">
    <cfRule type="containsText" dxfId="973" priority="58" operator="containsText" text=" ">
      <formula>NOT(ISERROR(SEARCH(" ",AA7)))</formula>
    </cfRule>
  </conditionalFormatting>
  <conditionalFormatting sqref="AC7">
    <cfRule type="containsText" dxfId="972" priority="112" operator="containsText" text=" ">
      <formula>NOT(ISERROR(SEARCH(" ",AC7)))</formula>
    </cfRule>
  </conditionalFormatting>
  <conditionalFormatting sqref="Z8">
    <cfRule type="containsText" dxfId="971" priority="81" operator="containsText" text=" ">
      <formula>NOT(ISERROR(SEARCH(" ",Z8)))</formula>
    </cfRule>
  </conditionalFormatting>
  <conditionalFormatting sqref="AA8">
    <cfRule type="containsText" dxfId="970" priority="57" operator="containsText" text=" ">
      <formula>NOT(ISERROR(SEARCH(" ",AA8)))</formula>
    </cfRule>
  </conditionalFormatting>
  <conditionalFormatting sqref="AC8">
    <cfRule type="containsText" dxfId="969" priority="90" operator="containsText" text=" ">
      <formula>NOT(ISERROR(SEARCH(" ",AC8)))</formula>
    </cfRule>
  </conditionalFormatting>
  <conditionalFormatting sqref="Z9">
    <cfRule type="containsText" dxfId="968" priority="79" operator="containsText" text=" ">
      <formula>NOT(ISERROR(SEARCH(" ",Z9)))</formula>
    </cfRule>
  </conditionalFormatting>
  <conditionalFormatting sqref="AA9">
    <cfRule type="containsText" dxfId="967" priority="55" operator="containsText" text=" ">
      <formula>NOT(ISERROR(SEARCH(" ",AA9)))</formula>
    </cfRule>
  </conditionalFormatting>
  <conditionalFormatting sqref="AB9">
    <cfRule type="containsText" dxfId="966" priority="92" operator="containsText" text=" ">
      <formula>NOT(ISERROR(SEARCH(" ",AB9)))</formula>
    </cfRule>
    <cfRule type="containsText" dxfId="965" priority="93" operator="containsText" text=" ">
      <formula>NOT(ISERROR(SEARCH(" ",AB9)))</formula>
    </cfRule>
  </conditionalFormatting>
  <conditionalFormatting sqref="AC9">
    <cfRule type="containsText" dxfId="964" priority="91" operator="containsText" text=" ">
      <formula>NOT(ISERROR(SEARCH(" ",AC9)))</formula>
    </cfRule>
  </conditionalFormatting>
  <conditionalFormatting sqref="V11:Y11">
    <cfRule type="containsText" dxfId="963" priority="21" operator="containsText" text=" ">
      <formula>NOT(ISERROR(SEARCH(" ",V11)))</formula>
    </cfRule>
  </conditionalFormatting>
  <conditionalFormatting sqref="Z11">
    <cfRule type="containsText" dxfId="962" priority="16" operator="containsText" text=" ">
      <formula>NOT(ISERROR(SEARCH(" ",Z11)))</formula>
    </cfRule>
  </conditionalFormatting>
  <conditionalFormatting sqref="AA11">
    <cfRule type="containsText" dxfId="961" priority="11" operator="containsText" text=" ">
      <formula>NOT(ISERROR(SEARCH(" ",AA11)))</formula>
    </cfRule>
  </conditionalFormatting>
  <conditionalFormatting sqref="AC11">
    <cfRule type="containsText" dxfId="960" priority="18" operator="containsText" text=" ">
      <formula>NOT(ISERROR(SEARCH(" ",AC11)))</formula>
    </cfRule>
  </conditionalFormatting>
  <conditionalFormatting sqref="AH11">
    <cfRule type="containsText" dxfId="959" priority="17" operator="containsText" text=" ">
      <formula>NOT(ISERROR(SEARCH(" ",AH11)))</formula>
    </cfRule>
  </conditionalFormatting>
  <conditionalFormatting sqref="AO11">
    <cfRule type="containsText" dxfId="958" priority="10" operator="containsText" text=" ">
      <formula>NOT(ISERROR(SEARCH(" ",AO11)))</formula>
    </cfRule>
  </conditionalFormatting>
  <conditionalFormatting sqref="AP11">
    <cfRule type="containsText" dxfId="957" priority="9" operator="containsText" text=" ">
      <formula>NOT(ISERROR(SEARCH(" ",AP11)))</formula>
    </cfRule>
  </conditionalFormatting>
  <conditionalFormatting sqref="AX11:AY11">
    <cfRule type="containsText" dxfId="956" priority="12" operator="containsText" text=" ">
      <formula>NOT(ISERROR(SEARCH(" ",AX11)))</formula>
    </cfRule>
  </conditionalFormatting>
  <conditionalFormatting sqref="BB11:BK11">
    <cfRule type="containsText" dxfId="955" priority="15" operator="containsText" text=" ">
      <formula>NOT(ISERROR(SEARCH(" ",BB11)))</formula>
    </cfRule>
  </conditionalFormatting>
  <conditionalFormatting sqref="BD11">
    <cfRule type="duplicateValues" dxfId="954" priority="13"/>
  </conditionalFormatting>
  <conditionalFormatting sqref="BC13:BD13">
    <cfRule type="containsText" dxfId="953" priority="39" operator="containsText" text=" ">
      <formula>NOT(ISERROR(SEARCH(" ",BC13)))</formula>
    </cfRule>
  </conditionalFormatting>
  <conditionalFormatting sqref="BD13">
    <cfRule type="duplicateValues" dxfId="952" priority="40"/>
  </conditionalFormatting>
  <conditionalFormatting sqref="BE13">
    <cfRule type="containsText" dxfId="951" priority="38" operator="containsText" text=" ">
      <formula>NOT(ISERROR(SEARCH(" ",BE13)))</formula>
    </cfRule>
  </conditionalFormatting>
  <conditionalFormatting sqref="BD14">
    <cfRule type="duplicateValues" dxfId="950" priority="62"/>
  </conditionalFormatting>
  <conditionalFormatting sqref="BC19:BD19">
    <cfRule type="containsText" dxfId="949" priority="45" operator="containsText" text=" ">
      <formula>NOT(ISERROR(SEARCH(" ",BC19)))</formula>
    </cfRule>
  </conditionalFormatting>
  <conditionalFormatting sqref="BD19">
    <cfRule type="duplicateValues" dxfId="948" priority="46"/>
  </conditionalFormatting>
  <conditionalFormatting sqref="BE19">
    <cfRule type="containsText" dxfId="947" priority="44" operator="containsText" text=" ">
      <formula>NOT(ISERROR(SEARCH(" ",BE19)))</formula>
    </cfRule>
  </conditionalFormatting>
  <conditionalFormatting sqref="BD20">
    <cfRule type="duplicateValues" dxfId="946" priority="61"/>
  </conditionalFormatting>
  <conditionalFormatting sqref="BL20">
    <cfRule type="duplicateValues" dxfId="945" priority="63"/>
  </conditionalFormatting>
  <conditionalFormatting sqref="BC24:BD24">
    <cfRule type="containsText" dxfId="944" priority="42" operator="containsText" text=" ">
      <formula>NOT(ISERROR(SEARCH(" ",BC24)))</formula>
    </cfRule>
  </conditionalFormatting>
  <conditionalFormatting sqref="BD24">
    <cfRule type="duplicateValues" dxfId="943" priority="43"/>
  </conditionalFormatting>
  <conditionalFormatting sqref="BE24">
    <cfRule type="containsText" dxfId="942" priority="41" operator="containsText" text=" ">
      <formula>NOT(ISERROR(SEARCH(" ",BE24)))</formula>
    </cfRule>
  </conditionalFormatting>
  <conditionalFormatting sqref="BD25">
    <cfRule type="duplicateValues" dxfId="941" priority="60"/>
  </conditionalFormatting>
  <conditionalFormatting sqref="BC35:BD35">
    <cfRule type="containsText" dxfId="940" priority="36" operator="containsText" text=" ">
      <formula>NOT(ISERROR(SEARCH(" ",BC35)))</formula>
    </cfRule>
  </conditionalFormatting>
  <conditionalFormatting sqref="BD35">
    <cfRule type="duplicateValues" dxfId="939" priority="37"/>
  </conditionalFormatting>
  <conditionalFormatting sqref="BE35">
    <cfRule type="containsText" dxfId="938" priority="35" operator="containsText" text=" ">
      <formula>NOT(ISERROR(SEARCH(" ",BE35)))</formula>
    </cfRule>
  </conditionalFormatting>
  <conditionalFormatting sqref="S1:S4">
    <cfRule type="containsText" dxfId="937" priority="74" operator="containsText" text=" ">
      <formula>NOT(ISERROR(SEARCH(" ",S1)))</formula>
    </cfRule>
  </conditionalFormatting>
  <conditionalFormatting sqref="AH5:AH9">
    <cfRule type="containsText" dxfId="936" priority="89" operator="containsText" text=" ">
      <formula>NOT(ISERROR(SEARCH(" ",AH5)))</formula>
    </cfRule>
  </conditionalFormatting>
  <conditionalFormatting sqref="AP6:AP9">
    <cfRule type="containsText" dxfId="935" priority="31" operator="containsText" text=" ">
      <formula>NOT(ISERROR(SEARCH(" ",AP6)))</formula>
    </cfRule>
  </conditionalFormatting>
  <conditionalFormatting sqref="AZ21:AZ25">
    <cfRule type="containsText" dxfId="934" priority="26" operator="containsText" text=" ">
      <formula>NOT(ISERROR(SEARCH(" ",AZ21)))</formula>
    </cfRule>
  </conditionalFormatting>
  <conditionalFormatting sqref="BE47:BE49">
    <cfRule type="containsText" dxfId="933" priority="47" operator="containsText" text=" ">
      <formula>NOT(ISERROR(SEARCH(" ",BE47)))</formula>
    </cfRule>
  </conditionalFormatting>
  <conditionalFormatting sqref="AB6:AB8 AB5:AC5 AI5:AK5 R4 AI6:AI9 AB18:AC18 AG17:AI20 A18:Z18 A14:AI16 A17:AC17 A19:AC20 A21:AI1048576 AJ6:AK8 T1:U8 A4:P4 R9:U9 O9:P9 A13:M13 O13:AI13 N7:N10 K6:N6 J8:M8 AQ9:AW10 AJ10:AM10 AZ7:AZ10 AX5:AZ6 BL6:XFD9 AX7:AY7 AZ12:AZ17 AJ12:AM12 AQ12:AW12 N12 A9:M9 K7:M7 J6:J7 A1:R3 A5:N5 A6:I8">
    <cfRule type="containsText" dxfId="932" priority="110" operator="containsText" text=" ">
      <formula>NOT(ISERROR(SEARCH(" ",A1)))</formula>
    </cfRule>
  </conditionalFormatting>
  <conditionalFormatting sqref="V5:Y9 V1:AD3">
    <cfRule type="containsText" dxfId="931" priority="114" operator="containsText" text=" ">
      <formula>NOT(ISERROR(SEARCH(" ",V1)))</formula>
    </cfRule>
  </conditionalFormatting>
  <conditionalFormatting sqref="AE5:AF5 AJ13:AL32 AQ1:AS2 AT13:AW31 V4:AI4 AM30:AS31 AM29:AP29 AM13:AS28 AR29:AS29 AG1:AO3 AX1:XFD4 BL27:XFD27 BL32:XFD32 BB6:BK10 BB13 BF13:XFD13 BB14:XFD16 BB17:BJ17 BB22:BJ22 BA18:XFD18 BA19:BB19 BF19:XFD19 BB20:XFD21 BB23:XFD23 BB24 BF24:XFD24 BA26:XFD26 BA27:BJ27 BA28:XFD31 BL22:XFD22 BB5:XFD5 BL17:XFD17 BL10:XFD10 BB25:XFD25 BB12:XFD12 AK4 AQ3:AW4 AM4:AO4">
    <cfRule type="containsText" dxfId="930" priority="72" operator="containsText" text=" ">
      <formula>NOT(ISERROR(SEARCH(" ",V1)))</formula>
    </cfRule>
  </conditionalFormatting>
  <conditionalFormatting sqref="AE1:AF3">
    <cfRule type="containsText" dxfId="929" priority="73" operator="containsText" text=" ">
      <formula>NOT(ISERROR(SEARCH(" ",AE1)))</formula>
    </cfRule>
  </conditionalFormatting>
  <conditionalFormatting sqref="AP1 AP3:AP4">
    <cfRule type="containsText" dxfId="928" priority="32" operator="containsText" text=" ">
      <formula>NOT(ISERROR(SEARCH(" ",AP1)))</formula>
    </cfRule>
  </conditionalFormatting>
  <conditionalFormatting sqref="AT1:AW2">
    <cfRule type="containsText" dxfId="927" priority="22" operator="containsText" text=" ">
      <formula>NOT(ISERROR(SEARCH(" ",AT1)))</formula>
    </cfRule>
  </conditionalFormatting>
  <conditionalFormatting sqref="BD15:BD18 BD1:BD10 BD21:BD23 BD26:BD34 BD36:BD39 BD12 BD43:BD1048576">
    <cfRule type="duplicateValues" dxfId="926" priority="65"/>
  </conditionalFormatting>
  <conditionalFormatting sqref="AP2 BC43:BC49">
    <cfRule type="containsText" dxfId="925" priority="28" operator="containsText" text=" ">
      <formula>NOT(ISERROR(SEARCH(" ",AP2)))</formula>
    </cfRule>
  </conditionalFormatting>
  <conditionalFormatting sqref="Q4 AM32:BJ32 AJ33:BB1048576 BF35:XFD35 BD36:XFD39 BD47:BD49 BF40:XFD42 BD43:XFD46 BC36:BC38 BC33:XFD34 BC50:XFD1048576 BF47:XFD49">
    <cfRule type="containsText" dxfId="924" priority="64" operator="containsText" text=" ">
      <formula>NOT(ISERROR(SEARCH(" ",Q4)))</formula>
    </cfRule>
  </conditionalFormatting>
  <conditionalFormatting sqref="Z5 AJ9:AM9 AQ5:AW8 AN6:AN10 AN12 AL5:AM8">
    <cfRule type="containsText" dxfId="923" priority="68" operator="containsText" text=" ">
      <formula>NOT(ISERROR(SEARCH(" ",Z5)))</formula>
    </cfRule>
  </conditionalFormatting>
  <conditionalFormatting sqref="AD7:AF7 AG5:AG7 AD8:AG9 AC6:AF6 AB6:AB8 AB5:AC5">
    <cfRule type="containsText" dxfId="922" priority="113" operator="containsText" text=" ">
      <formula>NOT(ISERROR(SEARCH(" ",AB5)))</formula>
    </cfRule>
  </conditionalFormatting>
  <conditionalFormatting sqref="AN5:AO5 AO6:AO10 AO12">
    <cfRule type="containsText" dxfId="921" priority="33" operator="containsText" text=" ">
      <formula>NOT(ISERROR(SEARCH(" ",AN5)))</formula>
    </cfRule>
  </conditionalFormatting>
  <conditionalFormatting sqref="AX18:AZ19 AX8:AY10 AX26:AZ31 AX20:AY25 AX12:AY17">
    <cfRule type="containsText" dxfId="920" priority="59" operator="containsText" text=" ">
      <formula>NOT(ISERROR(SEARCH(" ",AX8)))</formula>
    </cfRule>
  </conditionalFormatting>
  <conditionalFormatting sqref="AQ9:AW10 AQ12:AW12">
    <cfRule type="containsText" dxfId="919" priority="76" operator="containsText" text=" ">
      <formula>NOT(ISERROR(SEARCH(" ",AQ9)))</formula>
    </cfRule>
  </conditionalFormatting>
  <conditionalFormatting sqref="AI10 R10:U10 AB10 A10:C10 J10:M10 N13 O10:P10 O12:P12 J12:M12 A12:G12 AB12 R12:U12 AI12 E10:G10">
    <cfRule type="containsText" dxfId="918" priority="96" operator="containsText" text=" ">
      <formula>NOT(ISERROR(SEARCH(" ",A10)))</formula>
    </cfRule>
  </conditionalFormatting>
  <conditionalFormatting sqref="H10 H12:I12">
    <cfRule type="containsText" dxfId="917" priority="77" operator="containsText" text=" ">
      <formula>NOT(ISERROR(SEARCH(" ",H10)))</formula>
    </cfRule>
  </conditionalFormatting>
  <conditionalFormatting sqref="V10:Y10 V12:Y12">
    <cfRule type="containsText" dxfId="916" priority="99" operator="containsText" text=" ">
      <formula>NOT(ISERROR(SEARCH(" ",V10)))</formula>
    </cfRule>
  </conditionalFormatting>
  <conditionalFormatting sqref="Z10 Z12">
    <cfRule type="containsText" dxfId="915" priority="80" operator="containsText" text=" ">
      <formula>NOT(ISERROR(SEARCH(" ",Z10)))</formula>
    </cfRule>
  </conditionalFormatting>
  <conditionalFormatting sqref="AA10 AA12">
    <cfRule type="containsText" dxfId="914" priority="56" operator="containsText" text=" ">
      <formula>NOT(ISERROR(SEARCH(" ",AA10)))</formula>
    </cfRule>
  </conditionalFormatting>
  <conditionalFormatting sqref="AD10:AG10 AB10 AB12 AD12:AG12">
    <cfRule type="containsText" dxfId="913" priority="98" operator="containsText" text=" ">
      <formula>NOT(ISERROR(SEARCH(" ",AB10)))</formula>
    </cfRule>
  </conditionalFormatting>
  <conditionalFormatting sqref="AC10 AC12">
    <cfRule type="containsText" dxfId="912" priority="97" operator="containsText" text=" ">
      <formula>NOT(ISERROR(SEARCH(" ",AC10)))</formula>
    </cfRule>
  </conditionalFormatting>
  <conditionalFormatting sqref="AH10 AH12">
    <cfRule type="containsText" dxfId="911" priority="88" operator="containsText" text=" ">
      <formula>NOT(ISERROR(SEARCH(" ",AH10)))</formula>
    </cfRule>
  </conditionalFormatting>
  <conditionalFormatting sqref="AP10 AP12">
    <cfRule type="containsText" dxfId="910" priority="23" operator="containsText" text=" ">
      <formula>NOT(ISERROR(SEARCH(" ",AP10)))</formula>
    </cfRule>
  </conditionalFormatting>
  <conditionalFormatting sqref="AB11 AI11:AK11 T11:U11 A11:C11 AZ11 BL11:XFD11 E11:H11 J11:N11">
    <cfRule type="containsText" dxfId="909" priority="19" operator="containsText" text=" ">
      <formula>NOT(ISERROR(SEARCH(" ",A11)))</formula>
    </cfRule>
  </conditionalFormatting>
  <conditionalFormatting sqref="AD11:AG11 AB11">
    <cfRule type="containsText" dxfId="908" priority="20" operator="containsText" text=" ">
      <formula>NOT(ISERROR(SEARCH(" ",AB11)))</formula>
    </cfRule>
  </conditionalFormatting>
  <conditionalFormatting sqref="AQ11:AW11 AL11:AN11">
    <cfRule type="containsText" dxfId="907" priority="14" operator="containsText" text=" ">
      <formula>NOT(ISERROR(SEARCH(" ",AL11)))</formula>
    </cfRule>
  </conditionalFormatting>
  <conditionalFormatting sqref="AZ20:BA20 BA21:BA25">
    <cfRule type="containsText" dxfId="906" priority="25" operator="containsText" text=" ">
      <formula>NOT(ISERROR(SEARCH(" ",AZ20)))</formula>
    </cfRule>
  </conditionalFormatting>
  <conditionalFormatting sqref="D10">
    <cfRule type="containsText" dxfId="905" priority="5" operator="containsText" text=" ">
      <formula>NOT(ISERROR(SEARCH(" ",D10)))</formula>
    </cfRule>
  </conditionalFormatting>
  <conditionalFormatting sqref="D11">
    <cfRule type="containsText" dxfId="904" priority="4" operator="containsText" text=" ">
      <formula>NOT(ISERROR(SEARCH(" ",D11)))</formula>
    </cfRule>
  </conditionalFormatting>
  <conditionalFormatting sqref="I10">
    <cfRule type="containsText" dxfId="903" priority="2" operator="containsText" text=" ">
      <formula>NOT(ISERROR(SEARCH(" ",I10)))</formula>
    </cfRule>
  </conditionalFormatting>
  <conditionalFormatting sqref="I11">
    <cfRule type="containsText" dxfId="902" priority="1" operator="containsText" text=" ">
      <formula>NOT(ISERROR(SEARCH(" ",I11)))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opLeftCell="D1" workbookViewId="0">
      <selection activeCell="D16" sqref="D16:Y24"/>
    </sheetView>
  </sheetViews>
  <sheetFormatPr defaultColWidth="8.88671875" defaultRowHeight="14.4" x14ac:dyDescent="0.25"/>
  <cols>
    <col min="2" max="2" width="14.88671875" customWidth="1"/>
    <col min="4" max="4" width="14.5546875" customWidth="1"/>
    <col min="5" max="5" width="11" customWidth="1"/>
    <col min="25" max="25" width="11.77734375" customWidth="1"/>
  </cols>
  <sheetData>
    <row r="1" spans="1:25" x14ac:dyDescent="0.25">
      <c r="A1" s="273" t="s">
        <v>1</v>
      </c>
      <c r="B1" s="273" t="s">
        <v>1</v>
      </c>
      <c r="C1" s="273" t="s">
        <v>1</v>
      </c>
      <c r="D1" s="273" t="s">
        <v>1</v>
      </c>
      <c r="E1" s="273" t="s">
        <v>1</v>
      </c>
      <c r="F1" s="273" t="s">
        <v>1</v>
      </c>
      <c r="G1" s="273" t="s">
        <v>1</v>
      </c>
      <c r="H1" s="273" t="s">
        <v>1</v>
      </c>
      <c r="I1" s="273" t="s">
        <v>1</v>
      </c>
      <c r="J1" s="273" t="s">
        <v>1</v>
      </c>
      <c r="K1" s="273" t="s">
        <v>1</v>
      </c>
      <c r="L1" s="273" t="s">
        <v>1</v>
      </c>
      <c r="M1" s="273" t="s">
        <v>1</v>
      </c>
      <c r="N1" s="273" t="s">
        <v>1</v>
      </c>
      <c r="O1" s="273" t="s">
        <v>1</v>
      </c>
      <c r="P1" s="273" t="s">
        <v>1</v>
      </c>
      <c r="Q1" s="273" t="s">
        <v>1</v>
      </c>
      <c r="R1" s="273" t="s">
        <v>1</v>
      </c>
      <c r="S1" s="273" t="s">
        <v>1</v>
      </c>
      <c r="T1" s="273" t="s">
        <v>1</v>
      </c>
      <c r="U1" s="273" t="s">
        <v>1</v>
      </c>
      <c r="V1" s="273" t="s">
        <v>1</v>
      </c>
      <c r="W1" s="273" t="s">
        <v>1</v>
      </c>
      <c r="X1" s="273" t="s">
        <v>1</v>
      </c>
      <c r="Y1" s="273" t="s">
        <v>1</v>
      </c>
    </row>
    <row r="2" spans="1:25" x14ac:dyDescent="0.25">
      <c r="A2" s="273" t="s">
        <v>7</v>
      </c>
      <c r="B2" s="273" t="s">
        <v>9</v>
      </c>
      <c r="C2" s="273" t="s">
        <v>7</v>
      </c>
      <c r="D2" s="273" t="s">
        <v>7</v>
      </c>
      <c r="E2" s="273" t="s">
        <v>9</v>
      </c>
      <c r="F2" s="273" t="s">
        <v>9</v>
      </c>
      <c r="G2" s="273" t="s">
        <v>9</v>
      </c>
      <c r="H2" s="273" t="s">
        <v>9</v>
      </c>
      <c r="I2" s="273" t="s">
        <v>9</v>
      </c>
      <c r="J2" s="273" t="s">
        <v>9</v>
      </c>
      <c r="K2" s="273" t="s">
        <v>9</v>
      </c>
      <c r="L2" s="273" t="s">
        <v>9</v>
      </c>
      <c r="M2" s="273" t="s">
        <v>9</v>
      </c>
      <c r="N2" s="273" t="s">
        <v>9</v>
      </c>
      <c r="O2" s="273" t="s">
        <v>9</v>
      </c>
      <c r="P2" s="273" t="s">
        <v>9</v>
      </c>
      <c r="Q2" s="273" t="s">
        <v>9</v>
      </c>
      <c r="R2" s="273" t="s">
        <v>9</v>
      </c>
      <c r="S2" s="273" t="s">
        <v>9</v>
      </c>
      <c r="T2" s="273" t="s">
        <v>9</v>
      </c>
      <c r="U2" s="273" t="s">
        <v>9</v>
      </c>
      <c r="V2" s="273" t="s">
        <v>9</v>
      </c>
      <c r="W2" s="273" t="s">
        <v>9</v>
      </c>
      <c r="X2" s="273" t="s">
        <v>9</v>
      </c>
      <c r="Y2" s="273" t="s">
        <v>9</v>
      </c>
    </row>
    <row r="3" spans="1:25" x14ac:dyDescent="0.25">
      <c r="A3" s="273" t="s">
        <v>282</v>
      </c>
      <c r="B3" s="273" t="s">
        <v>283</v>
      </c>
      <c r="C3" s="273" t="s">
        <v>284</v>
      </c>
      <c r="D3" s="273" t="s">
        <v>285</v>
      </c>
      <c r="E3" s="273" t="s">
        <v>286</v>
      </c>
      <c r="F3" s="273" t="s">
        <v>287</v>
      </c>
      <c r="G3" s="273" t="s">
        <v>288</v>
      </c>
      <c r="H3" s="273" t="s">
        <v>289</v>
      </c>
      <c r="I3" s="273" t="s">
        <v>290</v>
      </c>
      <c r="J3" s="273" t="s">
        <v>291</v>
      </c>
      <c r="K3" s="273" t="s">
        <v>292</v>
      </c>
      <c r="L3" s="273" t="s">
        <v>293</v>
      </c>
      <c r="M3" s="273" t="s">
        <v>294</v>
      </c>
      <c r="N3" s="273" t="s">
        <v>295</v>
      </c>
      <c r="O3" s="273" t="s">
        <v>296</v>
      </c>
      <c r="P3" s="273" t="s">
        <v>297</v>
      </c>
      <c r="Q3" s="273" t="s">
        <v>298</v>
      </c>
      <c r="R3" s="273" t="s">
        <v>299</v>
      </c>
      <c r="S3" s="273" t="s">
        <v>300</v>
      </c>
      <c r="T3" s="273" t="s">
        <v>301</v>
      </c>
      <c r="U3" s="273" t="s">
        <v>302</v>
      </c>
      <c r="V3" s="273" t="s">
        <v>303</v>
      </c>
      <c r="W3" s="273" t="s">
        <v>304</v>
      </c>
      <c r="X3" s="273" t="s">
        <v>305</v>
      </c>
      <c r="Y3" s="273" t="s">
        <v>306</v>
      </c>
    </row>
    <row r="4" spans="1:25" ht="106.95" customHeight="1" x14ac:dyDescent="0.25">
      <c r="A4" s="273" t="s">
        <v>307</v>
      </c>
      <c r="B4" s="273" t="s">
        <v>308</v>
      </c>
      <c r="C4" s="273" t="s">
        <v>309</v>
      </c>
      <c r="D4" s="273" t="s">
        <v>310</v>
      </c>
      <c r="E4" s="273" t="s">
        <v>311</v>
      </c>
      <c r="F4" s="273" t="s">
        <v>312</v>
      </c>
      <c r="G4" s="273" t="s">
        <v>313</v>
      </c>
      <c r="H4" s="273" t="s">
        <v>314</v>
      </c>
      <c r="I4" s="273" t="s">
        <v>315</v>
      </c>
      <c r="J4" s="273" t="s">
        <v>316</v>
      </c>
      <c r="K4" s="273" t="s">
        <v>317</v>
      </c>
      <c r="L4" s="273" t="s">
        <v>318</v>
      </c>
      <c r="M4" s="273" t="s">
        <v>319</v>
      </c>
      <c r="N4" s="273" t="s">
        <v>320</v>
      </c>
      <c r="O4" s="273" t="s">
        <v>321</v>
      </c>
      <c r="P4" s="273" t="s">
        <v>322</v>
      </c>
      <c r="Q4" s="273" t="s">
        <v>323</v>
      </c>
      <c r="R4" s="273" t="s">
        <v>324</v>
      </c>
      <c r="S4" s="273" t="s">
        <v>325</v>
      </c>
      <c r="T4" s="273" t="s">
        <v>326</v>
      </c>
      <c r="U4" s="273" t="s">
        <v>327</v>
      </c>
      <c r="V4" s="273" t="s">
        <v>328</v>
      </c>
      <c r="W4" s="273" t="s">
        <v>329</v>
      </c>
      <c r="X4" s="273" t="s">
        <v>330</v>
      </c>
      <c r="Y4" s="273" t="s">
        <v>331</v>
      </c>
    </row>
    <row r="5" spans="1:25" x14ac:dyDescent="0.25">
      <c r="A5">
        <v>1</v>
      </c>
      <c r="B5" t="s">
        <v>332</v>
      </c>
      <c r="C5">
        <v>4</v>
      </c>
      <c r="D5" s="274">
        <v>240</v>
      </c>
      <c r="E5" t="s">
        <v>333</v>
      </c>
      <c r="F5" t="s">
        <v>334</v>
      </c>
      <c r="G5" t="s">
        <v>335</v>
      </c>
      <c r="H5" t="s">
        <v>336</v>
      </c>
      <c r="I5" t="s">
        <v>337</v>
      </c>
      <c r="J5" t="s">
        <v>338</v>
      </c>
      <c r="K5" t="s">
        <v>339</v>
      </c>
      <c r="L5" t="s">
        <v>340</v>
      </c>
      <c r="M5" t="s">
        <v>153</v>
      </c>
      <c r="N5" t="s">
        <v>341</v>
      </c>
      <c r="O5" t="s">
        <v>342</v>
      </c>
      <c r="P5" t="s">
        <v>343</v>
      </c>
      <c r="Q5" t="s">
        <v>344</v>
      </c>
      <c r="R5" t="s">
        <v>339</v>
      </c>
      <c r="S5" t="s">
        <v>344</v>
      </c>
      <c r="T5" t="s">
        <v>339</v>
      </c>
      <c r="U5" t="s">
        <v>345</v>
      </c>
      <c r="V5" t="s">
        <v>169</v>
      </c>
      <c r="W5" t="s">
        <v>346</v>
      </c>
      <c r="X5" t="s">
        <v>169</v>
      </c>
      <c r="Y5" t="s">
        <v>169</v>
      </c>
    </row>
    <row r="6" spans="1:25" x14ac:dyDescent="0.25">
      <c r="A6">
        <v>2</v>
      </c>
      <c r="B6" t="s">
        <v>332</v>
      </c>
      <c r="C6">
        <v>4</v>
      </c>
      <c r="D6" s="274">
        <v>160</v>
      </c>
      <c r="E6" t="s">
        <v>347</v>
      </c>
      <c r="F6" t="s">
        <v>348</v>
      </c>
      <c r="G6" t="s">
        <v>339</v>
      </c>
      <c r="H6" t="s">
        <v>349</v>
      </c>
      <c r="I6" t="s">
        <v>337</v>
      </c>
      <c r="J6" t="s">
        <v>350</v>
      </c>
      <c r="K6" t="s">
        <v>153</v>
      </c>
      <c r="L6" t="s">
        <v>153</v>
      </c>
      <c r="M6" t="s">
        <v>344</v>
      </c>
      <c r="N6" t="s">
        <v>153</v>
      </c>
      <c r="O6" t="s">
        <v>342</v>
      </c>
      <c r="P6" t="s">
        <v>344</v>
      </c>
      <c r="Q6" t="s">
        <v>351</v>
      </c>
      <c r="R6" t="s">
        <v>352</v>
      </c>
      <c r="S6" t="s">
        <v>345</v>
      </c>
      <c r="T6" t="s">
        <v>169</v>
      </c>
      <c r="U6" t="s">
        <v>346</v>
      </c>
      <c r="V6" t="s">
        <v>169</v>
      </c>
      <c r="W6" t="s">
        <v>346</v>
      </c>
      <c r="X6" t="s">
        <v>169</v>
      </c>
      <c r="Y6" t="s">
        <v>346</v>
      </c>
    </row>
    <row r="7" spans="1:25" x14ac:dyDescent="0.25">
      <c r="A7">
        <v>3</v>
      </c>
      <c r="B7" t="s">
        <v>332</v>
      </c>
      <c r="C7">
        <v>4</v>
      </c>
      <c r="D7" s="274">
        <v>0</v>
      </c>
      <c r="E7" t="s">
        <v>226</v>
      </c>
    </row>
    <row r="8" spans="1:25" x14ac:dyDescent="0.25">
      <c r="A8">
        <v>4</v>
      </c>
      <c r="B8" t="s">
        <v>353</v>
      </c>
      <c r="C8">
        <v>4</v>
      </c>
      <c r="D8">
        <v>300</v>
      </c>
      <c r="E8" t="s">
        <v>347</v>
      </c>
      <c r="F8" t="s">
        <v>334</v>
      </c>
      <c r="G8" t="s">
        <v>335</v>
      </c>
      <c r="H8" t="s">
        <v>340</v>
      </c>
      <c r="I8" t="s">
        <v>153</v>
      </c>
      <c r="J8" t="s">
        <v>350</v>
      </c>
      <c r="K8" t="s">
        <v>153</v>
      </c>
      <c r="L8" t="s">
        <v>153</v>
      </c>
      <c r="M8" t="s">
        <v>344</v>
      </c>
      <c r="N8" t="s">
        <v>344</v>
      </c>
      <c r="O8" t="s">
        <v>351</v>
      </c>
      <c r="P8" t="s">
        <v>352</v>
      </c>
      <c r="Q8" t="s">
        <v>345</v>
      </c>
      <c r="R8" t="s">
        <v>169</v>
      </c>
      <c r="S8" t="s">
        <v>346</v>
      </c>
      <c r="T8" t="s">
        <v>169</v>
      </c>
      <c r="U8" t="s">
        <v>346</v>
      </c>
      <c r="V8" t="s">
        <v>169</v>
      </c>
      <c r="W8" t="s">
        <v>346</v>
      </c>
      <c r="X8" t="s">
        <v>169</v>
      </c>
      <c r="Y8" t="s">
        <v>169</v>
      </c>
    </row>
    <row r="9" spans="1:25" x14ac:dyDescent="0.25">
      <c r="A9">
        <v>5</v>
      </c>
      <c r="B9" t="s">
        <v>353</v>
      </c>
      <c r="C9">
        <v>4</v>
      </c>
      <c r="D9">
        <v>0</v>
      </c>
      <c r="E9" t="s">
        <v>226</v>
      </c>
    </row>
    <row r="10" spans="1:25" x14ac:dyDescent="0.25">
      <c r="A10">
        <v>6</v>
      </c>
      <c r="B10" t="s">
        <v>332</v>
      </c>
      <c r="C10">
        <v>7</v>
      </c>
      <c r="D10" s="274">
        <v>240</v>
      </c>
      <c r="E10" t="s">
        <v>354</v>
      </c>
      <c r="F10" t="s">
        <v>355</v>
      </c>
      <c r="G10" t="s">
        <v>342</v>
      </c>
      <c r="H10" t="s">
        <v>349</v>
      </c>
      <c r="I10" t="s">
        <v>339</v>
      </c>
      <c r="J10" t="s">
        <v>343</v>
      </c>
      <c r="K10" t="s">
        <v>344</v>
      </c>
      <c r="L10" t="s">
        <v>343</v>
      </c>
      <c r="M10" t="s">
        <v>344</v>
      </c>
      <c r="N10" t="s">
        <v>153</v>
      </c>
      <c r="O10" t="s">
        <v>342</v>
      </c>
      <c r="P10" t="s">
        <v>352</v>
      </c>
      <c r="Q10" t="s">
        <v>345</v>
      </c>
      <c r="R10" t="s">
        <v>169</v>
      </c>
      <c r="S10" t="s">
        <v>346</v>
      </c>
      <c r="T10" t="s">
        <v>169</v>
      </c>
      <c r="U10" t="s">
        <v>346</v>
      </c>
      <c r="V10" t="s">
        <v>169</v>
      </c>
      <c r="W10" t="s">
        <v>346</v>
      </c>
      <c r="X10" t="s">
        <v>169</v>
      </c>
      <c r="Y10" t="s">
        <v>169</v>
      </c>
    </row>
    <row r="11" spans="1:25" x14ac:dyDescent="0.25">
      <c r="A11">
        <v>7</v>
      </c>
      <c r="B11" t="s">
        <v>332</v>
      </c>
      <c r="C11">
        <v>7</v>
      </c>
      <c r="D11" s="274">
        <v>160</v>
      </c>
      <c r="E11" t="s">
        <v>356</v>
      </c>
      <c r="F11" t="s">
        <v>357</v>
      </c>
      <c r="G11" t="s">
        <v>339</v>
      </c>
      <c r="H11" t="s">
        <v>343</v>
      </c>
      <c r="I11" t="s">
        <v>153</v>
      </c>
      <c r="J11" t="s">
        <v>342</v>
      </c>
      <c r="K11" t="s">
        <v>344</v>
      </c>
      <c r="L11" t="s">
        <v>352</v>
      </c>
      <c r="M11" t="s">
        <v>345</v>
      </c>
      <c r="N11" t="s">
        <v>169</v>
      </c>
      <c r="O11" t="s">
        <v>346</v>
      </c>
      <c r="P11" t="s">
        <v>169</v>
      </c>
      <c r="Q11" t="s">
        <v>346</v>
      </c>
      <c r="R11" t="s">
        <v>169</v>
      </c>
      <c r="S11" t="s">
        <v>346</v>
      </c>
      <c r="T11" t="s">
        <v>169</v>
      </c>
      <c r="U11" t="s">
        <v>169</v>
      </c>
      <c r="V11" t="s">
        <v>169</v>
      </c>
      <c r="W11" t="s">
        <v>346</v>
      </c>
      <c r="X11" t="s">
        <v>169</v>
      </c>
      <c r="Y11" t="s">
        <v>169</v>
      </c>
    </row>
    <row r="12" spans="1:25" x14ac:dyDescent="0.25">
      <c r="A12">
        <v>8</v>
      </c>
      <c r="B12" t="s">
        <v>332</v>
      </c>
      <c r="C12">
        <v>7</v>
      </c>
      <c r="D12" s="274">
        <v>0</v>
      </c>
      <c r="E12" t="s">
        <v>226</v>
      </c>
    </row>
    <row r="13" spans="1:25" x14ac:dyDescent="0.25">
      <c r="A13">
        <v>9</v>
      </c>
      <c r="B13" t="s">
        <v>353</v>
      </c>
      <c r="C13">
        <v>7</v>
      </c>
      <c r="D13">
        <v>300</v>
      </c>
      <c r="E13" t="s">
        <v>358</v>
      </c>
      <c r="F13" t="s">
        <v>341</v>
      </c>
      <c r="G13" t="s">
        <v>339</v>
      </c>
      <c r="H13" t="s">
        <v>342</v>
      </c>
      <c r="I13" t="s">
        <v>344</v>
      </c>
      <c r="J13" t="s">
        <v>352</v>
      </c>
      <c r="K13" t="s">
        <v>345</v>
      </c>
      <c r="L13" t="s">
        <v>169</v>
      </c>
      <c r="M13" t="s">
        <v>346</v>
      </c>
      <c r="N13" t="s">
        <v>359</v>
      </c>
      <c r="O13" t="s">
        <v>342</v>
      </c>
      <c r="P13" t="s">
        <v>169</v>
      </c>
      <c r="Q13" t="s">
        <v>346</v>
      </c>
      <c r="R13" t="s">
        <v>169</v>
      </c>
      <c r="S13" t="s">
        <v>346</v>
      </c>
      <c r="T13" t="s">
        <v>169</v>
      </c>
      <c r="U13" t="s">
        <v>169</v>
      </c>
      <c r="V13" t="s">
        <v>169</v>
      </c>
      <c r="W13" t="s">
        <v>346</v>
      </c>
      <c r="X13" t="s">
        <v>169</v>
      </c>
      <c r="Y13" t="s">
        <v>169</v>
      </c>
    </row>
    <row r="14" spans="1:25" x14ac:dyDescent="0.25">
      <c r="A14">
        <v>10</v>
      </c>
      <c r="B14" t="s">
        <v>353</v>
      </c>
      <c r="C14">
        <v>7</v>
      </c>
      <c r="D14">
        <v>0</v>
      </c>
      <c r="E14" t="s">
        <v>226</v>
      </c>
    </row>
  </sheetData>
  <phoneticPr fontId="40" type="noConversion"/>
  <conditionalFormatting sqref="A1:E2">
    <cfRule type="containsText" dxfId="901" priority="4" operator="containsText" text=" ">
      <formula>NOT(ISERROR(SEARCH(" ",A1)))</formula>
    </cfRule>
  </conditionalFormatting>
  <conditionalFormatting sqref="F1:Y2">
    <cfRule type="containsText" dxfId="900" priority="2" operator="containsText" text=" ">
      <formula>NOT(ISERROR(SEARCH(" ",F1)))</formula>
    </cfRule>
  </conditionalFormatting>
  <conditionalFormatting sqref="A3:Y4">
    <cfRule type="containsText" dxfId="899" priority="1" operator="containsText" text=" ">
      <formula>NOT(ISERROR(SEARCH(" ",A3)))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3"/>
  <sheetViews>
    <sheetView workbookViewId="0">
      <pane xSplit="5" ySplit="4" topLeftCell="AJ5" activePane="bottomRight" state="frozen"/>
      <selection pane="topRight"/>
      <selection pane="bottomLeft"/>
      <selection pane="bottomRight" activeCell="AS1" sqref="AS1:AY1048576"/>
    </sheetView>
  </sheetViews>
  <sheetFormatPr defaultColWidth="9" defaultRowHeight="15.6" x14ac:dyDescent="0.25"/>
  <cols>
    <col min="1" max="1" width="9.88671875" style="1" customWidth="1"/>
    <col min="2" max="2" width="16.21875" style="1" customWidth="1"/>
    <col min="3" max="3" width="29.6640625" style="1" customWidth="1"/>
    <col min="4" max="4" width="14" style="1" customWidth="1"/>
    <col min="5" max="5" width="15.33203125" style="1" customWidth="1"/>
    <col min="6" max="8" width="12.33203125" style="1" customWidth="1"/>
    <col min="9" max="9" width="9" style="1"/>
    <col min="10" max="10" width="13.44140625" style="1" customWidth="1"/>
    <col min="11" max="12" width="14.21875" style="1" customWidth="1"/>
    <col min="13" max="13" width="10.88671875" style="1" customWidth="1"/>
    <col min="14" max="14" width="9.77734375" style="1" customWidth="1"/>
    <col min="15" max="15" width="11.109375" style="1" customWidth="1"/>
    <col min="16" max="16" width="10.33203125" style="1" customWidth="1"/>
    <col min="17" max="17" width="9" style="1"/>
    <col min="18" max="19" width="8.21875" style="6" customWidth="1"/>
    <col min="20" max="20" width="6.44140625" style="6" customWidth="1"/>
    <col min="21" max="21" width="5.21875" style="6" customWidth="1"/>
    <col min="22" max="23" width="8.21875" style="6" customWidth="1"/>
    <col min="24" max="24" width="6.44140625" style="6" customWidth="1"/>
    <col min="25" max="25" width="4.88671875" style="6" customWidth="1"/>
    <col min="26" max="26" width="10.88671875" style="6" customWidth="1"/>
    <col min="27" max="27" width="8.21875" style="6" customWidth="1"/>
    <col min="28" max="28" width="6.44140625" style="6" customWidth="1"/>
    <col min="29" max="30" width="4.88671875" style="6" customWidth="1"/>
    <col min="31" max="31" width="9" style="1"/>
    <col min="32" max="32" width="10.88671875" style="1" customWidth="1"/>
    <col min="33" max="33" width="10.21875" style="1" customWidth="1"/>
    <col min="34" max="34" width="9" style="1"/>
    <col min="35" max="35" width="10.109375" style="1" customWidth="1"/>
    <col min="36" max="36" width="11.44140625" style="1" customWidth="1"/>
    <col min="37" max="37" width="10.88671875" style="1" customWidth="1"/>
    <col min="38" max="38" width="10.21875" style="1" customWidth="1"/>
    <col min="39" max="39" width="9" style="1"/>
    <col min="40" max="42" width="11.44140625" style="1" customWidth="1"/>
    <col min="43" max="44" width="9" style="1"/>
    <col min="45" max="45" width="11.6640625" style="1" customWidth="1"/>
    <col min="46" max="16384" width="9" style="1"/>
  </cols>
  <sheetData>
    <row r="1" spans="1:51" ht="16.2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1</v>
      </c>
      <c r="G1" s="39"/>
      <c r="H1" s="39"/>
      <c r="J1" s="228"/>
      <c r="K1" s="228"/>
      <c r="L1" s="228"/>
      <c r="M1" s="228"/>
      <c r="N1" s="228"/>
      <c r="O1" s="228"/>
      <c r="AF1" s="243" t="s">
        <v>360</v>
      </c>
      <c r="AG1" s="244">
        <f>SUMIF(AF5:AF100,AF1,AI5:AI100)</f>
        <v>17</v>
      </c>
      <c r="AH1" s="244" t="s">
        <v>361</v>
      </c>
      <c r="AI1" s="245">
        <f>SUMIF(AF5:AF100,AH1,AI5:AI100)</f>
        <v>0</v>
      </c>
      <c r="AJ1" s="246">
        <f>SUM(AJ5:AJ54)</f>
        <v>3365000</v>
      </c>
      <c r="AK1" s="247" t="s">
        <v>360</v>
      </c>
      <c r="AL1" s="248">
        <f>SUMIF(AK5:AK100,AK1,AN5:AN100)</f>
        <v>450</v>
      </c>
      <c r="AM1" s="248" t="s">
        <v>361</v>
      </c>
      <c r="AN1" s="265">
        <f>SUMIF(AK5:AK100,AM1,AN5:AN100)</f>
        <v>5</v>
      </c>
      <c r="AO1" s="266">
        <f>SUM(AO5:AO54)</f>
        <v>283200000</v>
      </c>
    </row>
    <row r="2" spans="1:51" ht="16.2" x14ac:dyDescent="0.4">
      <c r="A2" s="2" t="s">
        <v>7</v>
      </c>
      <c r="B2" s="2" t="s">
        <v>7</v>
      </c>
      <c r="C2" s="2" t="s">
        <v>9</v>
      </c>
      <c r="D2" s="2" t="s">
        <v>362</v>
      </c>
      <c r="E2" s="2" t="s">
        <v>362</v>
      </c>
      <c r="F2" s="2" t="s">
        <v>7</v>
      </c>
      <c r="G2" s="39"/>
      <c r="H2" s="39"/>
      <c r="I2" s="228"/>
      <c r="J2" s="228"/>
      <c r="K2" s="228">
        <f>K103/60/4</f>
        <v>282.13749999999999</v>
      </c>
      <c r="L2" s="228"/>
      <c r="M2" s="228"/>
      <c r="N2" s="228"/>
      <c r="O2" s="228"/>
      <c r="P2" s="228"/>
      <c r="AF2" s="249" t="s">
        <v>363</v>
      </c>
      <c r="AG2" s="250">
        <f>SUMIF(AF5:AF100,AF2,AI5:AI100)</f>
        <v>0</v>
      </c>
      <c r="AH2" s="250" t="s">
        <v>364</v>
      </c>
      <c r="AI2" s="251">
        <f>SUMIF(AF5:AF100,AH2,AI5:AI100)</f>
        <v>0</v>
      </c>
      <c r="AJ2" s="252">
        <f>AJ1/500000</f>
        <v>6.73</v>
      </c>
      <c r="AK2" s="253" t="s">
        <v>363</v>
      </c>
      <c r="AL2" s="254">
        <f>SUMIF(AK5:AK100,AK2,AN5:AN100)</f>
        <v>0</v>
      </c>
      <c r="AM2" s="254" t="s">
        <v>364</v>
      </c>
      <c r="AN2" s="267">
        <f>SUMIF(AK5:AK100,AM2,AN5:AN100)</f>
        <v>0</v>
      </c>
      <c r="AO2" s="266">
        <f>AO1/500000</f>
        <v>566.4</v>
      </c>
    </row>
    <row r="3" spans="1:51" x14ac:dyDescent="0.35">
      <c r="A3" s="2" t="s">
        <v>365</v>
      </c>
      <c r="B3" s="2" t="s">
        <v>366</v>
      </c>
      <c r="C3" s="2" t="s">
        <v>906</v>
      </c>
      <c r="D3" s="2" t="s">
        <v>367</v>
      </c>
      <c r="E3" s="2" t="s">
        <v>368</v>
      </c>
      <c r="F3" s="34" t="s">
        <v>369</v>
      </c>
      <c r="G3" s="39"/>
      <c r="H3" s="39"/>
      <c r="I3" s="12"/>
      <c r="J3" s="1" t="s">
        <v>370</v>
      </c>
      <c r="K3" s="1">
        <v>6</v>
      </c>
      <c r="R3" s="6" t="s">
        <v>371</v>
      </c>
      <c r="V3" s="6" t="s">
        <v>372</v>
      </c>
      <c r="Z3" s="6" t="s">
        <v>373</v>
      </c>
      <c r="AF3" s="255" t="s">
        <v>374</v>
      </c>
      <c r="AG3" s="256">
        <f>SUMIF(AF5:AF100,AF3,AI5:AI100)</f>
        <v>0</v>
      </c>
      <c r="AH3" s="256" t="s">
        <v>375</v>
      </c>
      <c r="AI3" s="257">
        <f>SUMIF(AF5:AF100,AH3,AI5:AI100)</f>
        <v>2755000</v>
      </c>
      <c r="AJ3" s="258"/>
      <c r="AK3" s="259" t="s">
        <v>374</v>
      </c>
      <c r="AL3" s="260">
        <f>SUMIF(AK5:AK100,AK3,AN5:AN100)</f>
        <v>11</v>
      </c>
      <c r="AM3" s="260" t="s">
        <v>375</v>
      </c>
      <c r="AN3" s="268">
        <f>SUMIF(AK5:AK100,AM3,AN5:AN100)</f>
        <v>152800000</v>
      </c>
      <c r="AO3" s="266"/>
      <c r="AP3" s="1">
        <f>AO1/100000</f>
        <v>2832</v>
      </c>
      <c r="AS3" s="12" t="s">
        <v>376</v>
      </c>
    </row>
    <row r="4" spans="1:51" ht="92.4" x14ac:dyDescent="0.35">
      <c r="A4" s="60" t="s">
        <v>377</v>
      </c>
      <c r="B4" s="60" t="s">
        <v>378</v>
      </c>
      <c r="C4" s="4" t="s">
        <v>379</v>
      </c>
      <c r="D4" s="225" t="s">
        <v>380</v>
      </c>
      <c r="E4" s="226" t="s">
        <v>381</v>
      </c>
      <c r="F4" s="227" t="s">
        <v>382</v>
      </c>
      <c r="G4" s="39"/>
      <c r="H4" s="39"/>
      <c r="J4" s="229" t="s">
        <v>383</v>
      </c>
      <c r="K4" s="229" t="s">
        <v>384</v>
      </c>
      <c r="L4" s="229" t="s">
        <v>385</v>
      </c>
      <c r="M4" s="66" t="s">
        <v>386</v>
      </c>
      <c r="N4" s="229" t="s">
        <v>387</v>
      </c>
      <c r="O4" s="229" t="s">
        <v>388</v>
      </c>
      <c r="R4" s="233" t="s">
        <v>389</v>
      </c>
      <c r="S4" s="234" t="s">
        <v>390</v>
      </c>
      <c r="T4" s="234" t="s">
        <v>391</v>
      </c>
      <c r="U4" s="235" t="s">
        <v>392</v>
      </c>
      <c r="V4" s="236" t="s">
        <v>389</v>
      </c>
      <c r="W4" s="238" t="s">
        <v>390</v>
      </c>
      <c r="X4" s="238" t="s">
        <v>391</v>
      </c>
      <c r="Y4" s="239" t="s">
        <v>392</v>
      </c>
      <c r="Z4" s="240" t="s">
        <v>389</v>
      </c>
      <c r="AA4" s="241" t="s">
        <v>390</v>
      </c>
      <c r="AB4" s="241" t="s">
        <v>391</v>
      </c>
      <c r="AC4" s="242" t="s">
        <v>392</v>
      </c>
      <c r="AD4" s="1"/>
      <c r="AF4" s="261" t="s">
        <v>393</v>
      </c>
      <c r="AG4" s="262" t="s">
        <v>390</v>
      </c>
      <c r="AH4" s="262" t="s">
        <v>391</v>
      </c>
      <c r="AI4" s="262" t="s">
        <v>392</v>
      </c>
      <c r="AJ4" s="262" t="s">
        <v>394</v>
      </c>
      <c r="AK4" s="263" t="s">
        <v>395</v>
      </c>
      <c r="AL4" s="264" t="s">
        <v>390</v>
      </c>
      <c r="AM4" s="264" t="s">
        <v>391</v>
      </c>
      <c r="AN4" s="269" t="s">
        <v>392</v>
      </c>
      <c r="AO4" s="270" t="s">
        <v>394</v>
      </c>
      <c r="AS4" s="1">
        <f>'抽奖|MoonBless'!DN4</f>
        <v>0</v>
      </c>
      <c r="AT4" s="1" t="str">
        <f>'抽奖|MoonBless'!DO4</f>
        <v>人民币价值</v>
      </c>
      <c r="AU4" s="1" t="str">
        <f>'抽奖|MoonBless'!DP4</f>
        <v>价值
钻石价值</v>
      </c>
      <c r="AV4" s="1" t="str">
        <f>'抽奖|MoonBless'!DQ4</f>
        <v>物品类型</v>
      </c>
      <c r="AW4" s="1" t="str">
        <f>'抽奖|MoonBless'!DR4</f>
        <v>id</v>
      </c>
      <c r="AX4" s="1" t="str">
        <f>'抽奖|MoonBless'!DS4</f>
        <v>价值加成</v>
      </c>
      <c r="AY4" s="1" t="s">
        <v>394</v>
      </c>
    </row>
    <row r="5" spans="1:51" ht="16.2" x14ac:dyDescent="0.35">
      <c r="A5" s="1">
        <v>1</v>
      </c>
      <c r="B5" s="84">
        <f>O5</f>
        <v>520</v>
      </c>
      <c r="C5" s="62" t="str">
        <f>S5&amp;"|"&amp;T5&amp;"|"&amp;U5&amp;","&amp;W5&amp;"|"&amp;X5&amp;"|"&amp;Y5&amp;","&amp;AA5&amp;"|"&amp;AB5&amp;"|"&amp;AC5</f>
        <v>1|1|1,2|1001|1,2|1002|1</v>
      </c>
      <c r="D5" s="39" t="str">
        <f>TRIM(IF(AF5&lt;&gt;"",AG5&amp;"|"&amp;AH5&amp;"|"&amp;AI5,""))</f>
        <v/>
      </c>
      <c r="E5" s="39" t="str">
        <f>TRIM(IF(OR(AK5="",AK5=0),"",AL5&amp;"|"&amp;AM5&amp;"|"&amp;AN5))</f>
        <v/>
      </c>
      <c r="F5" s="39">
        <v>50000</v>
      </c>
      <c r="G5" s="230" t="s">
        <v>396</v>
      </c>
      <c r="H5" s="39"/>
      <c r="I5" s="1">
        <v>50000</v>
      </c>
      <c r="J5" s="1">
        <v>1.5</v>
      </c>
      <c r="K5" s="1">
        <f>SUM($J$5:J5)</f>
        <v>1.5</v>
      </c>
      <c r="L5" s="231">
        <f>K5/60/4</f>
        <v>6.2500000000000003E-3</v>
      </c>
      <c r="M5" s="1">
        <v>0.96</v>
      </c>
      <c r="N5" s="1">
        <f t="shared" ref="N5:N68" si="0">$K$3*M5*60</f>
        <v>345.59999999999997</v>
      </c>
      <c r="O5" s="1">
        <f>ROUND(J5*N5/10,0)*10</f>
        <v>520</v>
      </c>
      <c r="Q5"/>
      <c r="R5" s="6" t="s">
        <v>360</v>
      </c>
      <c r="S5" s="70">
        <f t="shared" ref="S5:S68" si="1">VLOOKUP(R5,AS:AX,4,0)</f>
        <v>1</v>
      </c>
      <c r="T5" s="70">
        <f t="shared" ref="T5:T68" si="2">VLOOKUP(R5,AS:AX,5,0)</f>
        <v>1</v>
      </c>
      <c r="U5" s="237">
        <v>1</v>
      </c>
      <c r="V5" s="68" t="s">
        <v>397</v>
      </c>
      <c r="W5" s="6">
        <f t="shared" ref="W5:W68" si="3">VLOOKUP(V5,AS:AX,4,0)</f>
        <v>2</v>
      </c>
      <c r="X5" s="6">
        <f t="shared" ref="X5:X68" si="4">VLOOKUP(V5,AS:AX,5,0)</f>
        <v>1001</v>
      </c>
      <c r="Y5" s="6">
        <v>1</v>
      </c>
      <c r="Z5" s="68" t="s">
        <v>398</v>
      </c>
      <c r="AA5" s="6">
        <f t="shared" ref="AA5:AA68" si="5">VLOOKUP(Z5,AS:AX,4,0)</f>
        <v>2</v>
      </c>
      <c r="AB5" s="6">
        <f t="shared" ref="AB5:AB68" si="6">VLOOKUP(Z5,AS:AX,5,0)</f>
        <v>1002</v>
      </c>
      <c r="AC5" s="6">
        <v>1</v>
      </c>
      <c r="AE5" s="84">
        <v>1</v>
      </c>
      <c r="AG5" s="11" t="str">
        <f t="shared" ref="AG5:AG54" si="7">VLOOKUP(AF5,AS:AX,4,0)</f>
        <v>物品类型</v>
      </c>
      <c r="AH5" s="11" t="str">
        <f t="shared" ref="AH5:AH54" si="8">VLOOKUP(AF5,AS:AX,5,0)</f>
        <v>id</v>
      </c>
      <c r="AI5" s="84" t="s">
        <v>399</v>
      </c>
      <c r="AJ5" s="84">
        <f>IF(AF5&lt;&gt;"",AI5*VLOOKUP(AF5,AS:AY,7,0),0)</f>
        <v>0</v>
      </c>
      <c r="AK5" s="1">
        <f>AF5</f>
        <v>0</v>
      </c>
      <c r="AL5" s="1" t="str">
        <f t="shared" ref="AL5:AL54" si="9">VLOOKUP(AK5,AS:AX,4,0)</f>
        <v>物品类型</v>
      </c>
      <c r="AM5" s="1" t="str">
        <f t="shared" ref="AM5:AM54" si="10">VLOOKUP(AK5,AS:AX,5,0)</f>
        <v>id</v>
      </c>
      <c r="AN5" s="271"/>
      <c r="AO5" s="1">
        <f>IF(OR(AK5=0,AK5=""),0,AN5*VLOOKUP(AK5,AS:AY,7,0))</f>
        <v>0</v>
      </c>
      <c r="AS5" s="1" t="str">
        <f>'抽奖|MoonBless'!DN5</f>
        <v>人民币</v>
      </c>
      <c r="AT5" s="1">
        <f>'抽奖|MoonBless'!DO5</f>
        <v>1</v>
      </c>
      <c r="AU5" s="1">
        <f>'抽奖|MoonBless'!DP5</f>
        <v>20</v>
      </c>
      <c r="AV5" s="1">
        <f>'抽奖|MoonBless'!DQ5</f>
        <v>1</v>
      </c>
      <c r="AW5" s="1">
        <f>'抽奖|MoonBless'!DR5</f>
        <v>0</v>
      </c>
      <c r="AX5" s="223">
        <f>'抽奖|MoonBless'!DS5</f>
        <v>1</v>
      </c>
      <c r="AY5" s="1">
        <f>AT5/$AT$7</f>
        <v>199999.99999999997</v>
      </c>
    </row>
    <row r="6" spans="1:51" ht="16.2" x14ac:dyDescent="0.35">
      <c r="A6" s="1">
        <v>2</v>
      </c>
      <c r="B6" s="84">
        <f t="shared" ref="B6:B69" si="11">O6</f>
        <v>690</v>
      </c>
      <c r="C6" s="62" t="str">
        <f t="shared" ref="C6:C23" si="12">S6&amp;"|"&amp;T6&amp;"|"&amp;U6&amp;","&amp;W6&amp;"|"&amp;X6&amp;"|"&amp;Y6&amp;","&amp;AA6&amp;"|"&amp;AB6&amp;"|"&amp;AC6</f>
        <v>1|1|1,2|1002|1,2|1004|1</v>
      </c>
      <c r="D6" s="39" t="str">
        <f t="shared" ref="D6:D69" si="13">TRIM(IF(AF6&lt;&gt;"",AG6&amp;"|"&amp;AH6&amp;"|"&amp;AI6,""))</f>
        <v/>
      </c>
      <c r="E6" s="39" t="str">
        <f t="shared" ref="E6:E69" si="14">TRIM(IF(OR(AK6="",AK6=0),"",AL6&amp;"|"&amp;AM6&amp;"|"&amp;AN6))</f>
        <v/>
      </c>
      <c r="F6" s="39">
        <v>100000</v>
      </c>
      <c r="G6" s="230" t="s">
        <v>400</v>
      </c>
      <c r="H6" s="39"/>
      <c r="I6" s="1">
        <v>100000</v>
      </c>
      <c r="J6" s="1">
        <v>2</v>
      </c>
      <c r="K6" s="1">
        <f>SUM($J$5:J6)</f>
        <v>3.5</v>
      </c>
      <c r="L6" s="231">
        <f t="shared" ref="L6:L69" si="15">K6/60/4</f>
        <v>1.4583333333333334E-2</v>
      </c>
      <c r="M6" s="1">
        <v>0.96</v>
      </c>
      <c r="N6" s="1">
        <f t="shared" si="0"/>
        <v>345.59999999999997</v>
      </c>
      <c r="O6" s="1">
        <f t="shared" ref="O6:O69" si="16">ROUND(J6*N6/10,0)*10</f>
        <v>690</v>
      </c>
      <c r="R6" s="6" t="s">
        <v>360</v>
      </c>
      <c r="S6" s="70">
        <f t="shared" si="1"/>
        <v>1</v>
      </c>
      <c r="T6" s="70">
        <f t="shared" si="2"/>
        <v>1</v>
      </c>
      <c r="U6" s="237">
        <v>1</v>
      </c>
      <c r="V6" s="68" t="s">
        <v>398</v>
      </c>
      <c r="W6" s="6">
        <f t="shared" si="3"/>
        <v>2</v>
      </c>
      <c r="X6" s="6">
        <f t="shared" si="4"/>
        <v>1002</v>
      </c>
      <c r="Y6" s="6">
        <v>1</v>
      </c>
      <c r="Z6" s="68" t="s">
        <v>401</v>
      </c>
      <c r="AA6" s="6">
        <f t="shared" si="5"/>
        <v>2</v>
      </c>
      <c r="AB6" s="6">
        <f t="shared" si="6"/>
        <v>1004</v>
      </c>
      <c r="AC6" s="6">
        <v>1</v>
      </c>
      <c r="AE6" s="84">
        <v>2</v>
      </c>
      <c r="AG6" s="11" t="str">
        <f t="shared" si="7"/>
        <v>物品类型</v>
      </c>
      <c r="AH6" s="11" t="str">
        <f t="shared" si="8"/>
        <v>id</v>
      </c>
      <c r="AI6" s="84" t="s">
        <v>399</v>
      </c>
      <c r="AJ6" s="84">
        <f t="shared" ref="AJ6:AJ54" si="17">IF(AF6&lt;&gt;"",AI6*VLOOKUP(AF6,AS:AY,7,0),0)</f>
        <v>0</v>
      </c>
      <c r="AK6" s="1">
        <f t="shared" ref="AK6:AK43" si="18">AF6</f>
        <v>0</v>
      </c>
      <c r="AL6" s="1" t="str">
        <f t="shared" si="9"/>
        <v>物品类型</v>
      </c>
      <c r="AM6" s="1" t="str">
        <f t="shared" si="10"/>
        <v>id</v>
      </c>
      <c r="AN6" s="271"/>
      <c r="AO6" s="1">
        <f t="shared" ref="AO6:AO54" si="19">IF(OR(AK6=0,AK6=""),0,AN6*VLOOKUP(AK6,AS:AY,7,0))</f>
        <v>0</v>
      </c>
      <c r="AS6" s="1" t="str">
        <f>'抽奖|MoonBless'!DN6</f>
        <v>钻石</v>
      </c>
      <c r="AT6" s="1">
        <f>'抽奖|MoonBless'!DO6</f>
        <v>0.1</v>
      </c>
      <c r="AU6" s="1">
        <f>'抽奖|MoonBless'!DP6</f>
        <v>2</v>
      </c>
      <c r="AV6" s="1">
        <f>'抽奖|MoonBless'!DQ6</f>
        <v>1</v>
      </c>
      <c r="AW6" s="1">
        <f>'抽奖|MoonBless'!DR6</f>
        <v>1</v>
      </c>
      <c r="AX6" s="223">
        <f>'抽奖|MoonBless'!DS6</f>
        <v>1</v>
      </c>
      <c r="AY6" s="1">
        <f t="shared" ref="AY6:AY30" si="20">AT6/$AT$7</f>
        <v>20000</v>
      </c>
    </row>
    <row r="7" spans="1:51" ht="16.2" x14ac:dyDescent="0.35">
      <c r="A7" s="1">
        <v>3</v>
      </c>
      <c r="B7" s="84">
        <f t="shared" si="11"/>
        <v>860</v>
      </c>
      <c r="C7" s="62" t="str">
        <f t="shared" si="12"/>
        <v>1|1|1,2|1001|1,2|1004|1</v>
      </c>
      <c r="D7" s="39" t="str">
        <f t="shared" si="13"/>
        <v>2|1001|1</v>
      </c>
      <c r="E7" s="39" t="str">
        <f t="shared" si="14"/>
        <v>2|1001|20</v>
      </c>
      <c r="F7" s="39">
        <v>300000</v>
      </c>
      <c r="G7" s="39"/>
      <c r="H7" s="39"/>
      <c r="I7" s="1">
        <v>300000</v>
      </c>
      <c r="J7" s="1">
        <v>2.5</v>
      </c>
      <c r="K7" s="1">
        <f>SUM($J$5:J7)</f>
        <v>6</v>
      </c>
      <c r="L7" s="231">
        <f t="shared" si="15"/>
        <v>2.5000000000000001E-2</v>
      </c>
      <c r="M7" s="1">
        <v>0.96</v>
      </c>
      <c r="N7" s="1">
        <f t="shared" si="0"/>
        <v>345.59999999999997</v>
      </c>
      <c r="O7" s="1">
        <f t="shared" si="16"/>
        <v>860</v>
      </c>
      <c r="R7" s="6" t="s">
        <v>360</v>
      </c>
      <c r="S7" s="70">
        <f t="shared" si="1"/>
        <v>1</v>
      </c>
      <c r="T7" s="70">
        <f t="shared" si="2"/>
        <v>1</v>
      </c>
      <c r="U7" s="237">
        <v>1</v>
      </c>
      <c r="V7" s="68" t="s">
        <v>397</v>
      </c>
      <c r="W7" s="6">
        <f t="shared" si="3"/>
        <v>2</v>
      </c>
      <c r="X7" s="6">
        <f t="shared" si="4"/>
        <v>1001</v>
      </c>
      <c r="Y7" s="6">
        <v>1</v>
      </c>
      <c r="Z7" s="68" t="s">
        <v>401</v>
      </c>
      <c r="AA7" s="6">
        <f t="shared" si="5"/>
        <v>2</v>
      </c>
      <c r="AB7" s="6">
        <f t="shared" si="6"/>
        <v>1004</v>
      </c>
      <c r="AC7" s="6">
        <v>1</v>
      </c>
      <c r="AE7" s="59">
        <v>3</v>
      </c>
      <c r="AF7" s="1" t="s">
        <v>397</v>
      </c>
      <c r="AG7" s="11">
        <f t="shared" si="7"/>
        <v>2</v>
      </c>
      <c r="AH7" s="11">
        <f t="shared" si="8"/>
        <v>1001</v>
      </c>
      <c r="AI7" s="84">
        <v>1</v>
      </c>
      <c r="AJ7" s="84">
        <f t="shared" si="17"/>
        <v>20000</v>
      </c>
      <c r="AK7" s="1" t="str">
        <f t="shared" si="18"/>
        <v>锁定</v>
      </c>
      <c r="AL7" s="1">
        <f t="shared" si="9"/>
        <v>2</v>
      </c>
      <c r="AM7" s="1">
        <f t="shared" si="10"/>
        <v>1001</v>
      </c>
      <c r="AN7" s="271">
        <v>20</v>
      </c>
      <c r="AO7" s="1">
        <f t="shared" si="19"/>
        <v>400000</v>
      </c>
      <c r="AS7" s="1" t="str">
        <f>'抽奖|MoonBless'!DN7</f>
        <v>金币</v>
      </c>
      <c r="AT7" s="1">
        <f>'抽奖|MoonBless'!DO7</f>
        <v>5.0000000000000004E-6</v>
      </c>
      <c r="AU7" s="1">
        <f>'抽奖|MoonBless'!DP7</f>
        <v>1E-4</v>
      </c>
      <c r="AV7" s="1">
        <f>'抽奖|MoonBless'!DQ7</f>
        <v>1</v>
      </c>
      <c r="AW7" s="1">
        <f>'抽奖|MoonBless'!DR7</f>
        <v>2</v>
      </c>
      <c r="AX7" s="223">
        <f>'抽奖|MoonBless'!DS7</f>
        <v>1</v>
      </c>
      <c r="AY7" s="1">
        <f t="shared" si="20"/>
        <v>1</v>
      </c>
    </row>
    <row r="8" spans="1:51" ht="16.2" x14ac:dyDescent="0.35">
      <c r="A8" s="1">
        <v>4</v>
      </c>
      <c r="B8" s="84">
        <f t="shared" si="11"/>
        <v>1040</v>
      </c>
      <c r="C8" s="62" t="str">
        <f t="shared" si="12"/>
        <v>1|1|1,2|1002|1,2|1003|1</v>
      </c>
      <c r="D8" s="39" t="str">
        <f t="shared" si="13"/>
        <v/>
      </c>
      <c r="E8" s="39" t="str">
        <f t="shared" si="14"/>
        <v/>
      </c>
      <c r="F8" s="39">
        <v>150000</v>
      </c>
      <c r="G8" s="39"/>
      <c r="H8" s="39"/>
      <c r="I8" s="1">
        <v>150000</v>
      </c>
      <c r="J8" s="1">
        <v>3</v>
      </c>
      <c r="K8" s="1">
        <f>SUM($J$5:J8)</f>
        <v>9</v>
      </c>
      <c r="L8" s="231">
        <f t="shared" si="15"/>
        <v>3.7499999999999999E-2</v>
      </c>
      <c r="M8" s="1">
        <v>0.96</v>
      </c>
      <c r="N8" s="1">
        <f t="shared" si="0"/>
        <v>345.59999999999997</v>
      </c>
      <c r="O8" s="1">
        <f t="shared" si="16"/>
        <v>1040</v>
      </c>
      <c r="R8" s="6" t="s">
        <v>360</v>
      </c>
      <c r="S8" s="70">
        <f t="shared" si="1"/>
        <v>1</v>
      </c>
      <c r="T8" s="70">
        <f t="shared" si="2"/>
        <v>1</v>
      </c>
      <c r="U8" s="237">
        <v>1</v>
      </c>
      <c r="V8" s="68" t="s">
        <v>398</v>
      </c>
      <c r="W8" s="6">
        <f t="shared" si="3"/>
        <v>2</v>
      </c>
      <c r="X8" s="6">
        <f t="shared" si="4"/>
        <v>1002</v>
      </c>
      <c r="Y8" s="6">
        <v>1</v>
      </c>
      <c r="Z8" s="68" t="s">
        <v>402</v>
      </c>
      <c r="AA8" s="6">
        <f t="shared" si="5"/>
        <v>2</v>
      </c>
      <c r="AB8" s="6">
        <f t="shared" si="6"/>
        <v>1003</v>
      </c>
      <c r="AC8" s="6">
        <v>1</v>
      </c>
      <c r="AE8" s="84">
        <v>4</v>
      </c>
      <c r="AG8" s="11" t="str">
        <f t="shared" si="7"/>
        <v>物品类型</v>
      </c>
      <c r="AH8" s="11" t="str">
        <f t="shared" si="8"/>
        <v>id</v>
      </c>
      <c r="AI8" s="84" t="s">
        <v>399</v>
      </c>
      <c r="AJ8" s="84">
        <f t="shared" si="17"/>
        <v>0</v>
      </c>
      <c r="AK8" s="1">
        <f t="shared" si="18"/>
        <v>0</v>
      </c>
      <c r="AL8" s="1" t="str">
        <f t="shared" si="9"/>
        <v>物品类型</v>
      </c>
      <c r="AM8" s="1" t="str">
        <f t="shared" si="10"/>
        <v>id</v>
      </c>
      <c r="AN8" s="271"/>
      <c r="AO8" s="1">
        <f t="shared" si="19"/>
        <v>0</v>
      </c>
      <c r="AS8" s="1" t="str">
        <f>'抽奖|MoonBless'!DN8</f>
        <v>锁定</v>
      </c>
      <c r="AT8" s="1">
        <f>'抽奖|MoonBless'!DO8</f>
        <v>0.1</v>
      </c>
      <c r="AU8" s="1">
        <f>'抽奖|MoonBless'!DP8</f>
        <v>2</v>
      </c>
      <c r="AV8" s="1">
        <f>'抽奖|MoonBless'!DQ8</f>
        <v>2</v>
      </c>
      <c r="AW8" s="1">
        <f>'抽奖|MoonBless'!DR8</f>
        <v>1001</v>
      </c>
      <c r="AX8" s="223">
        <f>'抽奖|MoonBless'!DS8</f>
        <v>1</v>
      </c>
      <c r="AY8" s="1">
        <f t="shared" si="20"/>
        <v>20000</v>
      </c>
    </row>
    <row r="9" spans="1:51" ht="16.2" x14ac:dyDescent="0.35">
      <c r="A9" s="1">
        <v>5</v>
      </c>
      <c r="B9" s="84">
        <f t="shared" si="11"/>
        <v>1210</v>
      </c>
      <c r="C9" s="62" t="str">
        <f t="shared" si="12"/>
        <v>1|1|1,2|1001|1,2|1002|1</v>
      </c>
      <c r="D9" s="39" t="str">
        <f t="shared" si="13"/>
        <v>1|2|10000</v>
      </c>
      <c r="E9" s="39" t="str">
        <f t="shared" si="14"/>
        <v>1|2|800000</v>
      </c>
      <c r="F9" s="39">
        <v>100000</v>
      </c>
      <c r="G9" s="39"/>
      <c r="H9" s="39"/>
      <c r="I9" s="1">
        <v>100000</v>
      </c>
      <c r="J9" s="1">
        <v>3.5</v>
      </c>
      <c r="K9" s="1">
        <f>SUM($J$5:J9)</f>
        <v>12.5</v>
      </c>
      <c r="L9" s="231">
        <f t="shared" si="15"/>
        <v>5.2083333333333336E-2</v>
      </c>
      <c r="M9" s="1">
        <v>0.96</v>
      </c>
      <c r="N9" s="1">
        <f t="shared" si="0"/>
        <v>345.59999999999997</v>
      </c>
      <c r="O9" s="1">
        <f t="shared" si="16"/>
        <v>1210</v>
      </c>
      <c r="R9" s="6" t="s">
        <v>360</v>
      </c>
      <c r="S9" s="70">
        <f t="shared" si="1"/>
        <v>1</v>
      </c>
      <c r="T9" s="70">
        <f t="shared" si="2"/>
        <v>1</v>
      </c>
      <c r="U9" s="237">
        <v>1</v>
      </c>
      <c r="V9" s="68" t="s">
        <v>397</v>
      </c>
      <c r="W9" s="6">
        <f t="shared" si="3"/>
        <v>2</v>
      </c>
      <c r="X9" s="6">
        <f t="shared" si="4"/>
        <v>1001</v>
      </c>
      <c r="Y9" s="6">
        <v>1</v>
      </c>
      <c r="Z9" s="68" t="s">
        <v>398</v>
      </c>
      <c r="AA9" s="6">
        <f t="shared" si="5"/>
        <v>2</v>
      </c>
      <c r="AB9" s="6">
        <f t="shared" si="6"/>
        <v>1002</v>
      </c>
      <c r="AC9" s="6">
        <v>1</v>
      </c>
      <c r="AE9" s="59">
        <v>5</v>
      </c>
      <c r="AF9" s="1" t="s">
        <v>375</v>
      </c>
      <c r="AG9" s="11">
        <f t="shared" si="7"/>
        <v>1</v>
      </c>
      <c r="AH9" s="11">
        <f t="shared" si="8"/>
        <v>2</v>
      </c>
      <c r="AI9" s="84">
        <v>10000</v>
      </c>
      <c r="AJ9" s="84">
        <f t="shared" si="17"/>
        <v>10000</v>
      </c>
      <c r="AK9" s="1" t="str">
        <f t="shared" si="18"/>
        <v>金币</v>
      </c>
      <c r="AL9" s="1">
        <f t="shared" si="9"/>
        <v>1</v>
      </c>
      <c r="AM9" s="1">
        <f t="shared" si="10"/>
        <v>2</v>
      </c>
      <c r="AN9" s="271">
        <v>800000</v>
      </c>
      <c r="AO9" s="1">
        <f t="shared" si="19"/>
        <v>800000</v>
      </c>
      <c r="AS9" s="1" t="str">
        <f>'抽奖|MoonBless'!DN9</f>
        <v>冰冻</v>
      </c>
      <c r="AT9" s="1">
        <f>'抽奖|MoonBless'!DO9</f>
        <v>0.25</v>
      </c>
      <c r="AU9" s="1">
        <f>'抽奖|MoonBless'!DP9</f>
        <v>5</v>
      </c>
      <c r="AV9" s="1">
        <f>'抽奖|MoonBless'!DQ9</f>
        <v>2</v>
      </c>
      <c r="AW9" s="1">
        <f>'抽奖|MoonBless'!DR9</f>
        <v>1002</v>
      </c>
      <c r="AX9" s="223">
        <f>'抽奖|MoonBless'!DS9</f>
        <v>1</v>
      </c>
      <c r="AY9" s="1">
        <f t="shared" si="20"/>
        <v>49999.999999999993</v>
      </c>
    </row>
    <row r="10" spans="1:51" ht="16.2" x14ac:dyDescent="0.35">
      <c r="A10" s="1">
        <v>6</v>
      </c>
      <c r="B10" s="84">
        <f t="shared" si="11"/>
        <v>1380</v>
      </c>
      <c r="C10" s="62" t="str">
        <f t="shared" si="12"/>
        <v>1|1|1,2|1002|1,2|1004|1</v>
      </c>
      <c r="D10" s="39" t="str">
        <f t="shared" si="13"/>
        <v/>
      </c>
      <c r="E10" s="39" t="str">
        <f t="shared" si="14"/>
        <v/>
      </c>
      <c r="F10" s="39">
        <v>300000</v>
      </c>
      <c r="G10" s="39"/>
      <c r="H10" s="39"/>
      <c r="I10" s="1">
        <v>300000</v>
      </c>
      <c r="J10" s="1">
        <v>4</v>
      </c>
      <c r="K10" s="1">
        <f>SUM($J$5:J10)</f>
        <v>16.5</v>
      </c>
      <c r="L10" s="231">
        <f t="shared" si="15"/>
        <v>6.8750000000000006E-2</v>
      </c>
      <c r="M10" s="1">
        <v>0.96</v>
      </c>
      <c r="N10" s="1">
        <f t="shared" si="0"/>
        <v>345.59999999999997</v>
      </c>
      <c r="O10" s="1">
        <f t="shared" si="16"/>
        <v>1380</v>
      </c>
      <c r="R10" s="6" t="s">
        <v>360</v>
      </c>
      <c r="S10" s="70">
        <f t="shared" si="1"/>
        <v>1</v>
      </c>
      <c r="T10" s="70">
        <f t="shared" si="2"/>
        <v>1</v>
      </c>
      <c r="U10" s="237">
        <v>1</v>
      </c>
      <c r="V10" s="68" t="s">
        <v>398</v>
      </c>
      <c r="W10" s="6">
        <f t="shared" si="3"/>
        <v>2</v>
      </c>
      <c r="X10" s="6">
        <f t="shared" si="4"/>
        <v>1002</v>
      </c>
      <c r="Y10" s="6">
        <v>1</v>
      </c>
      <c r="Z10" s="68" t="s">
        <v>401</v>
      </c>
      <c r="AA10" s="6">
        <f t="shared" si="5"/>
        <v>2</v>
      </c>
      <c r="AB10" s="6">
        <f t="shared" si="6"/>
        <v>1004</v>
      </c>
      <c r="AC10" s="6">
        <v>1</v>
      </c>
      <c r="AE10" s="84">
        <v>6</v>
      </c>
      <c r="AG10" s="11" t="str">
        <f t="shared" si="7"/>
        <v>物品类型</v>
      </c>
      <c r="AH10" s="11" t="str">
        <f t="shared" si="8"/>
        <v>id</v>
      </c>
      <c r="AI10" s="84" t="s">
        <v>399</v>
      </c>
      <c r="AJ10" s="84">
        <f t="shared" si="17"/>
        <v>0</v>
      </c>
      <c r="AK10" s="1">
        <f t="shared" si="18"/>
        <v>0</v>
      </c>
      <c r="AL10" s="1" t="str">
        <f t="shared" si="9"/>
        <v>物品类型</v>
      </c>
      <c r="AM10" s="1" t="str">
        <f t="shared" si="10"/>
        <v>id</v>
      </c>
      <c r="AN10" s="271"/>
      <c r="AO10" s="1">
        <f t="shared" si="19"/>
        <v>0</v>
      </c>
      <c r="AS10" s="1" t="str">
        <f>'抽奖|MoonBless'!DN10</f>
        <v>狂暴</v>
      </c>
      <c r="AT10" s="1">
        <f>'抽奖|MoonBless'!DO10</f>
        <v>0.5</v>
      </c>
      <c r="AU10" s="1">
        <f>'抽奖|MoonBless'!DP10</f>
        <v>10</v>
      </c>
      <c r="AV10" s="1">
        <f>'抽奖|MoonBless'!DQ10</f>
        <v>2</v>
      </c>
      <c r="AW10" s="1">
        <f>'抽奖|MoonBless'!DR10</f>
        <v>1003</v>
      </c>
      <c r="AX10" s="223">
        <f>'抽奖|MoonBless'!DS10</f>
        <v>1</v>
      </c>
      <c r="AY10" s="1">
        <f t="shared" si="20"/>
        <v>99999.999999999985</v>
      </c>
    </row>
    <row r="11" spans="1:51" ht="16.2" x14ac:dyDescent="0.35">
      <c r="A11" s="1">
        <v>7</v>
      </c>
      <c r="B11" s="84">
        <f t="shared" si="11"/>
        <v>1560</v>
      </c>
      <c r="C11" s="62" t="str">
        <f t="shared" si="12"/>
        <v>1|1|1,2|1001|1,2|1004|1</v>
      </c>
      <c r="D11" s="39" t="str">
        <f t="shared" si="13"/>
        <v/>
      </c>
      <c r="E11" s="39" t="str">
        <f t="shared" si="14"/>
        <v/>
      </c>
      <c r="F11" s="39">
        <v>150000</v>
      </c>
      <c r="G11" s="39"/>
      <c r="H11" s="39"/>
      <c r="I11" s="1">
        <v>150000</v>
      </c>
      <c r="J11" s="1">
        <v>4.5</v>
      </c>
      <c r="K11" s="1">
        <f>SUM($J$5:J11)</f>
        <v>21</v>
      </c>
      <c r="L11" s="231">
        <f t="shared" si="15"/>
        <v>8.7499999999999994E-2</v>
      </c>
      <c r="M11" s="1">
        <v>0.96</v>
      </c>
      <c r="N11" s="1">
        <f t="shared" si="0"/>
        <v>345.59999999999997</v>
      </c>
      <c r="O11" s="1">
        <f t="shared" si="16"/>
        <v>1560</v>
      </c>
      <c r="R11" s="6" t="s">
        <v>360</v>
      </c>
      <c r="S11" s="70">
        <f t="shared" si="1"/>
        <v>1</v>
      </c>
      <c r="T11" s="70">
        <f t="shared" si="2"/>
        <v>1</v>
      </c>
      <c r="U11" s="237">
        <v>1</v>
      </c>
      <c r="V11" s="68" t="s">
        <v>397</v>
      </c>
      <c r="W11" s="6">
        <f t="shared" si="3"/>
        <v>2</v>
      </c>
      <c r="X11" s="6">
        <f t="shared" si="4"/>
        <v>1001</v>
      </c>
      <c r="Y11" s="6">
        <v>1</v>
      </c>
      <c r="Z11" s="68" t="s">
        <v>401</v>
      </c>
      <c r="AA11" s="6">
        <f t="shared" si="5"/>
        <v>2</v>
      </c>
      <c r="AB11" s="6">
        <f t="shared" si="6"/>
        <v>1004</v>
      </c>
      <c r="AC11" s="6">
        <v>1</v>
      </c>
      <c r="AE11" s="84">
        <v>7</v>
      </c>
      <c r="AG11" s="11" t="str">
        <f t="shared" si="7"/>
        <v>物品类型</v>
      </c>
      <c r="AH11" s="11" t="str">
        <f t="shared" si="8"/>
        <v>id</v>
      </c>
      <c r="AI11" s="84" t="s">
        <v>399</v>
      </c>
      <c r="AJ11" s="84">
        <f t="shared" si="17"/>
        <v>0</v>
      </c>
      <c r="AK11" s="1">
        <f t="shared" si="18"/>
        <v>0</v>
      </c>
      <c r="AL11" s="1" t="str">
        <f t="shared" si="9"/>
        <v>物品类型</v>
      </c>
      <c r="AM11" s="1" t="str">
        <f t="shared" si="10"/>
        <v>id</v>
      </c>
      <c r="AN11" s="271"/>
      <c r="AO11" s="1">
        <f t="shared" si="19"/>
        <v>0</v>
      </c>
      <c r="AS11" s="1" t="str">
        <f>'抽奖|MoonBless'!DN11</f>
        <v>召唤</v>
      </c>
      <c r="AT11" s="1">
        <f>'抽奖|MoonBless'!DO11</f>
        <v>0.1</v>
      </c>
      <c r="AU11" s="1">
        <f>'抽奖|MoonBless'!DP11</f>
        <v>2</v>
      </c>
      <c r="AV11" s="1">
        <f>'抽奖|MoonBless'!DQ11</f>
        <v>2</v>
      </c>
      <c r="AW11" s="1">
        <f>'抽奖|MoonBless'!DR11</f>
        <v>1004</v>
      </c>
      <c r="AX11" s="223">
        <f>'抽奖|MoonBless'!DS11</f>
        <v>1</v>
      </c>
      <c r="AY11" s="1">
        <f t="shared" si="20"/>
        <v>20000</v>
      </c>
    </row>
    <row r="12" spans="1:51" ht="16.2" x14ac:dyDescent="0.35">
      <c r="A12" s="1">
        <v>8</v>
      </c>
      <c r="B12" s="84">
        <f t="shared" si="11"/>
        <v>1730</v>
      </c>
      <c r="C12" s="62" t="str">
        <f t="shared" si="12"/>
        <v>1|1|1,2|1002|1,2|1004|1</v>
      </c>
      <c r="D12" s="39" t="str">
        <f t="shared" si="13"/>
        <v>1|2|20000</v>
      </c>
      <c r="E12" s="39" t="str">
        <f t="shared" si="14"/>
        <v>1|2|1000000</v>
      </c>
      <c r="F12" s="39">
        <v>100000</v>
      </c>
      <c r="G12" s="39"/>
      <c r="H12" s="39"/>
      <c r="I12" s="1">
        <v>100000</v>
      </c>
      <c r="J12" s="1">
        <v>5</v>
      </c>
      <c r="K12" s="1">
        <f>SUM($J$5:J12)</f>
        <v>26</v>
      </c>
      <c r="L12" s="231">
        <f t="shared" si="15"/>
        <v>0.10833333333333334</v>
      </c>
      <c r="M12" s="1">
        <v>0.96</v>
      </c>
      <c r="N12" s="1">
        <f t="shared" si="0"/>
        <v>345.59999999999997</v>
      </c>
      <c r="O12" s="1">
        <f t="shared" si="16"/>
        <v>1730</v>
      </c>
      <c r="R12" s="6" t="s">
        <v>360</v>
      </c>
      <c r="S12" s="70">
        <f t="shared" si="1"/>
        <v>1</v>
      </c>
      <c r="T12" s="70">
        <f t="shared" si="2"/>
        <v>1</v>
      </c>
      <c r="U12" s="237">
        <v>1</v>
      </c>
      <c r="V12" s="68" t="s">
        <v>398</v>
      </c>
      <c r="W12" s="6">
        <f t="shared" si="3"/>
        <v>2</v>
      </c>
      <c r="X12" s="6">
        <f t="shared" si="4"/>
        <v>1002</v>
      </c>
      <c r="Y12" s="6">
        <v>1</v>
      </c>
      <c r="Z12" s="68" t="s">
        <v>401</v>
      </c>
      <c r="AA12" s="6">
        <f t="shared" si="5"/>
        <v>2</v>
      </c>
      <c r="AB12" s="6">
        <f t="shared" si="6"/>
        <v>1004</v>
      </c>
      <c r="AC12" s="6">
        <v>1</v>
      </c>
      <c r="AE12" s="59">
        <v>8</v>
      </c>
      <c r="AF12" s="1" t="s">
        <v>375</v>
      </c>
      <c r="AG12" s="11">
        <f t="shared" si="7"/>
        <v>1</v>
      </c>
      <c r="AH12" s="11">
        <f t="shared" si="8"/>
        <v>2</v>
      </c>
      <c r="AI12" s="84">
        <v>20000</v>
      </c>
      <c r="AJ12" s="84">
        <f t="shared" si="17"/>
        <v>20000</v>
      </c>
      <c r="AK12" s="1" t="str">
        <f t="shared" si="18"/>
        <v>金币</v>
      </c>
      <c r="AL12" s="1">
        <f t="shared" si="9"/>
        <v>1</v>
      </c>
      <c r="AM12" s="1">
        <f t="shared" si="10"/>
        <v>2</v>
      </c>
      <c r="AN12" s="271">
        <v>1000000</v>
      </c>
      <c r="AO12" s="1">
        <f t="shared" si="19"/>
        <v>1000000</v>
      </c>
      <c r="AS12" s="1" t="str">
        <f>'抽奖|MoonBless'!DN12</f>
        <v>福卡</v>
      </c>
      <c r="AT12" s="1">
        <f>'抽奖|MoonBless'!DO12</f>
        <v>7.5000000000000002E-4</v>
      </c>
      <c r="AU12" s="1">
        <f>'抽奖|MoonBless'!DP12</f>
        <v>1.5000000000000001E-2</v>
      </c>
      <c r="AV12" s="1">
        <f>'抽奖|MoonBless'!DQ12</f>
        <v>2</v>
      </c>
      <c r="AW12" s="1">
        <f>'抽奖|MoonBless'!DR12</f>
        <v>1204</v>
      </c>
      <c r="AX12" s="223">
        <f>'抽奖|MoonBless'!DS12</f>
        <v>1</v>
      </c>
      <c r="AY12" s="1">
        <f t="shared" si="20"/>
        <v>150</v>
      </c>
    </row>
    <row r="13" spans="1:51" ht="16.2" x14ac:dyDescent="0.35">
      <c r="A13" s="1">
        <v>9</v>
      </c>
      <c r="B13" s="84">
        <f t="shared" si="11"/>
        <v>1900</v>
      </c>
      <c r="C13" s="62" t="str">
        <f t="shared" si="12"/>
        <v>1|1|1,2|1001|1,2|1003|1</v>
      </c>
      <c r="D13" s="39" t="str">
        <f t="shared" si="13"/>
        <v/>
      </c>
      <c r="E13" s="39" t="str">
        <f t="shared" si="14"/>
        <v/>
      </c>
      <c r="F13" s="39">
        <v>0</v>
      </c>
      <c r="G13" s="39"/>
      <c r="H13"/>
      <c r="J13" s="1">
        <v>5.5</v>
      </c>
      <c r="K13" s="232">
        <f>SUM($J$5:J13)</f>
        <v>31.5</v>
      </c>
      <c r="L13" s="231">
        <f t="shared" si="15"/>
        <v>0.13125000000000001</v>
      </c>
      <c r="M13" s="1">
        <v>0.96</v>
      </c>
      <c r="N13" s="1">
        <f t="shared" si="0"/>
        <v>345.59999999999997</v>
      </c>
      <c r="O13" s="1">
        <f t="shared" si="16"/>
        <v>1900</v>
      </c>
      <c r="R13" s="6" t="s">
        <v>360</v>
      </c>
      <c r="S13" s="70">
        <f t="shared" si="1"/>
        <v>1</v>
      </c>
      <c r="T13" s="70">
        <f t="shared" si="2"/>
        <v>1</v>
      </c>
      <c r="U13" s="237">
        <v>1</v>
      </c>
      <c r="V13" s="68" t="s">
        <v>397</v>
      </c>
      <c r="W13" s="6">
        <f t="shared" si="3"/>
        <v>2</v>
      </c>
      <c r="X13" s="6">
        <f t="shared" si="4"/>
        <v>1001</v>
      </c>
      <c r="Y13" s="6">
        <v>1</v>
      </c>
      <c r="Z13" s="68" t="s">
        <v>402</v>
      </c>
      <c r="AA13" s="6">
        <f t="shared" si="5"/>
        <v>2</v>
      </c>
      <c r="AB13" s="6">
        <f t="shared" si="6"/>
        <v>1003</v>
      </c>
      <c r="AC13" s="6">
        <v>1</v>
      </c>
      <c r="AE13" s="84">
        <v>9</v>
      </c>
      <c r="AG13" s="11" t="str">
        <f t="shared" si="7"/>
        <v>物品类型</v>
      </c>
      <c r="AH13" s="11" t="str">
        <f t="shared" si="8"/>
        <v>id</v>
      </c>
      <c r="AI13" s="84" t="s">
        <v>399</v>
      </c>
      <c r="AJ13" s="84">
        <f t="shared" si="17"/>
        <v>0</v>
      </c>
      <c r="AK13" s="1">
        <f t="shared" si="18"/>
        <v>0</v>
      </c>
      <c r="AL13" s="1" t="str">
        <f t="shared" si="9"/>
        <v>物品类型</v>
      </c>
      <c r="AM13" s="1" t="str">
        <f t="shared" si="10"/>
        <v>id</v>
      </c>
      <c r="AN13" s="271"/>
      <c r="AO13" s="1">
        <f t="shared" si="19"/>
        <v>0</v>
      </c>
      <c r="AS13" s="1" t="str">
        <f>'抽奖|MoonBless'!DN13</f>
        <v>超级武器1</v>
      </c>
      <c r="AT13" s="1">
        <f>'抽奖|MoonBless'!DO13</f>
        <v>5</v>
      </c>
      <c r="AU13" s="1">
        <f>'抽奖|MoonBless'!DP13</f>
        <v>100</v>
      </c>
      <c r="AV13" s="1">
        <f>'抽奖|MoonBless'!DQ13</f>
        <v>2</v>
      </c>
      <c r="AW13" s="1">
        <f>'抽奖|MoonBless'!DR13</f>
        <v>1005</v>
      </c>
      <c r="AX13" s="223">
        <f>'抽奖|MoonBless'!DS13</f>
        <v>1</v>
      </c>
      <c r="AY13" s="1">
        <f t="shared" si="20"/>
        <v>999999.99999999988</v>
      </c>
    </row>
    <row r="14" spans="1:51" ht="16.2" x14ac:dyDescent="0.35">
      <c r="A14" s="1">
        <v>10</v>
      </c>
      <c r="B14" s="84">
        <f t="shared" si="11"/>
        <v>2000</v>
      </c>
      <c r="C14" s="62" t="str">
        <f t="shared" si="12"/>
        <v>1|1|2,2|1002|1,2|1004|1</v>
      </c>
      <c r="D14" s="39" t="str">
        <f t="shared" si="13"/>
        <v>2|1002|1</v>
      </c>
      <c r="E14" s="39" t="str">
        <f t="shared" si="14"/>
        <v>2|1002|20</v>
      </c>
      <c r="F14" s="39">
        <v>0</v>
      </c>
      <c r="G14" s="39"/>
      <c r="H14" s="39"/>
      <c r="J14" s="1">
        <v>5.8</v>
      </c>
      <c r="K14" s="1">
        <f>SUM($J$5:J14)</f>
        <v>37.299999999999997</v>
      </c>
      <c r="L14" s="231">
        <f t="shared" si="15"/>
        <v>0.15541666666666665</v>
      </c>
      <c r="M14" s="1">
        <v>0.96</v>
      </c>
      <c r="N14" s="1">
        <f t="shared" si="0"/>
        <v>345.59999999999997</v>
      </c>
      <c r="O14" s="1">
        <f t="shared" si="16"/>
        <v>2000</v>
      </c>
      <c r="R14" s="6" t="s">
        <v>360</v>
      </c>
      <c r="S14" s="70">
        <f t="shared" si="1"/>
        <v>1</v>
      </c>
      <c r="T14" s="70">
        <f t="shared" si="2"/>
        <v>1</v>
      </c>
      <c r="U14" s="237">
        <v>2</v>
      </c>
      <c r="V14" s="68" t="s">
        <v>398</v>
      </c>
      <c r="W14" s="6">
        <f t="shared" si="3"/>
        <v>2</v>
      </c>
      <c r="X14" s="6">
        <f t="shared" si="4"/>
        <v>1002</v>
      </c>
      <c r="Y14" s="6">
        <v>1</v>
      </c>
      <c r="Z14" s="68" t="s">
        <v>401</v>
      </c>
      <c r="AA14" s="6">
        <f t="shared" si="5"/>
        <v>2</v>
      </c>
      <c r="AB14" s="6">
        <f t="shared" si="6"/>
        <v>1004</v>
      </c>
      <c r="AC14" s="6">
        <v>1</v>
      </c>
      <c r="AE14" s="59">
        <v>10</v>
      </c>
      <c r="AF14" s="1" t="s">
        <v>398</v>
      </c>
      <c r="AG14" s="11">
        <f t="shared" si="7"/>
        <v>2</v>
      </c>
      <c r="AH14" s="11">
        <f t="shared" si="8"/>
        <v>1002</v>
      </c>
      <c r="AI14" s="84">
        <v>1</v>
      </c>
      <c r="AJ14" s="84">
        <f t="shared" si="17"/>
        <v>49999.999999999993</v>
      </c>
      <c r="AK14" s="1" t="str">
        <f t="shared" si="18"/>
        <v>冰冻</v>
      </c>
      <c r="AL14" s="1">
        <f t="shared" si="9"/>
        <v>2</v>
      </c>
      <c r="AM14" s="1">
        <f t="shared" si="10"/>
        <v>1002</v>
      </c>
      <c r="AN14" s="271">
        <v>20</v>
      </c>
      <c r="AO14" s="1">
        <f t="shared" si="19"/>
        <v>999999.99999999988</v>
      </c>
      <c r="AS14" s="1" t="str">
        <f>'抽奖|MoonBless'!DN14</f>
        <v>超级武器2</v>
      </c>
      <c r="AT14" s="1">
        <f>'抽奖|MoonBless'!DO14</f>
        <v>10</v>
      </c>
      <c r="AU14" s="1">
        <f>'抽奖|MoonBless'!DP14</f>
        <v>200</v>
      </c>
      <c r="AV14" s="1">
        <f>'抽奖|MoonBless'!DQ14</f>
        <v>2</v>
      </c>
      <c r="AW14" s="1">
        <f>'抽奖|MoonBless'!DR14</f>
        <v>1006</v>
      </c>
      <c r="AX14" s="223">
        <f>'抽奖|MoonBless'!DS14</f>
        <v>1</v>
      </c>
      <c r="AY14" s="1">
        <f t="shared" si="20"/>
        <v>1999999.9999999998</v>
      </c>
    </row>
    <row r="15" spans="1:51" ht="16.2" x14ac:dyDescent="0.35">
      <c r="A15" s="1">
        <v>11</v>
      </c>
      <c r="B15" s="84">
        <f t="shared" si="11"/>
        <v>2070</v>
      </c>
      <c r="C15" s="62" t="str">
        <f t="shared" si="12"/>
        <v>1|1|2,2|1001|1,2|1002|1</v>
      </c>
      <c r="D15" s="39" t="str">
        <f t="shared" si="13"/>
        <v/>
      </c>
      <c r="E15" s="39" t="str">
        <f t="shared" si="14"/>
        <v/>
      </c>
      <c r="F15" s="39">
        <v>0</v>
      </c>
      <c r="G15" s="39"/>
      <c r="H15" s="39"/>
      <c r="J15" s="1">
        <v>6</v>
      </c>
      <c r="K15" s="1">
        <f>SUM($J$5:J15)</f>
        <v>43.3</v>
      </c>
      <c r="L15" s="231">
        <f t="shared" si="15"/>
        <v>0.18041666666666664</v>
      </c>
      <c r="M15" s="1">
        <v>0.96</v>
      </c>
      <c r="N15" s="1">
        <f t="shared" si="0"/>
        <v>345.59999999999997</v>
      </c>
      <c r="O15" s="1">
        <f t="shared" si="16"/>
        <v>2070</v>
      </c>
      <c r="R15" s="6" t="s">
        <v>360</v>
      </c>
      <c r="S15" s="70">
        <f t="shared" si="1"/>
        <v>1</v>
      </c>
      <c r="T15" s="70">
        <f t="shared" si="2"/>
        <v>1</v>
      </c>
      <c r="U15" s="237">
        <v>2</v>
      </c>
      <c r="V15" s="68" t="s">
        <v>397</v>
      </c>
      <c r="W15" s="6">
        <f t="shared" si="3"/>
        <v>2</v>
      </c>
      <c r="X15" s="6">
        <f t="shared" si="4"/>
        <v>1001</v>
      </c>
      <c r="Y15" s="6">
        <v>1</v>
      </c>
      <c r="Z15" s="68" t="s">
        <v>398</v>
      </c>
      <c r="AA15" s="6">
        <f t="shared" si="5"/>
        <v>2</v>
      </c>
      <c r="AB15" s="6">
        <f t="shared" si="6"/>
        <v>1002</v>
      </c>
      <c r="AC15" s="6">
        <v>1</v>
      </c>
      <c r="AE15" s="84">
        <v>11</v>
      </c>
      <c r="AG15" s="11" t="str">
        <f t="shared" si="7"/>
        <v>物品类型</v>
      </c>
      <c r="AH15" s="11" t="str">
        <f t="shared" si="8"/>
        <v>id</v>
      </c>
      <c r="AI15" s="84" t="s">
        <v>399</v>
      </c>
      <c r="AJ15" s="84">
        <f t="shared" si="17"/>
        <v>0</v>
      </c>
      <c r="AK15" s="1">
        <f t="shared" si="18"/>
        <v>0</v>
      </c>
      <c r="AL15" s="1" t="str">
        <f t="shared" si="9"/>
        <v>物品类型</v>
      </c>
      <c r="AM15" s="1" t="str">
        <f t="shared" si="10"/>
        <v>id</v>
      </c>
      <c r="AN15" s="271"/>
      <c r="AO15" s="1">
        <f t="shared" si="19"/>
        <v>0</v>
      </c>
      <c r="AS15" s="1" t="str">
        <f>'抽奖|MoonBless'!DN15</f>
        <v>超级武器3</v>
      </c>
      <c r="AT15" s="1">
        <f>'抽奖|MoonBless'!DO15</f>
        <v>25</v>
      </c>
      <c r="AU15" s="1">
        <f>'抽奖|MoonBless'!DP15</f>
        <v>500</v>
      </c>
      <c r="AV15" s="1">
        <f>'抽奖|MoonBless'!DQ15</f>
        <v>2</v>
      </c>
      <c r="AW15" s="1">
        <f>'抽奖|MoonBless'!DR15</f>
        <v>1007</v>
      </c>
      <c r="AX15" s="223">
        <f>'抽奖|MoonBless'!DS15</f>
        <v>1</v>
      </c>
      <c r="AY15" s="1">
        <f t="shared" si="20"/>
        <v>5000000</v>
      </c>
    </row>
    <row r="16" spans="1:51" ht="16.2" x14ac:dyDescent="0.35">
      <c r="A16" s="1">
        <v>12</v>
      </c>
      <c r="B16" s="84">
        <f t="shared" si="11"/>
        <v>2140</v>
      </c>
      <c r="C16" s="62" t="str">
        <f t="shared" si="12"/>
        <v>1|1|2,2|1002|1,2|1004|1</v>
      </c>
      <c r="D16" s="39" t="str">
        <f t="shared" si="13"/>
        <v/>
      </c>
      <c r="E16" s="39" t="str">
        <f t="shared" si="14"/>
        <v/>
      </c>
      <c r="F16" s="39">
        <v>0</v>
      </c>
      <c r="G16" s="39"/>
      <c r="H16" s="39"/>
      <c r="J16" s="1">
        <v>6.2</v>
      </c>
      <c r="K16" s="1">
        <f>SUM($J$5:J16)</f>
        <v>49.5</v>
      </c>
      <c r="L16" s="231">
        <f t="shared" si="15"/>
        <v>0.20624999999999999</v>
      </c>
      <c r="M16" s="1">
        <v>0.96</v>
      </c>
      <c r="N16" s="1">
        <f t="shared" si="0"/>
        <v>345.59999999999997</v>
      </c>
      <c r="O16" s="1">
        <f t="shared" si="16"/>
        <v>2140</v>
      </c>
      <c r="R16" s="6" t="s">
        <v>360</v>
      </c>
      <c r="S16" s="70">
        <f t="shared" si="1"/>
        <v>1</v>
      </c>
      <c r="T16" s="70">
        <f t="shared" si="2"/>
        <v>1</v>
      </c>
      <c r="U16" s="237">
        <v>2</v>
      </c>
      <c r="V16" s="68" t="s">
        <v>398</v>
      </c>
      <c r="W16" s="6">
        <f t="shared" si="3"/>
        <v>2</v>
      </c>
      <c r="X16" s="6">
        <f t="shared" si="4"/>
        <v>1002</v>
      </c>
      <c r="Y16" s="6">
        <v>1</v>
      </c>
      <c r="Z16" s="68" t="s">
        <v>401</v>
      </c>
      <c r="AA16" s="6">
        <f t="shared" si="5"/>
        <v>2</v>
      </c>
      <c r="AB16" s="6">
        <f t="shared" si="6"/>
        <v>1004</v>
      </c>
      <c r="AC16" s="6">
        <v>1</v>
      </c>
      <c r="AE16" s="84">
        <v>12</v>
      </c>
      <c r="AG16" s="11" t="str">
        <f t="shared" si="7"/>
        <v>物品类型</v>
      </c>
      <c r="AH16" s="11" t="str">
        <f t="shared" si="8"/>
        <v>id</v>
      </c>
      <c r="AI16" s="84" t="s">
        <v>399</v>
      </c>
      <c r="AJ16" s="84">
        <f t="shared" si="17"/>
        <v>0</v>
      </c>
      <c r="AK16" s="1">
        <f t="shared" si="18"/>
        <v>0</v>
      </c>
      <c r="AL16" s="1" t="str">
        <f t="shared" si="9"/>
        <v>物品类型</v>
      </c>
      <c r="AM16" s="1" t="str">
        <f t="shared" si="10"/>
        <v>id</v>
      </c>
      <c r="AN16" s="271"/>
      <c r="AO16" s="1">
        <f t="shared" si="19"/>
        <v>0</v>
      </c>
      <c r="AS16" s="1" t="str">
        <f>'抽奖|MoonBless'!DN16</f>
        <v>超级武器4</v>
      </c>
      <c r="AT16" s="1">
        <f>'抽奖|MoonBless'!DO16</f>
        <v>50</v>
      </c>
      <c r="AU16" s="1">
        <f>'抽奖|MoonBless'!DP16</f>
        <v>1000</v>
      </c>
      <c r="AV16" s="1">
        <f>'抽奖|MoonBless'!DQ16</f>
        <v>2</v>
      </c>
      <c r="AW16" s="1">
        <f>'抽奖|MoonBless'!DR16</f>
        <v>1008</v>
      </c>
      <c r="AX16" s="223">
        <f>'抽奖|MoonBless'!DS16</f>
        <v>1</v>
      </c>
      <c r="AY16" s="1">
        <f t="shared" si="20"/>
        <v>10000000</v>
      </c>
    </row>
    <row r="17" spans="1:51" ht="16.2" x14ac:dyDescent="0.35">
      <c r="A17" s="1">
        <v>13</v>
      </c>
      <c r="B17" s="84">
        <f t="shared" si="11"/>
        <v>2250</v>
      </c>
      <c r="C17" s="62" t="str">
        <f t="shared" si="12"/>
        <v>1|1|2,2|1001|1,2|1004|1</v>
      </c>
      <c r="D17" s="39" t="str">
        <f t="shared" si="13"/>
        <v>1|1|2</v>
      </c>
      <c r="E17" s="39" t="str">
        <f t="shared" si="14"/>
        <v>1|1|100</v>
      </c>
      <c r="F17" s="39">
        <v>0</v>
      </c>
      <c r="G17" s="39"/>
      <c r="H17" s="39"/>
      <c r="J17" s="1">
        <v>6.5</v>
      </c>
      <c r="K17" s="1">
        <f>SUM($J$5:J17)</f>
        <v>56</v>
      </c>
      <c r="L17" s="231">
        <f t="shared" si="15"/>
        <v>0.23333333333333334</v>
      </c>
      <c r="M17" s="1">
        <v>0.96</v>
      </c>
      <c r="N17" s="1">
        <f t="shared" si="0"/>
        <v>345.59999999999997</v>
      </c>
      <c r="O17" s="1">
        <f t="shared" si="16"/>
        <v>2250</v>
      </c>
      <c r="R17" s="6" t="s">
        <v>360</v>
      </c>
      <c r="S17" s="70">
        <f t="shared" si="1"/>
        <v>1</v>
      </c>
      <c r="T17" s="70">
        <f t="shared" si="2"/>
        <v>1</v>
      </c>
      <c r="U17" s="237">
        <v>2</v>
      </c>
      <c r="V17" s="68" t="s">
        <v>397</v>
      </c>
      <c r="W17" s="6">
        <f t="shared" si="3"/>
        <v>2</v>
      </c>
      <c r="X17" s="6">
        <f t="shared" si="4"/>
        <v>1001</v>
      </c>
      <c r="Y17" s="6">
        <v>1</v>
      </c>
      <c r="Z17" s="68" t="s">
        <v>401</v>
      </c>
      <c r="AA17" s="6">
        <f t="shared" si="5"/>
        <v>2</v>
      </c>
      <c r="AB17" s="6">
        <f t="shared" si="6"/>
        <v>1004</v>
      </c>
      <c r="AC17" s="6">
        <v>1</v>
      </c>
      <c r="AE17" s="59">
        <v>13</v>
      </c>
      <c r="AF17" s="1" t="s">
        <v>360</v>
      </c>
      <c r="AG17" s="11">
        <f t="shared" si="7"/>
        <v>1</v>
      </c>
      <c r="AH17" s="11">
        <f t="shared" si="8"/>
        <v>1</v>
      </c>
      <c r="AI17" s="84">
        <v>2</v>
      </c>
      <c r="AJ17" s="84">
        <f t="shared" si="17"/>
        <v>40000</v>
      </c>
      <c r="AK17" s="1" t="str">
        <f t="shared" si="18"/>
        <v>钻石</v>
      </c>
      <c r="AL17" s="1">
        <f t="shared" si="9"/>
        <v>1</v>
      </c>
      <c r="AM17" s="1">
        <f t="shared" si="10"/>
        <v>1</v>
      </c>
      <c r="AN17" s="271">
        <v>100</v>
      </c>
      <c r="AO17" s="1">
        <f t="shared" si="19"/>
        <v>2000000</v>
      </c>
      <c r="AS17" s="1" t="str">
        <f>'抽奖|MoonBless'!DN17</f>
        <v>5元话费卡</v>
      </c>
      <c r="AT17" s="1">
        <f>'抽奖|MoonBless'!DO17</f>
        <v>5</v>
      </c>
      <c r="AU17" s="1">
        <f>'抽奖|MoonBless'!DP17</f>
        <v>100</v>
      </c>
      <c r="AV17" s="1">
        <f>'抽奖|MoonBless'!DQ17</f>
        <v>2</v>
      </c>
      <c r="AW17" s="1">
        <f>'抽奖|MoonBless'!DR17</f>
        <v>1206</v>
      </c>
      <c r="AX17" s="223">
        <f>'抽奖|MoonBless'!DS17</f>
        <v>1</v>
      </c>
      <c r="AY17" s="1">
        <f t="shared" si="20"/>
        <v>999999.99999999988</v>
      </c>
    </row>
    <row r="18" spans="1:51" ht="16.2" x14ac:dyDescent="0.35">
      <c r="A18" s="1">
        <v>14</v>
      </c>
      <c r="B18" s="84">
        <f t="shared" si="11"/>
        <v>2420</v>
      </c>
      <c r="C18" s="62" t="str">
        <f t="shared" si="12"/>
        <v>1|1|2,2|1002|1,2|1003|1</v>
      </c>
      <c r="D18" s="39" t="str">
        <f t="shared" si="13"/>
        <v/>
      </c>
      <c r="E18" s="39" t="str">
        <f t="shared" si="14"/>
        <v/>
      </c>
      <c r="F18" s="39">
        <v>0</v>
      </c>
      <c r="G18" s="39"/>
      <c r="H18" s="39"/>
      <c r="J18" s="1">
        <v>7</v>
      </c>
      <c r="K18" s="232">
        <f>SUM($J$5:J18)</f>
        <v>63</v>
      </c>
      <c r="L18" s="231">
        <f t="shared" si="15"/>
        <v>0.26250000000000001</v>
      </c>
      <c r="M18" s="1">
        <v>0.96</v>
      </c>
      <c r="N18" s="1">
        <f t="shared" si="0"/>
        <v>345.59999999999997</v>
      </c>
      <c r="O18" s="1">
        <f t="shared" si="16"/>
        <v>2420</v>
      </c>
      <c r="R18" s="6" t="s">
        <v>360</v>
      </c>
      <c r="S18" s="70">
        <f t="shared" si="1"/>
        <v>1</v>
      </c>
      <c r="T18" s="70">
        <f t="shared" si="2"/>
        <v>1</v>
      </c>
      <c r="U18" s="237">
        <v>2</v>
      </c>
      <c r="V18" s="68" t="s">
        <v>398</v>
      </c>
      <c r="W18" s="6">
        <f t="shared" si="3"/>
        <v>2</v>
      </c>
      <c r="X18" s="6">
        <f t="shared" si="4"/>
        <v>1002</v>
      </c>
      <c r="Y18" s="6">
        <v>1</v>
      </c>
      <c r="Z18" s="68" t="s">
        <v>402</v>
      </c>
      <c r="AA18" s="6">
        <f t="shared" si="5"/>
        <v>2</v>
      </c>
      <c r="AB18" s="6">
        <f t="shared" si="6"/>
        <v>1003</v>
      </c>
      <c r="AC18" s="6">
        <v>1</v>
      </c>
      <c r="AE18" s="84">
        <v>14</v>
      </c>
      <c r="AG18" s="11" t="str">
        <f t="shared" si="7"/>
        <v>物品类型</v>
      </c>
      <c r="AH18" s="11" t="str">
        <f t="shared" si="8"/>
        <v>id</v>
      </c>
      <c r="AI18" s="84" t="s">
        <v>399</v>
      </c>
      <c r="AJ18" s="84">
        <f t="shared" si="17"/>
        <v>0</v>
      </c>
      <c r="AK18" s="1">
        <f t="shared" si="18"/>
        <v>0</v>
      </c>
      <c r="AL18" s="1" t="str">
        <f t="shared" si="9"/>
        <v>物品类型</v>
      </c>
      <c r="AM18" s="1" t="str">
        <f t="shared" si="10"/>
        <v>id</v>
      </c>
      <c r="AN18" s="271"/>
      <c r="AO18" s="1">
        <f t="shared" si="19"/>
        <v>0</v>
      </c>
      <c r="AS18" s="1" t="str">
        <f>'抽奖|MoonBless'!DN18</f>
        <v>2元话费卡</v>
      </c>
      <c r="AT18" s="1">
        <f>'抽奖|MoonBless'!DO18</f>
        <v>2</v>
      </c>
      <c r="AU18" s="1">
        <f>'抽奖|MoonBless'!DP18</f>
        <v>40</v>
      </c>
      <c r="AV18" s="1">
        <f>'抽奖|MoonBless'!DQ18</f>
        <v>2</v>
      </c>
      <c r="AW18" s="1">
        <f>'抽奖|MoonBless'!DR18</f>
        <v>1205</v>
      </c>
      <c r="AX18" s="223">
        <f>'抽奖|MoonBless'!DS18</f>
        <v>1</v>
      </c>
      <c r="AY18" s="1">
        <f t="shared" si="20"/>
        <v>399999.99999999994</v>
      </c>
    </row>
    <row r="19" spans="1:51" ht="16.2" x14ac:dyDescent="0.35">
      <c r="A19" s="1">
        <v>15</v>
      </c>
      <c r="B19" s="84">
        <f t="shared" si="11"/>
        <v>3460</v>
      </c>
      <c r="C19" s="62" t="str">
        <f t="shared" si="12"/>
        <v>1|1|2,2|1001|1,2|1002|1</v>
      </c>
      <c r="D19" s="39" t="str">
        <f t="shared" si="13"/>
        <v>1|2|30000</v>
      </c>
      <c r="E19" s="39" t="str">
        <f t="shared" si="14"/>
        <v>1|2|3000000</v>
      </c>
      <c r="F19" s="39">
        <v>0</v>
      </c>
      <c r="G19" s="39"/>
      <c r="H19" s="39"/>
      <c r="J19" s="1">
        <v>10</v>
      </c>
      <c r="K19" s="1">
        <f>SUM($J$5:J19)</f>
        <v>73</v>
      </c>
      <c r="L19" s="231">
        <f t="shared" si="15"/>
        <v>0.30416666666666664</v>
      </c>
      <c r="M19" s="1">
        <v>0.96</v>
      </c>
      <c r="N19" s="1">
        <f t="shared" si="0"/>
        <v>345.59999999999997</v>
      </c>
      <c r="O19" s="1">
        <f t="shared" si="16"/>
        <v>3460</v>
      </c>
      <c r="R19" s="6" t="s">
        <v>360</v>
      </c>
      <c r="S19" s="70">
        <f t="shared" si="1"/>
        <v>1</v>
      </c>
      <c r="T19" s="70">
        <f t="shared" si="2"/>
        <v>1</v>
      </c>
      <c r="U19" s="237">
        <v>2</v>
      </c>
      <c r="V19" s="68" t="s">
        <v>397</v>
      </c>
      <c r="W19" s="6">
        <f t="shared" si="3"/>
        <v>2</v>
      </c>
      <c r="X19" s="6">
        <f t="shared" si="4"/>
        <v>1001</v>
      </c>
      <c r="Y19" s="6">
        <v>1</v>
      </c>
      <c r="Z19" s="68" t="s">
        <v>398</v>
      </c>
      <c r="AA19" s="6">
        <f t="shared" si="5"/>
        <v>2</v>
      </c>
      <c r="AB19" s="6">
        <f t="shared" si="6"/>
        <v>1002</v>
      </c>
      <c r="AC19" s="6">
        <v>1</v>
      </c>
      <c r="AE19" s="59">
        <v>15</v>
      </c>
      <c r="AF19" s="1" t="s">
        <v>375</v>
      </c>
      <c r="AG19" s="11">
        <f t="shared" si="7"/>
        <v>1</v>
      </c>
      <c r="AH19" s="11">
        <f t="shared" si="8"/>
        <v>2</v>
      </c>
      <c r="AI19" s="84">
        <v>30000</v>
      </c>
      <c r="AJ19" s="84">
        <f t="shared" si="17"/>
        <v>30000</v>
      </c>
      <c r="AK19" s="1" t="str">
        <f t="shared" si="18"/>
        <v>金币</v>
      </c>
      <c r="AL19" s="1">
        <f t="shared" si="9"/>
        <v>1</v>
      </c>
      <c r="AM19" s="1">
        <f t="shared" si="10"/>
        <v>2</v>
      </c>
      <c r="AN19" s="271">
        <v>3000000</v>
      </c>
      <c r="AO19" s="1">
        <f t="shared" si="19"/>
        <v>3000000</v>
      </c>
      <c r="AS19" s="1" t="str">
        <f>'抽奖|MoonBless'!DN19</f>
        <v>高压锅</v>
      </c>
      <c r="AT19" s="1">
        <f>'抽奖|MoonBless'!DO19</f>
        <v>200</v>
      </c>
      <c r="AU19" s="1">
        <f>'抽奖|MoonBless'!DP19</f>
        <v>4000</v>
      </c>
      <c r="AV19" s="1">
        <f>'抽奖|MoonBless'!DQ19</f>
        <v>2</v>
      </c>
      <c r="AW19" s="1">
        <f>'抽奖|MoonBless'!DR19</f>
        <v>1208</v>
      </c>
      <c r="AX19" s="223">
        <f>'抽奖|MoonBless'!DS19</f>
        <v>1</v>
      </c>
      <c r="AY19" s="1">
        <f t="shared" si="20"/>
        <v>40000000</v>
      </c>
    </row>
    <row r="20" spans="1:51" ht="16.2" x14ac:dyDescent="0.35">
      <c r="A20" s="1">
        <v>16</v>
      </c>
      <c r="B20" s="84">
        <f t="shared" si="11"/>
        <v>6910</v>
      </c>
      <c r="C20" s="62" t="str">
        <f t="shared" si="12"/>
        <v>1|1|2,2|1002|1,2|1004|1</v>
      </c>
      <c r="D20" s="39" t="str">
        <f t="shared" si="13"/>
        <v/>
      </c>
      <c r="E20" s="39" t="str">
        <f t="shared" si="14"/>
        <v/>
      </c>
      <c r="F20" s="39">
        <v>0</v>
      </c>
      <c r="G20" s="39"/>
      <c r="H20" s="39"/>
      <c r="J20" s="1">
        <v>20</v>
      </c>
      <c r="K20" s="1">
        <f>SUM($J$5:J20)</f>
        <v>93</v>
      </c>
      <c r="L20" s="231">
        <f t="shared" si="15"/>
        <v>0.38750000000000001</v>
      </c>
      <c r="M20" s="1">
        <v>0.96</v>
      </c>
      <c r="N20" s="1">
        <f t="shared" si="0"/>
        <v>345.59999999999997</v>
      </c>
      <c r="O20" s="1">
        <f t="shared" si="16"/>
        <v>6910</v>
      </c>
      <c r="R20" s="6" t="s">
        <v>360</v>
      </c>
      <c r="S20" s="70">
        <f t="shared" si="1"/>
        <v>1</v>
      </c>
      <c r="T20" s="70">
        <f t="shared" si="2"/>
        <v>1</v>
      </c>
      <c r="U20" s="237">
        <v>2</v>
      </c>
      <c r="V20" s="68" t="s">
        <v>398</v>
      </c>
      <c r="W20" s="6">
        <f t="shared" si="3"/>
        <v>2</v>
      </c>
      <c r="X20" s="6">
        <f t="shared" si="4"/>
        <v>1002</v>
      </c>
      <c r="Y20" s="6">
        <v>1</v>
      </c>
      <c r="Z20" s="68" t="s">
        <v>401</v>
      </c>
      <c r="AA20" s="6">
        <f t="shared" si="5"/>
        <v>2</v>
      </c>
      <c r="AB20" s="6">
        <f t="shared" si="6"/>
        <v>1004</v>
      </c>
      <c r="AC20" s="6">
        <v>1</v>
      </c>
      <c r="AE20" s="84">
        <v>16</v>
      </c>
      <c r="AG20" s="11" t="str">
        <f t="shared" si="7"/>
        <v>物品类型</v>
      </c>
      <c r="AH20" s="11" t="str">
        <f t="shared" si="8"/>
        <v>id</v>
      </c>
      <c r="AI20" s="84" t="s">
        <v>399</v>
      </c>
      <c r="AJ20" s="84">
        <f t="shared" si="17"/>
        <v>0</v>
      </c>
      <c r="AK20" s="1">
        <f t="shared" si="18"/>
        <v>0</v>
      </c>
      <c r="AL20" s="1" t="str">
        <f t="shared" si="9"/>
        <v>物品类型</v>
      </c>
      <c r="AM20" s="1" t="str">
        <f t="shared" si="10"/>
        <v>id</v>
      </c>
      <c r="AN20" s="271"/>
      <c r="AO20" s="1">
        <f t="shared" si="19"/>
        <v>0</v>
      </c>
      <c r="AS20" s="1" t="str">
        <f>'抽奖|MoonBless'!DN20</f>
        <v>30元话费卡</v>
      </c>
      <c r="AT20" s="1">
        <f>'抽奖|MoonBless'!DO20</f>
        <v>30</v>
      </c>
      <c r="AU20" s="1">
        <f>'抽奖|MoonBless'!DP20</f>
        <v>600</v>
      </c>
      <c r="AV20" s="1">
        <f>'抽奖|MoonBless'!DQ20</f>
        <v>2</v>
      </c>
      <c r="AW20" s="1">
        <f>'抽奖|MoonBless'!DR20</f>
        <v>1209</v>
      </c>
      <c r="AX20" s="223">
        <f>'抽奖|MoonBless'!DS20</f>
        <v>1</v>
      </c>
      <c r="AY20" s="1">
        <f t="shared" si="20"/>
        <v>5999999.9999999991</v>
      </c>
    </row>
    <row r="21" spans="1:51" ht="16.2" x14ac:dyDescent="0.35">
      <c r="A21" s="1">
        <v>17</v>
      </c>
      <c r="B21" s="84">
        <f t="shared" si="11"/>
        <v>10370</v>
      </c>
      <c r="C21" s="62" t="str">
        <f t="shared" si="12"/>
        <v>1|1|2,2|1001|1,2|1004|1</v>
      </c>
      <c r="D21" s="39" t="str">
        <f t="shared" si="13"/>
        <v/>
      </c>
      <c r="E21" s="39" t="str">
        <f t="shared" si="14"/>
        <v/>
      </c>
      <c r="F21" s="39">
        <v>0</v>
      </c>
      <c r="G21" s="39"/>
      <c r="H21" s="39"/>
      <c r="J21" s="1">
        <v>30</v>
      </c>
      <c r="K21" s="1">
        <f>SUM($J$5:J21)</f>
        <v>123</v>
      </c>
      <c r="L21" s="231">
        <f t="shared" si="15"/>
        <v>0.51249999999999996</v>
      </c>
      <c r="M21" s="1">
        <v>0.96</v>
      </c>
      <c r="N21" s="1">
        <f t="shared" si="0"/>
        <v>345.59999999999997</v>
      </c>
      <c r="O21" s="1">
        <f t="shared" si="16"/>
        <v>10370</v>
      </c>
      <c r="R21" s="6" t="s">
        <v>360</v>
      </c>
      <c r="S21" s="70">
        <f t="shared" si="1"/>
        <v>1</v>
      </c>
      <c r="T21" s="70">
        <f t="shared" si="2"/>
        <v>1</v>
      </c>
      <c r="U21" s="237">
        <v>2</v>
      </c>
      <c r="V21" s="68" t="s">
        <v>397</v>
      </c>
      <c r="W21" s="6">
        <f t="shared" si="3"/>
        <v>2</v>
      </c>
      <c r="X21" s="6">
        <f t="shared" si="4"/>
        <v>1001</v>
      </c>
      <c r="Y21" s="6">
        <v>1</v>
      </c>
      <c r="Z21" s="68" t="s">
        <v>401</v>
      </c>
      <c r="AA21" s="6">
        <f t="shared" si="5"/>
        <v>2</v>
      </c>
      <c r="AB21" s="6">
        <f t="shared" si="6"/>
        <v>1004</v>
      </c>
      <c r="AC21" s="6">
        <v>1</v>
      </c>
      <c r="AE21" s="84">
        <v>17</v>
      </c>
      <c r="AG21" s="11" t="str">
        <f t="shared" si="7"/>
        <v>物品类型</v>
      </c>
      <c r="AH21" s="11" t="str">
        <f t="shared" si="8"/>
        <v>id</v>
      </c>
      <c r="AI21" s="84" t="s">
        <v>399</v>
      </c>
      <c r="AJ21" s="84">
        <f t="shared" si="17"/>
        <v>0</v>
      </c>
      <c r="AK21" s="1">
        <f t="shared" si="18"/>
        <v>0</v>
      </c>
      <c r="AL21" s="1" t="str">
        <f t="shared" si="9"/>
        <v>物品类型</v>
      </c>
      <c r="AM21" s="1" t="str">
        <f t="shared" si="10"/>
        <v>id</v>
      </c>
      <c r="AN21" s="271"/>
      <c r="AO21" s="1">
        <f t="shared" si="19"/>
        <v>0</v>
      </c>
      <c r="AS21" s="1" t="str">
        <f>'抽奖|MoonBless'!DN21</f>
        <v>50元话费卡</v>
      </c>
      <c r="AT21" s="1">
        <f>'抽奖|MoonBless'!DO21</f>
        <v>50</v>
      </c>
      <c r="AU21" s="1">
        <f>'抽奖|MoonBless'!DP21</f>
        <v>1000</v>
      </c>
      <c r="AV21" s="1">
        <f>'抽奖|MoonBless'!DQ21</f>
        <v>2</v>
      </c>
      <c r="AW21" s="1">
        <f>'抽奖|MoonBless'!DR21</f>
        <v>1210</v>
      </c>
      <c r="AX21" s="223">
        <f>'抽奖|MoonBless'!DS21</f>
        <v>1</v>
      </c>
      <c r="AY21" s="1">
        <f t="shared" si="20"/>
        <v>10000000</v>
      </c>
    </row>
    <row r="22" spans="1:51" ht="16.2" x14ac:dyDescent="0.35">
      <c r="A22" s="1">
        <v>18</v>
      </c>
      <c r="B22" s="84">
        <f t="shared" si="11"/>
        <v>12100</v>
      </c>
      <c r="C22" s="62" t="str">
        <f t="shared" si="12"/>
        <v>1|1|2,2|1002|1,2|1004|1</v>
      </c>
      <c r="D22" s="39" t="str">
        <f t="shared" si="13"/>
        <v>1|2|50000</v>
      </c>
      <c r="E22" s="39" t="str">
        <f t="shared" si="14"/>
        <v>1|2|4000000</v>
      </c>
      <c r="F22" s="39">
        <v>0</v>
      </c>
      <c r="G22" s="39"/>
      <c r="H22" s="39"/>
      <c r="J22" s="1">
        <v>35</v>
      </c>
      <c r="K22" s="1">
        <f>SUM($J$5:J22)</f>
        <v>158</v>
      </c>
      <c r="L22" s="231">
        <f t="shared" si="15"/>
        <v>0.65833333333333333</v>
      </c>
      <c r="M22" s="1">
        <v>0.96</v>
      </c>
      <c r="N22" s="1">
        <f t="shared" si="0"/>
        <v>345.59999999999997</v>
      </c>
      <c r="O22" s="1">
        <f t="shared" si="16"/>
        <v>12100</v>
      </c>
      <c r="R22" s="6" t="s">
        <v>360</v>
      </c>
      <c r="S22" s="70">
        <f t="shared" si="1"/>
        <v>1</v>
      </c>
      <c r="T22" s="70">
        <f t="shared" si="2"/>
        <v>1</v>
      </c>
      <c r="U22" s="237">
        <v>2</v>
      </c>
      <c r="V22" s="68" t="s">
        <v>398</v>
      </c>
      <c r="W22" s="6">
        <f t="shared" si="3"/>
        <v>2</v>
      </c>
      <c r="X22" s="6">
        <f t="shared" si="4"/>
        <v>1002</v>
      </c>
      <c r="Y22" s="6">
        <v>1</v>
      </c>
      <c r="Z22" s="68" t="s">
        <v>401</v>
      </c>
      <c r="AA22" s="6">
        <f t="shared" si="5"/>
        <v>2</v>
      </c>
      <c r="AB22" s="6">
        <f t="shared" si="6"/>
        <v>1004</v>
      </c>
      <c r="AC22" s="6">
        <v>1</v>
      </c>
      <c r="AE22" s="59">
        <v>18</v>
      </c>
      <c r="AF22" s="1" t="s">
        <v>375</v>
      </c>
      <c r="AG22" s="11">
        <f t="shared" si="7"/>
        <v>1</v>
      </c>
      <c r="AH22" s="11">
        <f t="shared" si="8"/>
        <v>2</v>
      </c>
      <c r="AI22" s="84">
        <v>50000</v>
      </c>
      <c r="AJ22" s="84">
        <f t="shared" si="17"/>
        <v>50000</v>
      </c>
      <c r="AK22" s="1" t="str">
        <f t="shared" si="18"/>
        <v>金币</v>
      </c>
      <c r="AL22" s="1">
        <f t="shared" si="9"/>
        <v>1</v>
      </c>
      <c r="AM22" s="1">
        <f t="shared" si="10"/>
        <v>2</v>
      </c>
      <c r="AN22" s="271">
        <v>4000000</v>
      </c>
      <c r="AO22" s="1">
        <f t="shared" si="19"/>
        <v>4000000</v>
      </c>
      <c r="AS22" s="1" t="str">
        <f>'抽奖|MoonBless'!DN22</f>
        <v>活跃度</v>
      </c>
      <c r="AT22" s="1">
        <f>'抽奖|MoonBless'!DO22</f>
        <v>1</v>
      </c>
      <c r="AU22" s="1">
        <f>'抽奖|MoonBless'!DP22</f>
        <v>20</v>
      </c>
      <c r="AV22" s="1">
        <f>'抽奖|MoonBless'!DQ22</f>
        <v>1</v>
      </c>
      <c r="AW22" s="1">
        <f>'抽奖|MoonBless'!DR22</f>
        <v>6</v>
      </c>
      <c r="AX22" s="223">
        <f>'抽奖|MoonBless'!DS22</f>
        <v>1</v>
      </c>
      <c r="AY22" s="1">
        <f t="shared" si="20"/>
        <v>199999.99999999997</v>
      </c>
    </row>
    <row r="23" spans="1:51" ht="16.2" x14ac:dyDescent="0.35">
      <c r="A23" s="1">
        <v>19</v>
      </c>
      <c r="B23" s="84">
        <f t="shared" si="11"/>
        <v>13820</v>
      </c>
      <c r="C23" s="62" t="str">
        <f t="shared" si="12"/>
        <v>1|1|2,2|1001|1,2|1003|1</v>
      </c>
      <c r="D23" s="39" t="str">
        <f t="shared" si="13"/>
        <v/>
      </c>
      <c r="E23" s="39" t="str">
        <f t="shared" si="14"/>
        <v/>
      </c>
      <c r="F23" s="39">
        <v>0</v>
      </c>
      <c r="G23" s="39"/>
      <c r="H23" s="39"/>
      <c r="J23" s="1">
        <v>40</v>
      </c>
      <c r="K23" s="1">
        <f>SUM($J$5:J23)</f>
        <v>198</v>
      </c>
      <c r="L23" s="231">
        <f t="shared" si="15"/>
        <v>0.82499999999999996</v>
      </c>
      <c r="M23" s="1">
        <v>0.96</v>
      </c>
      <c r="N23" s="1">
        <f t="shared" si="0"/>
        <v>345.59999999999997</v>
      </c>
      <c r="O23" s="1">
        <f t="shared" si="16"/>
        <v>13820</v>
      </c>
      <c r="R23" s="6" t="s">
        <v>360</v>
      </c>
      <c r="S23" s="70">
        <f t="shared" si="1"/>
        <v>1</v>
      </c>
      <c r="T23" s="70">
        <f t="shared" si="2"/>
        <v>1</v>
      </c>
      <c r="U23" s="237">
        <v>2</v>
      </c>
      <c r="V23" s="68" t="s">
        <v>397</v>
      </c>
      <c r="W23" s="6">
        <f t="shared" si="3"/>
        <v>2</v>
      </c>
      <c r="X23" s="6">
        <f t="shared" si="4"/>
        <v>1001</v>
      </c>
      <c r="Y23" s="6">
        <v>1</v>
      </c>
      <c r="Z23" s="68" t="s">
        <v>402</v>
      </c>
      <c r="AA23" s="6">
        <f t="shared" si="5"/>
        <v>2</v>
      </c>
      <c r="AB23" s="6">
        <f t="shared" si="6"/>
        <v>1003</v>
      </c>
      <c r="AC23" s="6">
        <v>1</v>
      </c>
      <c r="AE23" s="84">
        <v>19</v>
      </c>
      <c r="AG23" s="11" t="str">
        <f t="shared" si="7"/>
        <v>物品类型</v>
      </c>
      <c r="AH23" s="11" t="str">
        <f t="shared" si="8"/>
        <v>id</v>
      </c>
      <c r="AI23" s="84" t="s">
        <v>399</v>
      </c>
      <c r="AJ23" s="84">
        <f t="shared" si="17"/>
        <v>0</v>
      </c>
      <c r="AK23" s="1">
        <f t="shared" si="18"/>
        <v>0</v>
      </c>
      <c r="AL23" s="1" t="str">
        <f t="shared" si="9"/>
        <v>物品类型</v>
      </c>
      <c r="AM23" s="1" t="str">
        <f t="shared" si="10"/>
        <v>id</v>
      </c>
      <c r="AN23" s="271"/>
      <c r="AO23" s="1">
        <f t="shared" si="19"/>
        <v>0</v>
      </c>
      <c r="AS23" s="1" t="str">
        <f>'抽奖|MoonBless'!DN23</f>
        <v>红包【恭】</v>
      </c>
      <c r="AT23" s="1">
        <f>'抽奖|MoonBless'!DO23</f>
        <v>1</v>
      </c>
      <c r="AU23" s="1">
        <f>'抽奖|MoonBless'!DP23</f>
        <v>20</v>
      </c>
      <c r="AV23" s="1">
        <f>'抽奖|MoonBless'!DQ23</f>
        <v>2</v>
      </c>
      <c r="AW23" s="1">
        <f>'抽奖|MoonBless'!DR23</f>
        <v>1301</v>
      </c>
      <c r="AX23" s="223">
        <f>'抽奖|MoonBless'!DS23</f>
        <v>1</v>
      </c>
      <c r="AY23" s="1">
        <f t="shared" si="20"/>
        <v>199999.99999999997</v>
      </c>
    </row>
    <row r="24" spans="1:51" ht="16.2" x14ac:dyDescent="0.35">
      <c r="A24" s="1">
        <v>20</v>
      </c>
      <c r="B24" s="84">
        <f t="shared" si="11"/>
        <v>15550</v>
      </c>
      <c r="C24" s="39"/>
      <c r="D24" s="39" t="str">
        <f t="shared" si="13"/>
        <v>1|2|75000</v>
      </c>
      <c r="E24" s="39" t="str">
        <f t="shared" si="14"/>
        <v>2|1007|1</v>
      </c>
      <c r="F24" s="39">
        <v>0</v>
      </c>
      <c r="G24" s="39"/>
      <c r="H24" s="39"/>
      <c r="J24" s="1">
        <v>45</v>
      </c>
      <c r="K24" s="1">
        <f>SUM($J$5:J24)</f>
        <v>243</v>
      </c>
      <c r="L24" s="231">
        <f t="shared" si="15"/>
        <v>1.0125</v>
      </c>
      <c r="M24" s="1">
        <v>0.96</v>
      </c>
      <c r="N24" s="1">
        <f t="shared" si="0"/>
        <v>345.59999999999997</v>
      </c>
      <c r="O24" s="1">
        <f t="shared" si="16"/>
        <v>15550</v>
      </c>
      <c r="R24" s="6" t="s">
        <v>360</v>
      </c>
      <c r="S24" s="70">
        <f t="shared" si="1"/>
        <v>1</v>
      </c>
      <c r="T24" s="70">
        <f t="shared" si="2"/>
        <v>1</v>
      </c>
      <c r="U24" s="237">
        <v>2</v>
      </c>
      <c r="V24" s="68" t="s">
        <v>398</v>
      </c>
      <c r="W24" s="6">
        <f t="shared" si="3"/>
        <v>2</v>
      </c>
      <c r="X24" s="6">
        <f t="shared" si="4"/>
        <v>1002</v>
      </c>
      <c r="Y24" s="6">
        <v>1</v>
      </c>
      <c r="Z24" s="68" t="s">
        <v>401</v>
      </c>
      <c r="AA24" s="6">
        <f t="shared" si="5"/>
        <v>2</v>
      </c>
      <c r="AB24" s="6">
        <f t="shared" si="6"/>
        <v>1004</v>
      </c>
      <c r="AC24" s="6">
        <v>1</v>
      </c>
      <c r="AE24" s="59">
        <v>20</v>
      </c>
      <c r="AF24" s="1" t="s">
        <v>375</v>
      </c>
      <c r="AG24" s="11">
        <f t="shared" si="7"/>
        <v>1</v>
      </c>
      <c r="AH24" s="11">
        <f t="shared" si="8"/>
        <v>2</v>
      </c>
      <c r="AI24" s="84">
        <v>75000</v>
      </c>
      <c r="AJ24" s="84">
        <f t="shared" si="17"/>
        <v>75000</v>
      </c>
      <c r="AK24" s="1" t="s">
        <v>374</v>
      </c>
      <c r="AL24" s="1">
        <f t="shared" si="9"/>
        <v>2</v>
      </c>
      <c r="AM24" s="1">
        <f t="shared" si="10"/>
        <v>1007</v>
      </c>
      <c r="AN24" s="272">
        <v>1</v>
      </c>
      <c r="AO24" s="1">
        <f t="shared" si="19"/>
        <v>5000000</v>
      </c>
      <c r="AS24" s="1" t="str">
        <f>'抽奖|MoonBless'!DN24</f>
        <v>红包【喜】</v>
      </c>
      <c r="AT24" s="1">
        <f>'抽奖|MoonBless'!DO24</f>
        <v>1</v>
      </c>
      <c r="AU24" s="1">
        <f>'抽奖|MoonBless'!DP24</f>
        <v>20</v>
      </c>
      <c r="AV24" s="1">
        <f>'抽奖|MoonBless'!DQ24</f>
        <v>2</v>
      </c>
      <c r="AW24" s="1">
        <f>'抽奖|MoonBless'!DR24</f>
        <v>1302</v>
      </c>
      <c r="AX24" s="223">
        <f>'抽奖|MoonBless'!DS24</f>
        <v>1</v>
      </c>
      <c r="AY24" s="1">
        <f t="shared" si="20"/>
        <v>199999.99999999997</v>
      </c>
    </row>
    <row r="25" spans="1:51" ht="16.2" x14ac:dyDescent="0.35">
      <c r="A25" s="1">
        <v>21</v>
      </c>
      <c r="B25" s="84">
        <f t="shared" si="11"/>
        <v>17280</v>
      </c>
      <c r="C25" s="39"/>
      <c r="D25" s="39" t="str">
        <f t="shared" si="13"/>
        <v/>
      </c>
      <c r="E25" s="39" t="str">
        <f t="shared" si="14"/>
        <v/>
      </c>
      <c r="F25" s="39">
        <v>0</v>
      </c>
      <c r="G25" s="39"/>
      <c r="H25" s="39"/>
      <c r="J25" s="1">
        <v>50</v>
      </c>
      <c r="K25" s="1">
        <f>SUM($J$5:J25)</f>
        <v>293</v>
      </c>
      <c r="L25" s="231">
        <f t="shared" si="15"/>
        <v>1.2208333333333334</v>
      </c>
      <c r="M25" s="1">
        <v>0.96</v>
      </c>
      <c r="N25" s="1">
        <f t="shared" si="0"/>
        <v>345.59999999999997</v>
      </c>
      <c r="O25" s="1">
        <f t="shared" si="16"/>
        <v>17280</v>
      </c>
      <c r="R25" s="6" t="s">
        <v>360</v>
      </c>
      <c r="S25" s="70">
        <f t="shared" si="1"/>
        <v>1</v>
      </c>
      <c r="T25" s="70">
        <f t="shared" si="2"/>
        <v>1</v>
      </c>
      <c r="U25" s="237">
        <v>2</v>
      </c>
      <c r="V25" s="68" t="s">
        <v>397</v>
      </c>
      <c r="W25" s="6">
        <f t="shared" si="3"/>
        <v>2</v>
      </c>
      <c r="X25" s="6">
        <f t="shared" si="4"/>
        <v>1001</v>
      </c>
      <c r="Y25" s="6">
        <v>1</v>
      </c>
      <c r="Z25" s="68" t="s">
        <v>398</v>
      </c>
      <c r="AA25" s="6">
        <f t="shared" si="5"/>
        <v>2</v>
      </c>
      <c r="AB25" s="6">
        <f t="shared" si="6"/>
        <v>1002</v>
      </c>
      <c r="AC25" s="6">
        <v>1</v>
      </c>
      <c r="AE25" s="84">
        <v>21</v>
      </c>
      <c r="AG25" s="11" t="str">
        <f t="shared" si="7"/>
        <v>物品类型</v>
      </c>
      <c r="AH25" s="11" t="str">
        <f t="shared" si="8"/>
        <v>id</v>
      </c>
      <c r="AI25" s="84" t="s">
        <v>399</v>
      </c>
      <c r="AJ25" s="84">
        <f t="shared" si="17"/>
        <v>0</v>
      </c>
      <c r="AK25" s="1">
        <f t="shared" si="18"/>
        <v>0</v>
      </c>
      <c r="AL25" s="1" t="str">
        <f t="shared" si="9"/>
        <v>物品类型</v>
      </c>
      <c r="AM25" s="1" t="str">
        <f t="shared" si="10"/>
        <v>id</v>
      </c>
      <c r="AN25" s="271"/>
      <c r="AO25" s="1">
        <f t="shared" si="19"/>
        <v>0</v>
      </c>
      <c r="AS25" s="1" t="str">
        <f>'抽奖|MoonBless'!DN25</f>
        <v>红包【发】</v>
      </c>
      <c r="AT25" s="1">
        <f>'抽奖|MoonBless'!DO25</f>
        <v>1</v>
      </c>
      <c r="AU25" s="1">
        <f>'抽奖|MoonBless'!DP25</f>
        <v>20</v>
      </c>
      <c r="AV25" s="1">
        <f>'抽奖|MoonBless'!DQ25</f>
        <v>2</v>
      </c>
      <c r="AW25" s="1">
        <f>'抽奖|MoonBless'!DR25</f>
        <v>1303</v>
      </c>
      <c r="AX25" s="223">
        <f>'抽奖|MoonBless'!DS25</f>
        <v>1</v>
      </c>
      <c r="AY25" s="1">
        <f t="shared" si="20"/>
        <v>199999.99999999997</v>
      </c>
    </row>
    <row r="26" spans="1:51" ht="16.2" x14ac:dyDescent="0.35">
      <c r="A26" s="1">
        <v>22</v>
      </c>
      <c r="B26" s="84">
        <f t="shared" si="11"/>
        <v>19010</v>
      </c>
      <c r="C26" s="39"/>
      <c r="D26" s="39" t="str">
        <f t="shared" si="13"/>
        <v/>
      </c>
      <c r="E26" s="39" t="str">
        <f t="shared" si="14"/>
        <v/>
      </c>
      <c r="F26" s="39">
        <v>0</v>
      </c>
      <c r="G26" s="39"/>
      <c r="H26" s="39"/>
      <c r="J26" s="1">
        <v>55</v>
      </c>
      <c r="K26" s="1">
        <f>SUM($J$5:J26)</f>
        <v>348</v>
      </c>
      <c r="L26" s="231">
        <f t="shared" si="15"/>
        <v>1.45</v>
      </c>
      <c r="M26" s="1">
        <v>0.96</v>
      </c>
      <c r="N26" s="1">
        <f t="shared" si="0"/>
        <v>345.59999999999997</v>
      </c>
      <c r="O26" s="1">
        <f t="shared" si="16"/>
        <v>19010</v>
      </c>
      <c r="R26" s="6" t="s">
        <v>360</v>
      </c>
      <c r="S26" s="70">
        <f t="shared" si="1"/>
        <v>1</v>
      </c>
      <c r="T26" s="70">
        <f t="shared" si="2"/>
        <v>1</v>
      </c>
      <c r="U26" s="237">
        <v>2</v>
      </c>
      <c r="V26" s="68" t="s">
        <v>398</v>
      </c>
      <c r="W26" s="6">
        <f t="shared" si="3"/>
        <v>2</v>
      </c>
      <c r="X26" s="6">
        <f t="shared" si="4"/>
        <v>1002</v>
      </c>
      <c r="Y26" s="6">
        <v>1</v>
      </c>
      <c r="Z26" s="68" t="s">
        <v>401</v>
      </c>
      <c r="AA26" s="6">
        <f t="shared" si="5"/>
        <v>2</v>
      </c>
      <c r="AB26" s="6">
        <f t="shared" si="6"/>
        <v>1004</v>
      </c>
      <c r="AC26" s="6">
        <v>1</v>
      </c>
      <c r="AE26" s="84">
        <v>22</v>
      </c>
      <c r="AG26" s="11" t="str">
        <f t="shared" si="7"/>
        <v>物品类型</v>
      </c>
      <c r="AH26" s="11" t="str">
        <f t="shared" si="8"/>
        <v>id</v>
      </c>
      <c r="AI26" s="84" t="s">
        <v>399</v>
      </c>
      <c r="AJ26" s="84">
        <f t="shared" si="17"/>
        <v>0</v>
      </c>
      <c r="AK26" s="1">
        <f t="shared" si="18"/>
        <v>0</v>
      </c>
      <c r="AL26" s="1" t="str">
        <f t="shared" si="9"/>
        <v>物品类型</v>
      </c>
      <c r="AM26" s="1" t="str">
        <f t="shared" si="10"/>
        <v>id</v>
      </c>
      <c r="AN26" s="271"/>
      <c r="AO26" s="1">
        <f t="shared" si="19"/>
        <v>0</v>
      </c>
      <c r="AS26" s="1" t="str">
        <f>'抽奖|MoonBless'!DN26</f>
        <v>红包【财】</v>
      </c>
      <c r="AT26" s="1">
        <f>'抽奖|MoonBless'!DO26</f>
        <v>1</v>
      </c>
      <c r="AU26" s="1">
        <f>'抽奖|MoonBless'!DP26</f>
        <v>20</v>
      </c>
      <c r="AV26" s="1">
        <f>'抽奖|MoonBless'!DQ26</f>
        <v>2</v>
      </c>
      <c r="AW26" s="1">
        <f>'抽奖|MoonBless'!DR26</f>
        <v>1304</v>
      </c>
      <c r="AX26" s="223">
        <f>'抽奖|MoonBless'!DS26</f>
        <v>1</v>
      </c>
      <c r="AY26" s="1">
        <f t="shared" si="20"/>
        <v>199999.99999999997</v>
      </c>
    </row>
    <row r="27" spans="1:51" ht="16.2" x14ac:dyDescent="0.35">
      <c r="A27" s="1">
        <v>23</v>
      </c>
      <c r="B27" s="84">
        <f t="shared" si="11"/>
        <v>20740</v>
      </c>
      <c r="C27" s="39"/>
      <c r="D27" s="39" t="str">
        <f t="shared" si="13"/>
        <v>1|2|100000</v>
      </c>
      <c r="E27" s="39" t="str">
        <f t="shared" si="14"/>
        <v>1|2|6000000</v>
      </c>
      <c r="F27" s="39">
        <v>0</v>
      </c>
      <c r="G27" s="39"/>
      <c r="H27" s="39"/>
      <c r="J27" s="1">
        <v>60</v>
      </c>
      <c r="K27" s="1">
        <f>SUM($J$5:J27)</f>
        <v>408</v>
      </c>
      <c r="L27" s="231">
        <f t="shared" si="15"/>
        <v>1.7</v>
      </c>
      <c r="M27" s="1">
        <v>0.96</v>
      </c>
      <c r="N27" s="1">
        <f t="shared" si="0"/>
        <v>345.59999999999997</v>
      </c>
      <c r="O27" s="1">
        <f t="shared" si="16"/>
        <v>20740</v>
      </c>
      <c r="R27" s="6" t="s">
        <v>360</v>
      </c>
      <c r="S27" s="70">
        <f t="shared" si="1"/>
        <v>1</v>
      </c>
      <c r="T27" s="70">
        <f t="shared" si="2"/>
        <v>1</v>
      </c>
      <c r="U27" s="237">
        <v>2</v>
      </c>
      <c r="V27" s="68" t="s">
        <v>397</v>
      </c>
      <c r="W27" s="6">
        <f t="shared" si="3"/>
        <v>2</v>
      </c>
      <c r="X27" s="6">
        <f t="shared" si="4"/>
        <v>1001</v>
      </c>
      <c r="Y27" s="6">
        <v>1</v>
      </c>
      <c r="Z27" s="68" t="s">
        <v>401</v>
      </c>
      <c r="AA27" s="6">
        <f t="shared" si="5"/>
        <v>2</v>
      </c>
      <c r="AB27" s="6">
        <f t="shared" si="6"/>
        <v>1004</v>
      </c>
      <c r="AC27" s="6">
        <v>1</v>
      </c>
      <c r="AE27" s="59">
        <v>23</v>
      </c>
      <c r="AF27" s="1" t="s">
        <v>375</v>
      </c>
      <c r="AG27" s="11">
        <f t="shared" si="7"/>
        <v>1</v>
      </c>
      <c r="AH27" s="11">
        <f t="shared" si="8"/>
        <v>2</v>
      </c>
      <c r="AI27" s="84">
        <v>100000</v>
      </c>
      <c r="AJ27" s="84">
        <f t="shared" si="17"/>
        <v>100000</v>
      </c>
      <c r="AK27" s="1" t="str">
        <f t="shared" si="18"/>
        <v>金币</v>
      </c>
      <c r="AL27" s="1">
        <f t="shared" si="9"/>
        <v>1</v>
      </c>
      <c r="AM27" s="1">
        <f t="shared" si="10"/>
        <v>2</v>
      </c>
      <c r="AN27" s="271">
        <v>6000000</v>
      </c>
      <c r="AO27" s="1">
        <f t="shared" si="19"/>
        <v>6000000</v>
      </c>
      <c r="AS27" s="1" t="str">
        <f>'抽奖|MoonBless'!DN27</f>
        <v>双轮</v>
      </c>
      <c r="AT27" s="1">
        <f>'抽奖|MoonBless'!DO27</f>
        <v>30</v>
      </c>
      <c r="AU27" s="1">
        <f>'抽奖|MoonBless'!DP27</f>
        <v>600</v>
      </c>
      <c r="AV27" s="1">
        <f>'抽奖|MoonBless'!DQ27</f>
        <v>2</v>
      </c>
      <c r="AW27" s="1">
        <f>'抽奖|MoonBless'!DR27</f>
        <v>1500</v>
      </c>
      <c r="AX27" s="223">
        <f>'抽奖|MoonBless'!DS27</f>
        <v>1</v>
      </c>
      <c r="AY27" s="1">
        <f t="shared" si="20"/>
        <v>5999999.9999999991</v>
      </c>
    </row>
    <row r="28" spans="1:51" ht="16.2" x14ac:dyDescent="0.35">
      <c r="A28" s="1">
        <v>24</v>
      </c>
      <c r="B28" s="84">
        <f t="shared" si="11"/>
        <v>22460</v>
      </c>
      <c r="C28" s="39"/>
      <c r="D28" s="39" t="str">
        <f t="shared" si="13"/>
        <v/>
      </c>
      <c r="E28" s="39" t="str">
        <f t="shared" si="14"/>
        <v/>
      </c>
      <c r="F28" s="39">
        <v>0</v>
      </c>
      <c r="G28" s="39"/>
      <c r="H28" s="39"/>
      <c r="J28" s="1">
        <v>65</v>
      </c>
      <c r="K28" s="1">
        <f>SUM($J$5:J28)</f>
        <v>473</v>
      </c>
      <c r="L28" s="231">
        <f t="shared" si="15"/>
        <v>1.9708333333333334</v>
      </c>
      <c r="M28" s="1">
        <v>0.96</v>
      </c>
      <c r="N28" s="1">
        <f t="shared" si="0"/>
        <v>345.59999999999997</v>
      </c>
      <c r="O28" s="1">
        <f t="shared" si="16"/>
        <v>22460</v>
      </c>
      <c r="R28" s="6" t="s">
        <v>360</v>
      </c>
      <c r="S28" s="70">
        <f t="shared" si="1"/>
        <v>1</v>
      </c>
      <c r="T28" s="70">
        <f t="shared" si="2"/>
        <v>1</v>
      </c>
      <c r="U28" s="237">
        <v>2</v>
      </c>
      <c r="V28" s="68" t="s">
        <v>398</v>
      </c>
      <c r="W28" s="6">
        <f t="shared" si="3"/>
        <v>2</v>
      </c>
      <c r="X28" s="6">
        <f t="shared" si="4"/>
        <v>1002</v>
      </c>
      <c r="Y28" s="6">
        <v>1</v>
      </c>
      <c r="Z28" s="68" t="s">
        <v>402</v>
      </c>
      <c r="AA28" s="6">
        <f t="shared" si="5"/>
        <v>2</v>
      </c>
      <c r="AB28" s="6">
        <f t="shared" si="6"/>
        <v>1003</v>
      </c>
      <c r="AC28" s="6">
        <v>1</v>
      </c>
      <c r="AE28" s="84">
        <v>24</v>
      </c>
      <c r="AG28" s="11" t="str">
        <f t="shared" si="7"/>
        <v>物品类型</v>
      </c>
      <c r="AH28" s="11" t="str">
        <f t="shared" si="8"/>
        <v>id</v>
      </c>
      <c r="AI28" s="84" t="s">
        <v>399</v>
      </c>
      <c r="AJ28" s="84">
        <f t="shared" si="17"/>
        <v>0</v>
      </c>
      <c r="AK28" s="1">
        <f t="shared" si="18"/>
        <v>0</v>
      </c>
      <c r="AL28" s="1" t="str">
        <f t="shared" si="9"/>
        <v>物品类型</v>
      </c>
      <c r="AM28" s="1" t="str">
        <f t="shared" si="10"/>
        <v>id</v>
      </c>
      <c r="AN28" s="271"/>
      <c r="AO28" s="1">
        <f t="shared" si="19"/>
        <v>0</v>
      </c>
      <c r="AS28" s="1" t="str">
        <f>'抽奖|MoonBless'!DN28</f>
        <v>橄榄油</v>
      </c>
      <c r="AT28" s="1">
        <f>'抽奖|MoonBless'!DO28</f>
        <v>60</v>
      </c>
      <c r="AU28" s="1">
        <f>'抽奖|MoonBless'!DP28</f>
        <v>1200</v>
      </c>
      <c r="AV28" s="1">
        <f>'抽奖|MoonBless'!DQ28</f>
        <v>2</v>
      </c>
      <c r="AW28" s="1">
        <f>'抽奖|MoonBless'!DR28</f>
        <v>1503</v>
      </c>
      <c r="AX28" s="223">
        <f>'抽奖|MoonBless'!DS28</f>
        <v>1</v>
      </c>
      <c r="AY28" s="1">
        <f t="shared" si="20"/>
        <v>11999999.999999998</v>
      </c>
    </row>
    <row r="29" spans="1:51" ht="16.2" x14ac:dyDescent="0.35">
      <c r="A29" s="1">
        <v>25</v>
      </c>
      <c r="B29" s="84">
        <f t="shared" si="11"/>
        <v>24190</v>
      </c>
      <c r="C29" s="39"/>
      <c r="D29" s="39" t="str">
        <f t="shared" si="13"/>
        <v>1|1|5</v>
      </c>
      <c r="E29" s="39" t="str">
        <f t="shared" si="14"/>
        <v>1|1|350</v>
      </c>
      <c r="F29" s="39">
        <v>0</v>
      </c>
      <c r="G29" s="39"/>
      <c r="H29" s="39"/>
      <c r="J29" s="1">
        <v>70</v>
      </c>
      <c r="K29" s="1">
        <f>SUM($J$5:J29)</f>
        <v>543</v>
      </c>
      <c r="L29" s="231">
        <f t="shared" si="15"/>
        <v>2.2625000000000002</v>
      </c>
      <c r="M29" s="1">
        <v>0.96</v>
      </c>
      <c r="N29" s="1">
        <f t="shared" si="0"/>
        <v>345.59999999999997</v>
      </c>
      <c r="O29" s="1">
        <f t="shared" si="16"/>
        <v>24190</v>
      </c>
      <c r="R29" s="6" t="s">
        <v>360</v>
      </c>
      <c r="S29" s="70">
        <f t="shared" si="1"/>
        <v>1</v>
      </c>
      <c r="T29" s="70">
        <f t="shared" si="2"/>
        <v>1</v>
      </c>
      <c r="U29" s="237">
        <v>2</v>
      </c>
      <c r="V29" s="68" t="s">
        <v>397</v>
      </c>
      <c r="W29" s="6">
        <f t="shared" si="3"/>
        <v>2</v>
      </c>
      <c r="X29" s="6">
        <f t="shared" si="4"/>
        <v>1001</v>
      </c>
      <c r="Y29" s="6">
        <v>1</v>
      </c>
      <c r="Z29" s="68" t="s">
        <v>398</v>
      </c>
      <c r="AA29" s="6">
        <f t="shared" si="5"/>
        <v>2</v>
      </c>
      <c r="AB29" s="6">
        <f t="shared" si="6"/>
        <v>1002</v>
      </c>
      <c r="AC29" s="6">
        <v>1</v>
      </c>
      <c r="AE29" s="59">
        <v>25</v>
      </c>
      <c r="AF29" s="1" t="s">
        <v>360</v>
      </c>
      <c r="AG29" s="11">
        <f t="shared" si="7"/>
        <v>1</v>
      </c>
      <c r="AH29" s="11">
        <f t="shared" si="8"/>
        <v>1</v>
      </c>
      <c r="AI29" s="84">
        <v>5</v>
      </c>
      <c r="AJ29" s="84">
        <f t="shared" si="17"/>
        <v>100000</v>
      </c>
      <c r="AK29" s="1" t="str">
        <f t="shared" si="18"/>
        <v>钻石</v>
      </c>
      <c r="AL29" s="1">
        <f t="shared" si="9"/>
        <v>1</v>
      </c>
      <c r="AM29" s="1">
        <f t="shared" si="10"/>
        <v>1</v>
      </c>
      <c r="AN29" s="271">
        <v>350</v>
      </c>
      <c r="AO29" s="1">
        <f t="shared" si="19"/>
        <v>7000000</v>
      </c>
      <c r="AS29" s="1" t="str">
        <f>'抽奖|MoonBless'!DN29</f>
        <v>米面礼包</v>
      </c>
      <c r="AT29" s="1">
        <f>'抽奖|MoonBless'!DO29</f>
        <v>82.5</v>
      </c>
      <c r="AU29" s="1">
        <f>'抽奖|MoonBless'!DP29</f>
        <v>1650</v>
      </c>
      <c r="AV29" s="1">
        <f>'抽奖|MoonBless'!DQ29</f>
        <v>2</v>
      </c>
      <c r="AW29" s="1">
        <f>'抽奖|MoonBless'!DR29</f>
        <v>1504</v>
      </c>
      <c r="AX29" s="223">
        <f>'抽奖|MoonBless'!DS29</f>
        <v>1</v>
      </c>
      <c r="AY29" s="1">
        <f t="shared" si="20"/>
        <v>16499999.999999998</v>
      </c>
    </row>
    <row r="30" spans="1:51" ht="16.2" x14ac:dyDescent="0.35">
      <c r="A30" s="1">
        <v>26</v>
      </c>
      <c r="B30" s="84">
        <f t="shared" si="11"/>
        <v>25920</v>
      </c>
      <c r="C30" s="39"/>
      <c r="D30" s="39" t="str">
        <f t="shared" si="13"/>
        <v/>
      </c>
      <c r="E30" s="39" t="str">
        <f t="shared" si="14"/>
        <v/>
      </c>
      <c r="F30" s="39">
        <v>0</v>
      </c>
      <c r="G30" s="39"/>
      <c r="H30" s="39"/>
      <c r="J30" s="1">
        <v>75</v>
      </c>
      <c r="K30" s="1">
        <f>SUM($J$5:J30)</f>
        <v>618</v>
      </c>
      <c r="L30" s="231">
        <f t="shared" si="15"/>
        <v>2.5750000000000002</v>
      </c>
      <c r="M30" s="1">
        <v>0.96</v>
      </c>
      <c r="N30" s="1">
        <f t="shared" si="0"/>
        <v>345.59999999999997</v>
      </c>
      <c r="O30" s="1">
        <f t="shared" si="16"/>
        <v>25920</v>
      </c>
      <c r="R30" s="6" t="s">
        <v>360</v>
      </c>
      <c r="S30" s="70">
        <f t="shared" si="1"/>
        <v>1</v>
      </c>
      <c r="T30" s="70">
        <f t="shared" si="2"/>
        <v>1</v>
      </c>
      <c r="U30" s="237">
        <v>2</v>
      </c>
      <c r="V30" s="68" t="s">
        <v>398</v>
      </c>
      <c r="W30" s="6">
        <f t="shared" si="3"/>
        <v>2</v>
      </c>
      <c r="X30" s="6">
        <f t="shared" si="4"/>
        <v>1002</v>
      </c>
      <c r="Y30" s="6">
        <v>1</v>
      </c>
      <c r="Z30" s="68" t="s">
        <v>401</v>
      </c>
      <c r="AA30" s="6">
        <f t="shared" si="5"/>
        <v>2</v>
      </c>
      <c r="AB30" s="6">
        <f t="shared" si="6"/>
        <v>1004</v>
      </c>
      <c r="AC30" s="6">
        <v>1</v>
      </c>
      <c r="AE30" s="84">
        <v>26</v>
      </c>
      <c r="AG30" s="11" t="str">
        <f t="shared" si="7"/>
        <v>物品类型</v>
      </c>
      <c r="AH30" s="11" t="str">
        <f t="shared" si="8"/>
        <v>id</v>
      </c>
      <c r="AI30" s="84" t="s">
        <v>399</v>
      </c>
      <c r="AJ30" s="84">
        <f t="shared" si="17"/>
        <v>0</v>
      </c>
      <c r="AK30" s="1">
        <f t="shared" si="18"/>
        <v>0</v>
      </c>
      <c r="AL30" s="1" t="str">
        <f t="shared" si="9"/>
        <v>物品类型</v>
      </c>
      <c r="AM30" s="1" t="str">
        <f t="shared" si="10"/>
        <v>id</v>
      </c>
      <c r="AN30" s="271"/>
      <c r="AO30" s="1">
        <f t="shared" si="19"/>
        <v>0</v>
      </c>
      <c r="AS30" s="1" t="str">
        <f>'抽奖|MoonBless'!DN30</f>
        <v>买单券</v>
      </c>
      <c r="AT30" s="1">
        <f>'抽奖|MoonBless'!DO30</f>
        <v>0.75</v>
      </c>
      <c r="AU30" s="1">
        <f>'抽奖|MoonBless'!DP30</f>
        <v>15</v>
      </c>
      <c r="AV30" s="1">
        <f>'抽奖|MoonBless'!DQ30</f>
        <v>2</v>
      </c>
      <c r="AW30" s="1">
        <f>'抽奖|MoonBless'!DR30</f>
        <v>1213</v>
      </c>
      <c r="AX30" s="223">
        <f>'抽奖|MoonBless'!DS30</f>
        <v>1</v>
      </c>
      <c r="AY30" s="1">
        <f t="shared" si="20"/>
        <v>150000</v>
      </c>
    </row>
    <row r="31" spans="1:51" ht="16.2" x14ac:dyDescent="0.35">
      <c r="A31" s="1">
        <v>27</v>
      </c>
      <c r="B31" s="84">
        <f t="shared" si="11"/>
        <v>27650</v>
      </c>
      <c r="C31" s="39"/>
      <c r="D31" s="39" t="str">
        <f t="shared" si="13"/>
        <v/>
      </c>
      <c r="E31" s="39" t="str">
        <f t="shared" si="14"/>
        <v/>
      </c>
      <c r="F31" s="39">
        <v>0</v>
      </c>
      <c r="G31" s="39"/>
      <c r="H31" s="39"/>
      <c r="J31" s="1">
        <v>80</v>
      </c>
      <c r="K31" s="1">
        <f>SUM($J$5:J31)</f>
        <v>698</v>
      </c>
      <c r="L31" s="231">
        <f t="shared" si="15"/>
        <v>2.9083333333333332</v>
      </c>
      <c r="M31" s="1">
        <v>0.96</v>
      </c>
      <c r="N31" s="1">
        <f t="shared" si="0"/>
        <v>345.59999999999997</v>
      </c>
      <c r="O31" s="1">
        <f t="shared" si="16"/>
        <v>27650</v>
      </c>
      <c r="R31" s="6" t="s">
        <v>360</v>
      </c>
      <c r="S31" s="70">
        <f t="shared" si="1"/>
        <v>1</v>
      </c>
      <c r="T31" s="70">
        <f t="shared" si="2"/>
        <v>1</v>
      </c>
      <c r="U31" s="237">
        <v>2</v>
      </c>
      <c r="V31" s="68" t="s">
        <v>397</v>
      </c>
      <c r="W31" s="6">
        <f t="shared" si="3"/>
        <v>2</v>
      </c>
      <c r="X31" s="6">
        <f t="shared" si="4"/>
        <v>1001</v>
      </c>
      <c r="Y31" s="6">
        <v>1</v>
      </c>
      <c r="Z31" s="68" t="s">
        <v>401</v>
      </c>
      <c r="AA31" s="6">
        <f t="shared" si="5"/>
        <v>2</v>
      </c>
      <c r="AB31" s="6">
        <f t="shared" si="6"/>
        <v>1004</v>
      </c>
      <c r="AC31" s="6">
        <v>1</v>
      </c>
      <c r="AE31" s="84">
        <v>27</v>
      </c>
      <c r="AG31" s="11" t="str">
        <f t="shared" si="7"/>
        <v>物品类型</v>
      </c>
      <c r="AH31" s="11" t="str">
        <f t="shared" si="8"/>
        <v>id</v>
      </c>
      <c r="AI31" s="84" t="s">
        <v>399</v>
      </c>
      <c r="AJ31" s="84">
        <f t="shared" si="17"/>
        <v>0</v>
      </c>
      <c r="AK31" s="1">
        <f t="shared" si="18"/>
        <v>0</v>
      </c>
      <c r="AL31" s="1" t="str">
        <f t="shared" si="9"/>
        <v>物品类型</v>
      </c>
      <c r="AM31" s="1" t="str">
        <f t="shared" si="10"/>
        <v>id</v>
      </c>
      <c r="AN31" s="271"/>
      <c r="AO31" s="1">
        <f t="shared" si="19"/>
        <v>0</v>
      </c>
    </row>
    <row r="32" spans="1:51" ht="16.2" x14ac:dyDescent="0.35">
      <c r="A32" s="1">
        <v>28</v>
      </c>
      <c r="B32" s="84">
        <f t="shared" si="11"/>
        <v>29380</v>
      </c>
      <c r="C32" s="39"/>
      <c r="D32" s="39" t="str">
        <f t="shared" si="13"/>
        <v>1|2|120000</v>
      </c>
      <c r="E32" s="39" t="str">
        <f t="shared" si="14"/>
        <v>1|2|8000000</v>
      </c>
      <c r="F32" s="39">
        <v>0</v>
      </c>
      <c r="G32" s="39"/>
      <c r="H32" s="39"/>
      <c r="J32" s="1">
        <v>85</v>
      </c>
      <c r="K32" s="1">
        <f>SUM($J$5:J32)</f>
        <v>783</v>
      </c>
      <c r="L32" s="231">
        <f t="shared" si="15"/>
        <v>3.2625000000000002</v>
      </c>
      <c r="M32" s="1">
        <v>0.96</v>
      </c>
      <c r="N32" s="1">
        <f t="shared" si="0"/>
        <v>345.59999999999997</v>
      </c>
      <c r="O32" s="1">
        <f t="shared" si="16"/>
        <v>29380</v>
      </c>
      <c r="R32" s="6" t="s">
        <v>360</v>
      </c>
      <c r="S32" s="70">
        <f t="shared" si="1"/>
        <v>1</v>
      </c>
      <c r="T32" s="70">
        <f t="shared" si="2"/>
        <v>1</v>
      </c>
      <c r="U32" s="237">
        <v>2</v>
      </c>
      <c r="V32" s="68" t="s">
        <v>398</v>
      </c>
      <c r="W32" s="6">
        <f t="shared" si="3"/>
        <v>2</v>
      </c>
      <c r="X32" s="6">
        <f t="shared" si="4"/>
        <v>1002</v>
      </c>
      <c r="Y32" s="6">
        <v>1</v>
      </c>
      <c r="Z32" s="68" t="s">
        <v>401</v>
      </c>
      <c r="AA32" s="6">
        <f t="shared" si="5"/>
        <v>2</v>
      </c>
      <c r="AB32" s="6">
        <f t="shared" si="6"/>
        <v>1004</v>
      </c>
      <c r="AC32" s="6">
        <v>1</v>
      </c>
      <c r="AE32" s="59">
        <v>28</v>
      </c>
      <c r="AF32" s="1" t="s">
        <v>375</v>
      </c>
      <c r="AG32" s="11">
        <f t="shared" si="7"/>
        <v>1</v>
      </c>
      <c r="AH32" s="11">
        <f t="shared" si="8"/>
        <v>2</v>
      </c>
      <c r="AI32" s="84">
        <v>120000</v>
      </c>
      <c r="AJ32" s="84">
        <f t="shared" si="17"/>
        <v>120000</v>
      </c>
      <c r="AK32" s="1" t="str">
        <f t="shared" si="18"/>
        <v>金币</v>
      </c>
      <c r="AL32" s="1">
        <f t="shared" si="9"/>
        <v>1</v>
      </c>
      <c r="AM32" s="1">
        <f t="shared" si="10"/>
        <v>2</v>
      </c>
      <c r="AN32" s="271">
        <v>8000000</v>
      </c>
      <c r="AO32" s="1">
        <f t="shared" si="19"/>
        <v>8000000</v>
      </c>
    </row>
    <row r="33" spans="1:41" ht="16.2" x14ac:dyDescent="0.35">
      <c r="A33" s="1">
        <v>29</v>
      </c>
      <c r="B33" s="84">
        <f t="shared" si="11"/>
        <v>31100</v>
      </c>
      <c r="C33" s="39"/>
      <c r="D33" s="39" t="str">
        <f t="shared" si="13"/>
        <v/>
      </c>
      <c r="E33" s="39" t="str">
        <f t="shared" si="14"/>
        <v/>
      </c>
      <c r="F33" s="39">
        <v>0</v>
      </c>
      <c r="G33" s="39"/>
      <c r="H33" s="39"/>
      <c r="J33" s="1">
        <v>90</v>
      </c>
      <c r="K33" s="1">
        <f>SUM($J$5:J33)</f>
        <v>873</v>
      </c>
      <c r="L33" s="231">
        <f t="shared" si="15"/>
        <v>3.6375000000000002</v>
      </c>
      <c r="M33" s="1">
        <v>0.96</v>
      </c>
      <c r="N33" s="1">
        <f t="shared" si="0"/>
        <v>345.59999999999997</v>
      </c>
      <c r="O33" s="1">
        <f t="shared" si="16"/>
        <v>31100</v>
      </c>
      <c r="R33" s="6" t="s">
        <v>360</v>
      </c>
      <c r="S33" s="70">
        <f t="shared" si="1"/>
        <v>1</v>
      </c>
      <c r="T33" s="70">
        <f t="shared" si="2"/>
        <v>1</v>
      </c>
      <c r="U33" s="237">
        <v>2</v>
      </c>
      <c r="V33" s="68" t="s">
        <v>397</v>
      </c>
      <c r="W33" s="6">
        <f t="shared" si="3"/>
        <v>2</v>
      </c>
      <c r="X33" s="6">
        <f t="shared" si="4"/>
        <v>1001</v>
      </c>
      <c r="Y33" s="6">
        <v>1</v>
      </c>
      <c r="Z33" s="68" t="s">
        <v>402</v>
      </c>
      <c r="AA33" s="6">
        <f t="shared" si="5"/>
        <v>2</v>
      </c>
      <c r="AB33" s="6">
        <f t="shared" si="6"/>
        <v>1003</v>
      </c>
      <c r="AC33" s="6">
        <v>1</v>
      </c>
      <c r="AE33" s="84">
        <v>29</v>
      </c>
      <c r="AG33" s="11" t="str">
        <f t="shared" si="7"/>
        <v>物品类型</v>
      </c>
      <c r="AH33" s="11" t="str">
        <f t="shared" si="8"/>
        <v>id</v>
      </c>
      <c r="AI33" s="84" t="s">
        <v>399</v>
      </c>
      <c r="AJ33" s="84">
        <f t="shared" si="17"/>
        <v>0</v>
      </c>
      <c r="AK33" s="1">
        <f t="shared" si="18"/>
        <v>0</v>
      </c>
      <c r="AL33" s="1" t="str">
        <f t="shared" si="9"/>
        <v>物品类型</v>
      </c>
      <c r="AM33" s="1" t="str">
        <f t="shared" si="10"/>
        <v>id</v>
      </c>
      <c r="AN33" s="271"/>
      <c r="AO33" s="1">
        <f t="shared" si="19"/>
        <v>0</v>
      </c>
    </row>
    <row r="34" spans="1:41" ht="16.2" x14ac:dyDescent="0.35">
      <c r="A34" s="1">
        <v>30</v>
      </c>
      <c r="B34" s="84">
        <f t="shared" si="11"/>
        <v>32830</v>
      </c>
      <c r="C34" s="39"/>
      <c r="D34" s="39" t="str">
        <f t="shared" si="13"/>
        <v>1|2|150000</v>
      </c>
      <c r="E34" s="39" t="str">
        <f t="shared" si="14"/>
        <v>2|1007|2</v>
      </c>
      <c r="F34" s="39">
        <v>0</v>
      </c>
      <c r="G34" s="39"/>
      <c r="H34" s="39"/>
      <c r="J34" s="1">
        <v>95</v>
      </c>
      <c r="K34" s="1">
        <f>SUM($J$5:J34)</f>
        <v>968</v>
      </c>
      <c r="L34" s="231">
        <f t="shared" si="15"/>
        <v>4.0333333333333332</v>
      </c>
      <c r="M34" s="1">
        <v>0.96</v>
      </c>
      <c r="N34" s="1">
        <f t="shared" si="0"/>
        <v>345.59999999999997</v>
      </c>
      <c r="O34" s="1">
        <f t="shared" si="16"/>
        <v>32830</v>
      </c>
      <c r="R34" s="6" t="s">
        <v>360</v>
      </c>
      <c r="S34" s="70">
        <f t="shared" si="1"/>
        <v>1</v>
      </c>
      <c r="T34" s="70">
        <f t="shared" si="2"/>
        <v>1</v>
      </c>
      <c r="U34" s="237">
        <v>3</v>
      </c>
      <c r="V34" s="68" t="s">
        <v>398</v>
      </c>
      <c r="W34" s="6">
        <f t="shared" si="3"/>
        <v>2</v>
      </c>
      <c r="X34" s="6">
        <f t="shared" si="4"/>
        <v>1002</v>
      </c>
      <c r="Y34" s="6">
        <v>1</v>
      </c>
      <c r="Z34" s="68" t="s">
        <v>401</v>
      </c>
      <c r="AA34" s="6">
        <f t="shared" si="5"/>
        <v>2</v>
      </c>
      <c r="AB34" s="6">
        <f t="shared" si="6"/>
        <v>1004</v>
      </c>
      <c r="AC34" s="6">
        <v>1</v>
      </c>
      <c r="AE34" s="59">
        <v>30</v>
      </c>
      <c r="AF34" s="1" t="s">
        <v>375</v>
      </c>
      <c r="AG34" s="11">
        <f t="shared" si="7"/>
        <v>1</v>
      </c>
      <c r="AH34" s="11">
        <f t="shared" si="8"/>
        <v>2</v>
      </c>
      <c r="AI34" s="84">
        <v>150000</v>
      </c>
      <c r="AJ34" s="84">
        <f t="shared" si="17"/>
        <v>150000</v>
      </c>
      <c r="AK34" s="1" t="s">
        <v>374</v>
      </c>
      <c r="AL34" s="1">
        <f t="shared" si="9"/>
        <v>2</v>
      </c>
      <c r="AM34" s="1">
        <f t="shared" si="10"/>
        <v>1007</v>
      </c>
      <c r="AN34" s="272">
        <v>2</v>
      </c>
      <c r="AO34" s="1">
        <f t="shared" si="19"/>
        <v>10000000</v>
      </c>
    </row>
    <row r="35" spans="1:41" ht="16.2" x14ac:dyDescent="0.35">
      <c r="A35" s="1">
        <v>31</v>
      </c>
      <c r="B35" s="84">
        <f t="shared" si="11"/>
        <v>34560</v>
      </c>
      <c r="C35" s="39"/>
      <c r="D35" s="39" t="str">
        <f t="shared" si="13"/>
        <v/>
      </c>
      <c r="E35" s="39" t="str">
        <f t="shared" si="14"/>
        <v/>
      </c>
      <c r="F35" s="39">
        <v>0</v>
      </c>
      <c r="G35" s="39"/>
      <c r="H35" s="39"/>
      <c r="J35" s="1">
        <v>100</v>
      </c>
      <c r="K35" s="1">
        <f>SUM($J$5:J35)</f>
        <v>1068</v>
      </c>
      <c r="L35" s="231">
        <f t="shared" si="15"/>
        <v>4.45</v>
      </c>
      <c r="M35" s="1">
        <v>0.96</v>
      </c>
      <c r="N35" s="1">
        <f t="shared" si="0"/>
        <v>345.59999999999997</v>
      </c>
      <c r="O35" s="1">
        <f t="shared" si="16"/>
        <v>34560</v>
      </c>
      <c r="R35" s="6" t="s">
        <v>360</v>
      </c>
      <c r="S35" s="70">
        <f t="shared" si="1"/>
        <v>1</v>
      </c>
      <c r="T35" s="70">
        <f t="shared" si="2"/>
        <v>1</v>
      </c>
      <c r="U35" s="237">
        <v>3</v>
      </c>
      <c r="V35" s="68" t="s">
        <v>397</v>
      </c>
      <c r="W35" s="6">
        <f t="shared" si="3"/>
        <v>2</v>
      </c>
      <c r="X35" s="6">
        <f t="shared" si="4"/>
        <v>1001</v>
      </c>
      <c r="Y35" s="6">
        <v>1</v>
      </c>
      <c r="Z35" s="68" t="s">
        <v>398</v>
      </c>
      <c r="AA35" s="6">
        <f t="shared" si="5"/>
        <v>2</v>
      </c>
      <c r="AB35" s="6">
        <f t="shared" si="6"/>
        <v>1002</v>
      </c>
      <c r="AC35" s="6">
        <v>1</v>
      </c>
      <c r="AE35" s="84">
        <v>31</v>
      </c>
      <c r="AG35" s="11" t="str">
        <f t="shared" si="7"/>
        <v>物品类型</v>
      </c>
      <c r="AH35" s="11" t="str">
        <f t="shared" si="8"/>
        <v>id</v>
      </c>
      <c r="AI35" s="84" t="s">
        <v>399</v>
      </c>
      <c r="AJ35" s="84">
        <f t="shared" si="17"/>
        <v>0</v>
      </c>
      <c r="AK35" s="1">
        <f t="shared" si="18"/>
        <v>0</v>
      </c>
      <c r="AL35" s="1" t="str">
        <f t="shared" si="9"/>
        <v>物品类型</v>
      </c>
      <c r="AM35" s="1" t="str">
        <f t="shared" si="10"/>
        <v>id</v>
      </c>
      <c r="AN35" s="271"/>
      <c r="AO35" s="1">
        <f t="shared" si="19"/>
        <v>0</v>
      </c>
    </row>
    <row r="36" spans="1:41" ht="16.2" x14ac:dyDescent="0.35">
      <c r="A36" s="1">
        <v>32</v>
      </c>
      <c r="B36" s="84">
        <f t="shared" si="11"/>
        <v>36290</v>
      </c>
      <c r="C36" s="39"/>
      <c r="D36" s="39" t="str">
        <f t="shared" si="13"/>
        <v/>
      </c>
      <c r="E36" s="39" t="str">
        <f t="shared" si="14"/>
        <v/>
      </c>
      <c r="F36" s="39">
        <v>0</v>
      </c>
      <c r="G36" s="39"/>
      <c r="H36" s="39"/>
      <c r="J36" s="1">
        <v>105</v>
      </c>
      <c r="K36" s="1">
        <f>SUM($J$5:J36)</f>
        <v>1173</v>
      </c>
      <c r="L36" s="231">
        <f t="shared" si="15"/>
        <v>4.8875000000000002</v>
      </c>
      <c r="M36" s="1">
        <v>0.96</v>
      </c>
      <c r="N36" s="1">
        <f t="shared" si="0"/>
        <v>345.59999999999997</v>
      </c>
      <c r="O36" s="1">
        <f t="shared" si="16"/>
        <v>36290</v>
      </c>
      <c r="R36" s="6" t="s">
        <v>360</v>
      </c>
      <c r="S36" s="70">
        <f t="shared" si="1"/>
        <v>1</v>
      </c>
      <c r="T36" s="70">
        <f t="shared" si="2"/>
        <v>1</v>
      </c>
      <c r="U36" s="237">
        <v>3</v>
      </c>
      <c r="V36" s="68" t="s">
        <v>398</v>
      </c>
      <c r="W36" s="6">
        <f t="shared" si="3"/>
        <v>2</v>
      </c>
      <c r="X36" s="6">
        <f t="shared" si="4"/>
        <v>1002</v>
      </c>
      <c r="Y36" s="6">
        <v>1</v>
      </c>
      <c r="Z36" s="68" t="s">
        <v>401</v>
      </c>
      <c r="AA36" s="6">
        <f t="shared" si="5"/>
        <v>2</v>
      </c>
      <c r="AB36" s="6">
        <f t="shared" si="6"/>
        <v>1004</v>
      </c>
      <c r="AC36" s="6">
        <v>1</v>
      </c>
      <c r="AE36" s="84">
        <v>32</v>
      </c>
      <c r="AG36" s="11" t="str">
        <f t="shared" si="7"/>
        <v>物品类型</v>
      </c>
      <c r="AH36" s="11" t="str">
        <f t="shared" si="8"/>
        <v>id</v>
      </c>
      <c r="AI36" s="84" t="s">
        <v>399</v>
      </c>
      <c r="AJ36" s="84">
        <f t="shared" si="17"/>
        <v>0</v>
      </c>
      <c r="AK36" s="1">
        <f t="shared" si="18"/>
        <v>0</v>
      </c>
      <c r="AL36" s="1" t="str">
        <f t="shared" si="9"/>
        <v>物品类型</v>
      </c>
      <c r="AM36" s="1" t="str">
        <f t="shared" si="10"/>
        <v>id</v>
      </c>
      <c r="AN36" s="271"/>
      <c r="AO36" s="1">
        <f t="shared" si="19"/>
        <v>0</v>
      </c>
    </row>
    <row r="37" spans="1:41" ht="16.2" x14ac:dyDescent="0.35">
      <c r="A37" s="1">
        <v>33</v>
      </c>
      <c r="B37" s="84">
        <f t="shared" si="11"/>
        <v>38020</v>
      </c>
      <c r="C37" s="39"/>
      <c r="D37" s="39" t="str">
        <f t="shared" si="13"/>
        <v>1|2|200000</v>
      </c>
      <c r="E37" s="39" t="str">
        <f t="shared" si="14"/>
        <v>1|2|15000000</v>
      </c>
      <c r="F37" s="39">
        <v>0</v>
      </c>
      <c r="G37" s="39"/>
      <c r="H37" s="39"/>
      <c r="J37" s="1">
        <v>110</v>
      </c>
      <c r="K37" s="1">
        <f>SUM($J$5:J37)</f>
        <v>1283</v>
      </c>
      <c r="L37" s="231">
        <f t="shared" si="15"/>
        <v>5.3458333333333332</v>
      </c>
      <c r="M37" s="1">
        <v>0.96</v>
      </c>
      <c r="N37" s="1">
        <f t="shared" si="0"/>
        <v>345.59999999999997</v>
      </c>
      <c r="O37" s="1">
        <f t="shared" si="16"/>
        <v>38020</v>
      </c>
      <c r="R37" s="6" t="s">
        <v>360</v>
      </c>
      <c r="S37" s="70">
        <f t="shared" si="1"/>
        <v>1</v>
      </c>
      <c r="T37" s="70">
        <f t="shared" si="2"/>
        <v>1</v>
      </c>
      <c r="U37" s="237">
        <v>3</v>
      </c>
      <c r="V37" s="68" t="s">
        <v>397</v>
      </c>
      <c r="W37" s="6">
        <f t="shared" si="3"/>
        <v>2</v>
      </c>
      <c r="X37" s="6">
        <f t="shared" si="4"/>
        <v>1001</v>
      </c>
      <c r="Y37" s="6">
        <v>1</v>
      </c>
      <c r="Z37" s="68" t="s">
        <v>401</v>
      </c>
      <c r="AA37" s="6">
        <f t="shared" si="5"/>
        <v>2</v>
      </c>
      <c r="AB37" s="6">
        <f t="shared" si="6"/>
        <v>1004</v>
      </c>
      <c r="AC37" s="6">
        <v>1</v>
      </c>
      <c r="AE37" s="59">
        <v>33</v>
      </c>
      <c r="AF37" s="1" t="s">
        <v>375</v>
      </c>
      <c r="AG37" s="11">
        <f t="shared" si="7"/>
        <v>1</v>
      </c>
      <c r="AH37" s="11">
        <f t="shared" si="8"/>
        <v>2</v>
      </c>
      <c r="AI37" s="84">
        <v>200000</v>
      </c>
      <c r="AJ37" s="84">
        <f t="shared" si="17"/>
        <v>200000</v>
      </c>
      <c r="AK37" s="1" t="str">
        <f t="shared" si="18"/>
        <v>金币</v>
      </c>
      <c r="AL37" s="1">
        <f t="shared" si="9"/>
        <v>1</v>
      </c>
      <c r="AM37" s="1">
        <f t="shared" si="10"/>
        <v>2</v>
      </c>
      <c r="AN37" s="271">
        <v>15000000</v>
      </c>
      <c r="AO37" s="1">
        <f t="shared" si="19"/>
        <v>15000000</v>
      </c>
    </row>
    <row r="38" spans="1:41" ht="16.2" x14ac:dyDescent="0.35">
      <c r="A38" s="1">
        <v>34</v>
      </c>
      <c r="B38" s="84">
        <f t="shared" si="11"/>
        <v>39740</v>
      </c>
      <c r="C38" s="39"/>
      <c r="D38" s="39" t="str">
        <f t="shared" si="13"/>
        <v/>
      </c>
      <c r="E38" s="39" t="str">
        <f t="shared" si="14"/>
        <v/>
      </c>
      <c r="F38" s="39">
        <v>0</v>
      </c>
      <c r="G38" s="39"/>
      <c r="H38" s="39"/>
      <c r="J38" s="1">
        <v>115</v>
      </c>
      <c r="K38" s="1">
        <f>SUM($J$5:J38)</f>
        <v>1398</v>
      </c>
      <c r="L38" s="231">
        <f t="shared" si="15"/>
        <v>5.8250000000000002</v>
      </c>
      <c r="M38" s="1">
        <v>0.96</v>
      </c>
      <c r="N38" s="1">
        <f t="shared" si="0"/>
        <v>345.59999999999997</v>
      </c>
      <c r="O38" s="1">
        <f t="shared" si="16"/>
        <v>39740</v>
      </c>
      <c r="R38" s="6" t="s">
        <v>360</v>
      </c>
      <c r="S38" s="70">
        <f t="shared" si="1"/>
        <v>1</v>
      </c>
      <c r="T38" s="70">
        <f t="shared" si="2"/>
        <v>1</v>
      </c>
      <c r="U38" s="237">
        <v>3</v>
      </c>
      <c r="V38" s="68" t="s">
        <v>398</v>
      </c>
      <c r="W38" s="6">
        <f t="shared" si="3"/>
        <v>2</v>
      </c>
      <c r="X38" s="6">
        <f t="shared" si="4"/>
        <v>1002</v>
      </c>
      <c r="Y38" s="6">
        <v>1</v>
      </c>
      <c r="Z38" s="68" t="s">
        <v>402</v>
      </c>
      <c r="AA38" s="6">
        <f t="shared" si="5"/>
        <v>2</v>
      </c>
      <c r="AB38" s="6">
        <f t="shared" si="6"/>
        <v>1003</v>
      </c>
      <c r="AC38" s="6">
        <v>1</v>
      </c>
      <c r="AE38" s="84">
        <v>34</v>
      </c>
      <c r="AG38" s="11" t="str">
        <f t="shared" si="7"/>
        <v>物品类型</v>
      </c>
      <c r="AH38" s="11" t="str">
        <f t="shared" si="8"/>
        <v>id</v>
      </c>
      <c r="AI38" s="84" t="s">
        <v>399</v>
      </c>
      <c r="AJ38" s="84">
        <f t="shared" si="17"/>
        <v>0</v>
      </c>
      <c r="AL38" s="1" t="str">
        <f t="shared" si="9"/>
        <v>物品类型</v>
      </c>
      <c r="AM38" s="1" t="str">
        <f t="shared" si="10"/>
        <v>id</v>
      </c>
      <c r="AN38" s="271"/>
      <c r="AO38" s="1">
        <f t="shared" si="19"/>
        <v>0</v>
      </c>
    </row>
    <row r="39" spans="1:41" ht="16.2" x14ac:dyDescent="0.35">
      <c r="A39" s="1">
        <v>35</v>
      </c>
      <c r="B39" s="84">
        <f t="shared" si="11"/>
        <v>41470</v>
      </c>
      <c r="C39" s="39"/>
      <c r="D39" s="39" t="str">
        <f t="shared" si="13"/>
        <v>1|1|10</v>
      </c>
      <c r="E39" s="39" t="str">
        <f t="shared" si="14"/>
        <v>2|1003|50</v>
      </c>
      <c r="F39" s="39">
        <v>0</v>
      </c>
      <c r="G39" s="39"/>
      <c r="H39" s="39"/>
      <c r="J39" s="1">
        <v>120</v>
      </c>
      <c r="K39" s="1">
        <f>SUM($J$5:J39)</f>
        <v>1518</v>
      </c>
      <c r="L39" s="231">
        <f t="shared" si="15"/>
        <v>6.3250000000000002</v>
      </c>
      <c r="M39" s="1">
        <v>0.96</v>
      </c>
      <c r="N39" s="1">
        <f t="shared" si="0"/>
        <v>345.59999999999997</v>
      </c>
      <c r="O39" s="1">
        <f t="shared" si="16"/>
        <v>41470</v>
      </c>
      <c r="R39" s="6" t="s">
        <v>360</v>
      </c>
      <c r="S39" s="70">
        <f t="shared" si="1"/>
        <v>1</v>
      </c>
      <c r="T39" s="70">
        <f t="shared" si="2"/>
        <v>1</v>
      </c>
      <c r="U39" s="237">
        <v>3</v>
      </c>
      <c r="V39" s="68" t="s">
        <v>397</v>
      </c>
      <c r="W39" s="6">
        <f t="shared" si="3"/>
        <v>2</v>
      </c>
      <c r="X39" s="6">
        <f t="shared" si="4"/>
        <v>1001</v>
      </c>
      <c r="Y39" s="6">
        <v>2</v>
      </c>
      <c r="Z39" s="68" t="s">
        <v>398</v>
      </c>
      <c r="AA39" s="6">
        <f t="shared" si="5"/>
        <v>2</v>
      </c>
      <c r="AB39" s="6">
        <f t="shared" si="6"/>
        <v>1002</v>
      </c>
      <c r="AC39" s="6">
        <v>2</v>
      </c>
      <c r="AE39" s="59">
        <v>35</v>
      </c>
      <c r="AF39" s="1" t="s">
        <v>360</v>
      </c>
      <c r="AG39" s="11">
        <f t="shared" si="7"/>
        <v>1</v>
      </c>
      <c r="AH39" s="11">
        <f t="shared" si="8"/>
        <v>1</v>
      </c>
      <c r="AI39" s="84">
        <v>10</v>
      </c>
      <c r="AJ39" s="84">
        <f t="shared" si="17"/>
        <v>200000</v>
      </c>
      <c r="AK39" s="1" t="s">
        <v>402</v>
      </c>
      <c r="AL39" s="1">
        <f t="shared" si="9"/>
        <v>2</v>
      </c>
      <c r="AM39" s="1">
        <f t="shared" si="10"/>
        <v>1003</v>
      </c>
      <c r="AN39" s="272">
        <v>50</v>
      </c>
      <c r="AO39" s="1">
        <f t="shared" si="19"/>
        <v>4999999.9999999991</v>
      </c>
    </row>
    <row r="40" spans="1:41" ht="16.2" x14ac:dyDescent="0.35">
      <c r="A40" s="1">
        <v>36</v>
      </c>
      <c r="B40" s="84">
        <f t="shared" si="11"/>
        <v>43200</v>
      </c>
      <c r="C40" s="39"/>
      <c r="D40" s="39" t="str">
        <f t="shared" si="13"/>
        <v/>
      </c>
      <c r="E40" s="39" t="str">
        <f t="shared" si="14"/>
        <v/>
      </c>
      <c r="F40" s="39">
        <v>0</v>
      </c>
      <c r="G40" s="39"/>
      <c r="H40" s="39"/>
      <c r="J40" s="1">
        <v>125</v>
      </c>
      <c r="K40" s="1">
        <f>SUM($J$5:J40)</f>
        <v>1643</v>
      </c>
      <c r="L40" s="231">
        <f t="shared" si="15"/>
        <v>6.8458333333333332</v>
      </c>
      <c r="M40" s="1">
        <v>0.96</v>
      </c>
      <c r="N40" s="1">
        <f t="shared" si="0"/>
        <v>345.59999999999997</v>
      </c>
      <c r="O40" s="1">
        <f t="shared" si="16"/>
        <v>43200</v>
      </c>
      <c r="R40" s="6" t="s">
        <v>360</v>
      </c>
      <c r="S40" s="70">
        <f t="shared" si="1"/>
        <v>1</v>
      </c>
      <c r="T40" s="70">
        <f t="shared" si="2"/>
        <v>1</v>
      </c>
      <c r="U40" s="237">
        <v>3</v>
      </c>
      <c r="V40" s="68" t="s">
        <v>398</v>
      </c>
      <c r="W40" s="6">
        <f t="shared" si="3"/>
        <v>2</v>
      </c>
      <c r="X40" s="6">
        <f t="shared" si="4"/>
        <v>1002</v>
      </c>
      <c r="Y40" s="6">
        <v>2</v>
      </c>
      <c r="Z40" s="68" t="s">
        <v>401</v>
      </c>
      <c r="AA40" s="6">
        <f t="shared" si="5"/>
        <v>2</v>
      </c>
      <c r="AB40" s="6">
        <f t="shared" si="6"/>
        <v>1004</v>
      </c>
      <c r="AC40" s="6">
        <v>2</v>
      </c>
      <c r="AE40" s="84">
        <v>36</v>
      </c>
      <c r="AG40" s="11" t="str">
        <f t="shared" si="7"/>
        <v>物品类型</v>
      </c>
      <c r="AH40" s="11" t="str">
        <f t="shared" si="8"/>
        <v>id</v>
      </c>
      <c r="AI40" s="84" t="s">
        <v>399</v>
      </c>
      <c r="AJ40" s="84">
        <f t="shared" si="17"/>
        <v>0</v>
      </c>
      <c r="AK40" s="1">
        <f t="shared" si="18"/>
        <v>0</v>
      </c>
      <c r="AL40" s="1" t="str">
        <f t="shared" si="9"/>
        <v>物品类型</v>
      </c>
      <c r="AM40" s="1" t="str">
        <f t="shared" si="10"/>
        <v>id</v>
      </c>
      <c r="AN40" s="271"/>
      <c r="AO40" s="1">
        <f t="shared" si="19"/>
        <v>0</v>
      </c>
    </row>
    <row r="41" spans="1:41" ht="16.2" x14ac:dyDescent="0.35">
      <c r="A41" s="1">
        <v>37</v>
      </c>
      <c r="B41" s="84">
        <f t="shared" si="11"/>
        <v>44930</v>
      </c>
      <c r="C41" s="39"/>
      <c r="D41" s="39" t="str">
        <f t="shared" si="13"/>
        <v/>
      </c>
      <c r="E41" s="39" t="str">
        <f t="shared" si="14"/>
        <v/>
      </c>
      <c r="F41" s="39">
        <v>0</v>
      </c>
      <c r="G41" s="39"/>
      <c r="H41" s="39"/>
      <c r="J41" s="1">
        <v>130</v>
      </c>
      <c r="K41" s="1">
        <f>SUM($J$5:J41)</f>
        <v>1773</v>
      </c>
      <c r="L41" s="231">
        <f t="shared" si="15"/>
        <v>7.3875000000000002</v>
      </c>
      <c r="M41" s="1">
        <v>0.96</v>
      </c>
      <c r="N41" s="1">
        <f t="shared" si="0"/>
        <v>345.59999999999997</v>
      </c>
      <c r="O41" s="1">
        <f t="shared" si="16"/>
        <v>44930</v>
      </c>
      <c r="R41" s="6" t="s">
        <v>360</v>
      </c>
      <c r="S41" s="70">
        <f t="shared" si="1"/>
        <v>1</v>
      </c>
      <c r="T41" s="70">
        <f t="shared" si="2"/>
        <v>1</v>
      </c>
      <c r="U41" s="237">
        <v>3</v>
      </c>
      <c r="V41" s="68" t="s">
        <v>397</v>
      </c>
      <c r="W41" s="6">
        <f t="shared" si="3"/>
        <v>2</v>
      </c>
      <c r="X41" s="6">
        <f t="shared" si="4"/>
        <v>1001</v>
      </c>
      <c r="Y41" s="6">
        <v>2</v>
      </c>
      <c r="Z41" s="68" t="s">
        <v>401</v>
      </c>
      <c r="AA41" s="6">
        <f t="shared" si="5"/>
        <v>2</v>
      </c>
      <c r="AB41" s="6">
        <f t="shared" si="6"/>
        <v>1004</v>
      </c>
      <c r="AC41" s="6">
        <v>2</v>
      </c>
      <c r="AE41" s="84">
        <v>37</v>
      </c>
      <c r="AG41" s="11" t="str">
        <f t="shared" si="7"/>
        <v>物品类型</v>
      </c>
      <c r="AH41" s="11" t="str">
        <f t="shared" si="8"/>
        <v>id</v>
      </c>
      <c r="AI41" s="84" t="s">
        <v>399</v>
      </c>
      <c r="AJ41" s="84">
        <f t="shared" si="17"/>
        <v>0</v>
      </c>
      <c r="AL41" s="1" t="str">
        <f t="shared" si="9"/>
        <v>物品类型</v>
      </c>
      <c r="AM41" s="1" t="str">
        <f t="shared" si="10"/>
        <v>id</v>
      </c>
      <c r="AN41" s="271"/>
      <c r="AO41" s="1">
        <f t="shared" si="19"/>
        <v>0</v>
      </c>
    </row>
    <row r="42" spans="1:41" ht="16.2" x14ac:dyDescent="0.35">
      <c r="A42" s="1">
        <v>38</v>
      </c>
      <c r="B42" s="84">
        <f t="shared" si="11"/>
        <v>46660</v>
      </c>
      <c r="C42" s="39"/>
      <c r="D42" s="39" t="str">
        <f t="shared" si="13"/>
        <v>1|2|300000</v>
      </c>
      <c r="E42" s="39" t="str">
        <f t="shared" si="14"/>
        <v>1|2|30000000</v>
      </c>
      <c r="F42" s="39">
        <v>0</v>
      </c>
      <c r="G42" s="39"/>
      <c r="H42" s="39"/>
      <c r="J42" s="1">
        <v>135</v>
      </c>
      <c r="K42" s="1">
        <f>SUM($J$5:J42)</f>
        <v>1908</v>
      </c>
      <c r="L42" s="231">
        <f t="shared" si="15"/>
        <v>7.95</v>
      </c>
      <c r="M42" s="1">
        <v>0.96</v>
      </c>
      <c r="N42" s="1">
        <f t="shared" si="0"/>
        <v>345.59999999999997</v>
      </c>
      <c r="O42" s="1">
        <f t="shared" si="16"/>
        <v>46660</v>
      </c>
      <c r="R42" s="6" t="s">
        <v>360</v>
      </c>
      <c r="S42" s="70">
        <f t="shared" si="1"/>
        <v>1</v>
      </c>
      <c r="T42" s="70">
        <f t="shared" si="2"/>
        <v>1</v>
      </c>
      <c r="U42" s="237">
        <v>3</v>
      </c>
      <c r="V42" s="68" t="s">
        <v>398</v>
      </c>
      <c r="W42" s="6">
        <f t="shared" si="3"/>
        <v>2</v>
      </c>
      <c r="X42" s="6">
        <f t="shared" si="4"/>
        <v>1002</v>
      </c>
      <c r="Y42" s="6">
        <v>2</v>
      </c>
      <c r="Z42" s="68" t="s">
        <v>401</v>
      </c>
      <c r="AA42" s="6">
        <f t="shared" si="5"/>
        <v>2</v>
      </c>
      <c r="AB42" s="6">
        <f t="shared" si="6"/>
        <v>1004</v>
      </c>
      <c r="AC42" s="6">
        <v>2</v>
      </c>
      <c r="AE42" s="59">
        <v>38</v>
      </c>
      <c r="AF42" s="1" t="s">
        <v>375</v>
      </c>
      <c r="AG42" s="11">
        <f t="shared" si="7"/>
        <v>1</v>
      </c>
      <c r="AH42" s="11">
        <f t="shared" si="8"/>
        <v>2</v>
      </c>
      <c r="AI42" s="84">
        <v>300000</v>
      </c>
      <c r="AJ42" s="84">
        <f t="shared" si="17"/>
        <v>300000</v>
      </c>
      <c r="AK42" s="1" t="str">
        <f t="shared" si="18"/>
        <v>金币</v>
      </c>
      <c r="AL42" s="1">
        <f t="shared" si="9"/>
        <v>1</v>
      </c>
      <c r="AM42" s="1">
        <f t="shared" si="10"/>
        <v>2</v>
      </c>
      <c r="AN42" s="271">
        <v>30000000</v>
      </c>
      <c r="AO42" s="1">
        <f t="shared" si="19"/>
        <v>30000000</v>
      </c>
    </row>
    <row r="43" spans="1:41" ht="16.2" x14ac:dyDescent="0.35">
      <c r="A43" s="1">
        <v>39</v>
      </c>
      <c r="B43" s="84">
        <f t="shared" si="11"/>
        <v>48380</v>
      </c>
      <c r="C43" s="39"/>
      <c r="D43" s="39" t="str">
        <f t="shared" si="13"/>
        <v/>
      </c>
      <c r="E43" s="39" t="str">
        <f t="shared" si="14"/>
        <v/>
      </c>
      <c r="F43" s="39">
        <v>0</v>
      </c>
      <c r="G43" s="39"/>
      <c r="H43" s="39"/>
      <c r="J43" s="1">
        <v>140</v>
      </c>
      <c r="K43" s="1">
        <f>SUM($J$5:J43)</f>
        <v>2048</v>
      </c>
      <c r="L43" s="231">
        <f t="shared" si="15"/>
        <v>8.5333333333333332</v>
      </c>
      <c r="M43" s="1">
        <v>0.96</v>
      </c>
      <c r="N43" s="1">
        <f t="shared" si="0"/>
        <v>345.59999999999997</v>
      </c>
      <c r="O43" s="1">
        <f t="shared" si="16"/>
        <v>48380</v>
      </c>
      <c r="R43" s="6" t="s">
        <v>360</v>
      </c>
      <c r="S43" s="70">
        <f t="shared" si="1"/>
        <v>1</v>
      </c>
      <c r="T43" s="70">
        <f t="shared" si="2"/>
        <v>1</v>
      </c>
      <c r="U43" s="237">
        <v>3</v>
      </c>
      <c r="V43" s="68" t="s">
        <v>397</v>
      </c>
      <c r="W43" s="6">
        <f t="shared" si="3"/>
        <v>2</v>
      </c>
      <c r="X43" s="6">
        <f t="shared" si="4"/>
        <v>1001</v>
      </c>
      <c r="Y43" s="6">
        <v>2</v>
      </c>
      <c r="Z43" s="68" t="s">
        <v>402</v>
      </c>
      <c r="AA43" s="6">
        <f t="shared" si="5"/>
        <v>2</v>
      </c>
      <c r="AB43" s="6">
        <f t="shared" si="6"/>
        <v>1003</v>
      </c>
      <c r="AC43" s="6">
        <v>1</v>
      </c>
      <c r="AE43" s="84">
        <v>39</v>
      </c>
      <c r="AG43" s="11" t="str">
        <f t="shared" si="7"/>
        <v>物品类型</v>
      </c>
      <c r="AH43" s="11" t="str">
        <f t="shared" si="8"/>
        <v>id</v>
      </c>
      <c r="AI43" s="84" t="s">
        <v>399</v>
      </c>
      <c r="AJ43" s="84">
        <f t="shared" si="17"/>
        <v>0</v>
      </c>
      <c r="AK43" s="1">
        <f t="shared" si="18"/>
        <v>0</v>
      </c>
      <c r="AL43" s="1" t="str">
        <f t="shared" si="9"/>
        <v>物品类型</v>
      </c>
      <c r="AM43" s="1" t="str">
        <f t="shared" si="10"/>
        <v>id</v>
      </c>
      <c r="AN43" s="271"/>
      <c r="AO43" s="1">
        <f t="shared" si="19"/>
        <v>0</v>
      </c>
    </row>
    <row r="44" spans="1:41" ht="16.2" x14ac:dyDescent="0.35">
      <c r="A44" s="1">
        <v>40</v>
      </c>
      <c r="B44" s="84">
        <f t="shared" si="11"/>
        <v>50110</v>
      </c>
      <c r="C44" s="39"/>
      <c r="D44" s="39" t="str">
        <f t="shared" si="13"/>
        <v>1|2|350000</v>
      </c>
      <c r="E44" s="39" t="str">
        <f t="shared" si="14"/>
        <v>2|1007|8</v>
      </c>
      <c r="F44" s="39">
        <v>0</v>
      </c>
      <c r="G44" s="39"/>
      <c r="H44" s="39"/>
      <c r="J44" s="1">
        <v>145</v>
      </c>
      <c r="K44" s="1">
        <f>SUM($J$5:J44)</f>
        <v>2193</v>
      </c>
      <c r="L44" s="231">
        <f t="shared" si="15"/>
        <v>9.1374999999999993</v>
      </c>
      <c r="M44" s="1">
        <v>0.96</v>
      </c>
      <c r="N44" s="1">
        <f t="shared" si="0"/>
        <v>345.59999999999997</v>
      </c>
      <c r="O44" s="1">
        <f t="shared" si="16"/>
        <v>50110</v>
      </c>
      <c r="R44" s="6" t="s">
        <v>360</v>
      </c>
      <c r="S44" s="70">
        <f t="shared" si="1"/>
        <v>1</v>
      </c>
      <c r="T44" s="70">
        <f t="shared" si="2"/>
        <v>1</v>
      </c>
      <c r="U44" s="237">
        <v>3</v>
      </c>
      <c r="V44" s="68" t="s">
        <v>398</v>
      </c>
      <c r="W44" s="6">
        <f t="shared" si="3"/>
        <v>2</v>
      </c>
      <c r="X44" s="6">
        <f t="shared" si="4"/>
        <v>1002</v>
      </c>
      <c r="Y44" s="6">
        <v>2</v>
      </c>
      <c r="Z44" s="68" t="s">
        <v>401</v>
      </c>
      <c r="AA44" s="6">
        <f t="shared" si="5"/>
        <v>2</v>
      </c>
      <c r="AB44" s="6">
        <f t="shared" si="6"/>
        <v>1004</v>
      </c>
      <c r="AC44" s="6">
        <v>2</v>
      </c>
      <c r="AE44" s="59">
        <v>40</v>
      </c>
      <c r="AF44" s="1" t="s">
        <v>375</v>
      </c>
      <c r="AG44" s="11">
        <f t="shared" si="7"/>
        <v>1</v>
      </c>
      <c r="AH44" s="11">
        <f t="shared" si="8"/>
        <v>2</v>
      </c>
      <c r="AI44" s="84">
        <v>350000</v>
      </c>
      <c r="AJ44" s="84">
        <f t="shared" si="17"/>
        <v>350000</v>
      </c>
      <c r="AK44" s="1" t="s">
        <v>374</v>
      </c>
      <c r="AL44" s="1">
        <f t="shared" si="9"/>
        <v>2</v>
      </c>
      <c r="AM44" s="1">
        <f t="shared" si="10"/>
        <v>1007</v>
      </c>
      <c r="AN44" s="272">
        <v>8</v>
      </c>
      <c r="AO44" s="1">
        <f t="shared" si="19"/>
        <v>40000000</v>
      </c>
    </row>
    <row r="45" spans="1:41" ht="16.2" x14ac:dyDescent="0.35">
      <c r="A45" s="1">
        <v>41</v>
      </c>
      <c r="B45" s="84">
        <f t="shared" si="11"/>
        <v>51840</v>
      </c>
      <c r="C45" s="39"/>
      <c r="D45" s="39" t="str">
        <f t="shared" si="13"/>
        <v/>
      </c>
      <c r="E45" s="39" t="str">
        <f t="shared" si="14"/>
        <v/>
      </c>
      <c r="F45" s="39">
        <v>0</v>
      </c>
      <c r="J45" s="1">
        <v>150</v>
      </c>
      <c r="K45" s="1">
        <f>SUM($J$5:J45)</f>
        <v>2343</v>
      </c>
      <c r="L45" s="231">
        <f t="shared" si="15"/>
        <v>9.7624999999999993</v>
      </c>
      <c r="M45" s="1">
        <v>0.96</v>
      </c>
      <c r="N45" s="1">
        <f t="shared" si="0"/>
        <v>345.59999999999997</v>
      </c>
      <c r="O45" s="1">
        <f t="shared" si="16"/>
        <v>51840</v>
      </c>
      <c r="R45" s="6" t="s">
        <v>360</v>
      </c>
      <c r="S45" s="70">
        <f t="shared" si="1"/>
        <v>1</v>
      </c>
      <c r="T45" s="70">
        <f t="shared" si="2"/>
        <v>1</v>
      </c>
      <c r="U45" s="237">
        <v>3</v>
      </c>
      <c r="V45" s="68" t="s">
        <v>397</v>
      </c>
      <c r="W45" s="6">
        <f t="shared" si="3"/>
        <v>2</v>
      </c>
      <c r="X45" s="6">
        <f t="shared" si="4"/>
        <v>1001</v>
      </c>
      <c r="Y45" s="6">
        <v>2</v>
      </c>
      <c r="Z45" s="68" t="s">
        <v>398</v>
      </c>
      <c r="AA45" s="6">
        <f t="shared" si="5"/>
        <v>2</v>
      </c>
      <c r="AB45" s="6">
        <f t="shared" si="6"/>
        <v>1002</v>
      </c>
      <c r="AC45" s="6">
        <v>2</v>
      </c>
      <c r="AE45" s="84">
        <v>41</v>
      </c>
      <c r="AG45" s="11" t="str">
        <f t="shared" si="7"/>
        <v>物品类型</v>
      </c>
      <c r="AH45" s="11" t="str">
        <f t="shared" si="8"/>
        <v>id</v>
      </c>
      <c r="AI45" s="84" t="s">
        <v>399</v>
      </c>
      <c r="AJ45" s="84">
        <f t="shared" si="17"/>
        <v>0</v>
      </c>
      <c r="AK45" s="1">
        <f t="shared" ref="AK45:AK53" si="21">AF45</f>
        <v>0</v>
      </c>
      <c r="AL45" s="1" t="str">
        <f t="shared" si="9"/>
        <v>物品类型</v>
      </c>
      <c r="AM45" s="1" t="str">
        <f t="shared" si="10"/>
        <v>id</v>
      </c>
      <c r="AN45" s="271"/>
      <c r="AO45" s="1">
        <f t="shared" si="19"/>
        <v>0</v>
      </c>
    </row>
    <row r="46" spans="1:41" ht="16.2" x14ac:dyDescent="0.35">
      <c r="A46" s="1">
        <v>42</v>
      </c>
      <c r="B46" s="84">
        <f t="shared" si="11"/>
        <v>53570</v>
      </c>
      <c r="C46" s="39"/>
      <c r="D46" s="39" t="str">
        <f t="shared" si="13"/>
        <v/>
      </c>
      <c r="E46" s="39" t="str">
        <f t="shared" si="14"/>
        <v/>
      </c>
      <c r="F46" s="39">
        <v>0</v>
      </c>
      <c r="J46" s="1">
        <v>155</v>
      </c>
      <c r="K46" s="1">
        <f>SUM($J$5:J46)</f>
        <v>2498</v>
      </c>
      <c r="L46" s="231">
        <f t="shared" si="15"/>
        <v>10.408333333333333</v>
      </c>
      <c r="M46" s="1">
        <v>0.96</v>
      </c>
      <c r="N46" s="1">
        <f t="shared" si="0"/>
        <v>345.59999999999997</v>
      </c>
      <c r="O46" s="1">
        <f t="shared" si="16"/>
        <v>53570</v>
      </c>
      <c r="R46" s="6" t="s">
        <v>360</v>
      </c>
      <c r="S46" s="70">
        <f t="shared" si="1"/>
        <v>1</v>
      </c>
      <c r="T46" s="70">
        <f t="shared" si="2"/>
        <v>1</v>
      </c>
      <c r="U46" s="237">
        <v>3</v>
      </c>
      <c r="V46" s="68" t="s">
        <v>398</v>
      </c>
      <c r="W46" s="6">
        <f t="shared" si="3"/>
        <v>2</v>
      </c>
      <c r="X46" s="6">
        <f t="shared" si="4"/>
        <v>1002</v>
      </c>
      <c r="Y46" s="6">
        <v>2</v>
      </c>
      <c r="Z46" s="68" t="s">
        <v>401</v>
      </c>
      <c r="AA46" s="6">
        <f t="shared" si="5"/>
        <v>2</v>
      </c>
      <c r="AB46" s="6">
        <f t="shared" si="6"/>
        <v>1004</v>
      </c>
      <c r="AC46" s="6">
        <v>2</v>
      </c>
      <c r="AE46" s="84">
        <v>42</v>
      </c>
      <c r="AG46" s="11" t="str">
        <f t="shared" si="7"/>
        <v>物品类型</v>
      </c>
      <c r="AH46" s="11" t="str">
        <f t="shared" si="8"/>
        <v>id</v>
      </c>
      <c r="AI46" s="84" t="s">
        <v>399</v>
      </c>
      <c r="AJ46" s="84">
        <f t="shared" si="17"/>
        <v>0</v>
      </c>
      <c r="AK46" s="1">
        <f t="shared" si="21"/>
        <v>0</v>
      </c>
      <c r="AL46" s="1" t="str">
        <f t="shared" si="9"/>
        <v>物品类型</v>
      </c>
      <c r="AM46" s="1" t="str">
        <f t="shared" si="10"/>
        <v>id</v>
      </c>
      <c r="AN46" s="271"/>
      <c r="AO46" s="1">
        <f t="shared" si="19"/>
        <v>0</v>
      </c>
    </row>
    <row r="47" spans="1:41" ht="16.2" x14ac:dyDescent="0.35">
      <c r="A47" s="1">
        <v>43</v>
      </c>
      <c r="B47" s="84">
        <f t="shared" si="11"/>
        <v>55300</v>
      </c>
      <c r="C47" s="39"/>
      <c r="D47" s="39" t="str">
        <f t="shared" si="13"/>
        <v>1|2|400000</v>
      </c>
      <c r="E47" s="39" t="str">
        <f t="shared" si="14"/>
        <v>1|2|40000000</v>
      </c>
      <c r="F47" s="39">
        <v>0</v>
      </c>
      <c r="J47" s="1">
        <v>160</v>
      </c>
      <c r="K47" s="1">
        <f>SUM($J$5:J47)</f>
        <v>2658</v>
      </c>
      <c r="L47" s="231">
        <f t="shared" si="15"/>
        <v>11.074999999999999</v>
      </c>
      <c r="M47" s="1">
        <v>0.96</v>
      </c>
      <c r="N47" s="1">
        <f t="shared" si="0"/>
        <v>345.59999999999997</v>
      </c>
      <c r="O47" s="1">
        <f t="shared" si="16"/>
        <v>55300</v>
      </c>
      <c r="R47" s="6" t="s">
        <v>360</v>
      </c>
      <c r="S47" s="70">
        <f t="shared" si="1"/>
        <v>1</v>
      </c>
      <c r="T47" s="70">
        <f t="shared" si="2"/>
        <v>1</v>
      </c>
      <c r="U47" s="237">
        <v>3</v>
      </c>
      <c r="V47" s="68" t="s">
        <v>397</v>
      </c>
      <c r="W47" s="6">
        <f t="shared" si="3"/>
        <v>2</v>
      </c>
      <c r="X47" s="6">
        <f t="shared" si="4"/>
        <v>1001</v>
      </c>
      <c r="Y47" s="6">
        <v>2</v>
      </c>
      <c r="Z47" s="68" t="s">
        <v>401</v>
      </c>
      <c r="AA47" s="6">
        <f t="shared" si="5"/>
        <v>2</v>
      </c>
      <c r="AB47" s="6">
        <f t="shared" si="6"/>
        <v>1004</v>
      </c>
      <c r="AC47" s="6">
        <v>2</v>
      </c>
      <c r="AE47" s="59">
        <v>43</v>
      </c>
      <c r="AF47" s="1" t="s">
        <v>375</v>
      </c>
      <c r="AG47" s="11">
        <f t="shared" si="7"/>
        <v>1</v>
      </c>
      <c r="AH47" s="11">
        <f t="shared" si="8"/>
        <v>2</v>
      </c>
      <c r="AI47" s="84">
        <v>400000</v>
      </c>
      <c r="AJ47" s="84">
        <f t="shared" si="17"/>
        <v>400000</v>
      </c>
      <c r="AK47" s="1" t="str">
        <f t="shared" si="21"/>
        <v>金币</v>
      </c>
      <c r="AL47" s="1">
        <f t="shared" si="9"/>
        <v>1</v>
      </c>
      <c r="AM47" s="1">
        <f t="shared" si="10"/>
        <v>2</v>
      </c>
      <c r="AN47" s="271">
        <v>40000000</v>
      </c>
      <c r="AO47" s="1">
        <f t="shared" si="19"/>
        <v>40000000</v>
      </c>
    </row>
    <row r="48" spans="1:41" ht="16.2" x14ac:dyDescent="0.35">
      <c r="A48" s="1">
        <v>44</v>
      </c>
      <c r="B48" s="84">
        <f t="shared" si="11"/>
        <v>57020</v>
      </c>
      <c r="C48" s="39"/>
      <c r="D48" s="39" t="str">
        <f t="shared" si="13"/>
        <v/>
      </c>
      <c r="E48" s="39" t="str">
        <f t="shared" si="14"/>
        <v/>
      </c>
      <c r="F48" s="39">
        <v>0</v>
      </c>
      <c r="J48" s="1">
        <v>165</v>
      </c>
      <c r="K48" s="1">
        <f>SUM($J$5:J48)</f>
        <v>2823</v>
      </c>
      <c r="L48" s="231">
        <f t="shared" si="15"/>
        <v>11.762499999999999</v>
      </c>
      <c r="M48" s="1">
        <v>0.96</v>
      </c>
      <c r="N48" s="1">
        <f t="shared" si="0"/>
        <v>345.59999999999997</v>
      </c>
      <c r="O48" s="1">
        <f t="shared" si="16"/>
        <v>57020</v>
      </c>
      <c r="R48" s="6" t="s">
        <v>360</v>
      </c>
      <c r="S48" s="70">
        <f t="shared" si="1"/>
        <v>1</v>
      </c>
      <c r="T48" s="70">
        <f t="shared" si="2"/>
        <v>1</v>
      </c>
      <c r="U48" s="237">
        <v>3</v>
      </c>
      <c r="V48" s="68" t="s">
        <v>398</v>
      </c>
      <c r="W48" s="6">
        <f t="shared" si="3"/>
        <v>2</v>
      </c>
      <c r="X48" s="6">
        <f t="shared" si="4"/>
        <v>1002</v>
      </c>
      <c r="Y48" s="6">
        <v>2</v>
      </c>
      <c r="Z48" s="68" t="s">
        <v>402</v>
      </c>
      <c r="AA48" s="6">
        <f t="shared" si="5"/>
        <v>2</v>
      </c>
      <c r="AB48" s="6">
        <f t="shared" si="6"/>
        <v>1003</v>
      </c>
      <c r="AC48" s="6">
        <v>1</v>
      </c>
      <c r="AE48" s="84">
        <v>44</v>
      </c>
      <c r="AG48" s="11" t="str">
        <f t="shared" si="7"/>
        <v>物品类型</v>
      </c>
      <c r="AH48" s="11" t="str">
        <f t="shared" si="8"/>
        <v>id</v>
      </c>
      <c r="AI48" s="84"/>
      <c r="AJ48" s="84">
        <f t="shared" si="17"/>
        <v>0</v>
      </c>
      <c r="AK48" s="1">
        <f t="shared" si="21"/>
        <v>0</v>
      </c>
      <c r="AL48" s="1" t="str">
        <f t="shared" si="9"/>
        <v>物品类型</v>
      </c>
      <c r="AM48" s="1" t="str">
        <f t="shared" si="10"/>
        <v>id</v>
      </c>
      <c r="AN48" s="271"/>
      <c r="AO48" s="1">
        <f t="shared" si="19"/>
        <v>0</v>
      </c>
    </row>
    <row r="49" spans="1:41" ht="16.2" x14ac:dyDescent="0.35">
      <c r="A49" s="1">
        <v>45</v>
      </c>
      <c r="B49" s="84">
        <f t="shared" si="11"/>
        <v>58750</v>
      </c>
      <c r="C49" s="39"/>
      <c r="D49" s="39" t="str">
        <f t="shared" si="13"/>
        <v>2|1003|2</v>
      </c>
      <c r="E49" s="39" t="str">
        <f t="shared" si="14"/>
        <v>2|1003|100</v>
      </c>
      <c r="F49" s="39">
        <v>0</v>
      </c>
      <c r="J49" s="1">
        <v>170</v>
      </c>
      <c r="K49" s="1">
        <f>SUM($J$5:J49)</f>
        <v>2993</v>
      </c>
      <c r="L49" s="231">
        <f t="shared" si="15"/>
        <v>12.470833333333333</v>
      </c>
      <c r="M49" s="1">
        <v>0.96</v>
      </c>
      <c r="N49" s="1">
        <f t="shared" si="0"/>
        <v>345.59999999999997</v>
      </c>
      <c r="O49" s="1">
        <f t="shared" si="16"/>
        <v>58750</v>
      </c>
      <c r="R49" s="6" t="s">
        <v>360</v>
      </c>
      <c r="S49" s="70">
        <f t="shared" si="1"/>
        <v>1</v>
      </c>
      <c r="T49" s="70">
        <f t="shared" si="2"/>
        <v>1</v>
      </c>
      <c r="U49" s="237">
        <v>3</v>
      </c>
      <c r="V49" s="68" t="s">
        <v>397</v>
      </c>
      <c r="W49" s="6">
        <f t="shared" si="3"/>
        <v>2</v>
      </c>
      <c r="X49" s="6">
        <f t="shared" si="4"/>
        <v>1001</v>
      </c>
      <c r="Y49" s="6">
        <v>2</v>
      </c>
      <c r="Z49" s="68" t="s">
        <v>398</v>
      </c>
      <c r="AA49" s="6">
        <f t="shared" si="5"/>
        <v>2</v>
      </c>
      <c r="AB49" s="6">
        <f t="shared" si="6"/>
        <v>1002</v>
      </c>
      <c r="AC49" s="6">
        <v>2</v>
      </c>
      <c r="AE49" s="59">
        <v>45</v>
      </c>
      <c r="AF49" s="1" t="s">
        <v>402</v>
      </c>
      <c r="AG49" s="11">
        <f t="shared" si="7"/>
        <v>2</v>
      </c>
      <c r="AH49" s="11">
        <f t="shared" si="8"/>
        <v>1003</v>
      </c>
      <c r="AI49" s="84">
        <v>2</v>
      </c>
      <c r="AJ49" s="84">
        <f t="shared" si="17"/>
        <v>199999.99999999997</v>
      </c>
      <c r="AK49" s="1" t="str">
        <f t="shared" si="21"/>
        <v>狂暴</v>
      </c>
      <c r="AL49" s="1">
        <f t="shared" si="9"/>
        <v>2</v>
      </c>
      <c r="AM49" s="1">
        <f t="shared" si="10"/>
        <v>1003</v>
      </c>
      <c r="AN49" s="271">
        <v>100</v>
      </c>
      <c r="AO49" s="1">
        <f t="shared" si="19"/>
        <v>9999999.9999999981</v>
      </c>
    </row>
    <row r="50" spans="1:41" ht="16.2" x14ac:dyDescent="0.35">
      <c r="A50" s="1">
        <v>46</v>
      </c>
      <c r="B50" s="84">
        <f t="shared" si="11"/>
        <v>60480</v>
      </c>
      <c r="C50" s="39"/>
      <c r="D50" s="39" t="str">
        <f t="shared" si="13"/>
        <v/>
      </c>
      <c r="E50" s="39" t="str">
        <f t="shared" si="14"/>
        <v/>
      </c>
      <c r="F50" s="39">
        <v>0</v>
      </c>
      <c r="J50" s="1">
        <v>175</v>
      </c>
      <c r="K50" s="1">
        <f>SUM($J$5:J50)</f>
        <v>3168</v>
      </c>
      <c r="L50" s="231">
        <f t="shared" si="15"/>
        <v>13.2</v>
      </c>
      <c r="M50" s="1">
        <v>0.96</v>
      </c>
      <c r="N50" s="1">
        <f t="shared" si="0"/>
        <v>345.59999999999997</v>
      </c>
      <c r="O50" s="1">
        <f t="shared" si="16"/>
        <v>60480</v>
      </c>
      <c r="R50" s="6" t="s">
        <v>360</v>
      </c>
      <c r="S50" s="70">
        <f t="shared" si="1"/>
        <v>1</v>
      </c>
      <c r="T50" s="70">
        <f t="shared" si="2"/>
        <v>1</v>
      </c>
      <c r="U50" s="237">
        <v>3</v>
      </c>
      <c r="V50" s="68" t="s">
        <v>398</v>
      </c>
      <c r="W50" s="6">
        <f t="shared" si="3"/>
        <v>2</v>
      </c>
      <c r="X50" s="6">
        <f t="shared" si="4"/>
        <v>1002</v>
      </c>
      <c r="Y50" s="6">
        <v>2</v>
      </c>
      <c r="Z50" s="68" t="s">
        <v>401</v>
      </c>
      <c r="AA50" s="6">
        <f t="shared" si="5"/>
        <v>2</v>
      </c>
      <c r="AB50" s="6">
        <f t="shared" si="6"/>
        <v>1004</v>
      </c>
      <c r="AC50" s="6">
        <v>2</v>
      </c>
      <c r="AE50" s="84">
        <v>46</v>
      </c>
      <c r="AG50" s="11" t="str">
        <f t="shared" si="7"/>
        <v>物品类型</v>
      </c>
      <c r="AH50" s="11" t="str">
        <f t="shared" si="8"/>
        <v>id</v>
      </c>
      <c r="AI50" s="84" t="s">
        <v>399</v>
      </c>
      <c r="AJ50" s="84">
        <f t="shared" si="17"/>
        <v>0</v>
      </c>
      <c r="AK50" s="1">
        <f t="shared" si="21"/>
        <v>0</v>
      </c>
      <c r="AL50" s="1" t="str">
        <f t="shared" si="9"/>
        <v>物品类型</v>
      </c>
      <c r="AM50" s="1" t="str">
        <f t="shared" si="10"/>
        <v>id</v>
      </c>
      <c r="AN50" s="271"/>
      <c r="AO50" s="1">
        <f t="shared" si="19"/>
        <v>0</v>
      </c>
    </row>
    <row r="51" spans="1:41" ht="16.2" x14ac:dyDescent="0.35">
      <c r="A51" s="1">
        <v>47</v>
      </c>
      <c r="B51" s="84">
        <f t="shared" si="11"/>
        <v>62210</v>
      </c>
      <c r="C51" s="39"/>
      <c r="D51" s="39" t="str">
        <f t="shared" si="13"/>
        <v/>
      </c>
      <c r="E51" s="39" t="str">
        <f t="shared" si="14"/>
        <v/>
      </c>
      <c r="F51" s="39">
        <v>0</v>
      </c>
      <c r="J51" s="1">
        <v>180</v>
      </c>
      <c r="K51" s="1">
        <f>SUM($J$5:J51)</f>
        <v>3348</v>
      </c>
      <c r="L51" s="231">
        <f t="shared" si="15"/>
        <v>13.95</v>
      </c>
      <c r="M51" s="1">
        <v>0.96</v>
      </c>
      <c r="N51" s="1">
        <f t="shared" si="0"/>
        <v>345.59999999999997</v>
      </c>
      <c r="O51" s="1">
        <f t="shared" si="16"/>
        <v>62210</v>
      </c>
      <c r="R51" s="6" t="s">
        <v>360</v>
      </c>
      <c r="S51" s="70">
        <f t="shared" si="1"/>
        <v>1</v>
      </c>
      <c r="T51" s="70">
        <f t="shared" si="2"/>
        <v>1</v>
      </c>
      <c r="U51" s="237">
        <v>3</v>
      </c>
      <c r="V51" s="68" t="s">
        <v>397</v>
      </c>
      <c r="W51" s="6">
        <f t="shared" si="3"/>
        <v>2</v>
      </c>
      <c r="X51" s="6">
        <f t="shared" si="4"/>
        <v>1001</v>
      </c>
      <c r="Y51" s="6">
        <v>2</v>
      </c>
      <c r="Z51" s="68" t="s">
        <v>401</v>
      </c>
      <c r="AA51" s="6">
        <f t="shared" si="5"/>
        <v>2</v>
      </c>
      <c r="AB51" s="6">
        <f t="shared" si="6"/>
        <v>1004</v>
      </c>
      <c r="AC51" s="6">
        <v>2</v>
      </c>
      <c r="AE51" s="84">
        <v>47</v>
      </c>
      <c r="AG51" s="11" t="str">
        <f t="shared" si="7"/>
        <v>物品类型</v>
      </c>
      <c r="AH51" s="11" t="str">
        <f t="shared" si="8"/>
        <v>id</v>
      </c>
      <c r="AI51" s="84" t="s">
        <v>399</v>
      </c>
      <c r="AJ51" s="84">
        <f t="shared" si="17"/>
        <v>0</v>
      </c>
      <c r="AK51" s="1">
        <f t="shared" si="21"/>
        <v>0</v>
      </c>
      <c r="AL51" s="1" t="str">
        <f t="shared" si="9"/>
        <v>物品类型</v>
      </c>
      <c r="AM51" s="1" t="str">
        <f t="shared" si="10"/>
        <v>id</v>
      </c>
      <c r="AN51" s="271"/>
      <c r="AO51" s="1">
        <f t="shared" si="19"/>
        <v>0</v>
      </c>
    </row>
    <row r="52" spans="1:41" ht="16.2" x14ac:dyDescent="0.35">
      <c r="A52" s="1">
        <v>48</v>
      </c>
      <c r="B52" s="84">
        <f t="shared" si="11"/>
        <v>63940</v>
      </c>
      <c r="C52" s="39"/>
      <c r="D52" s="39" t="str">
        <f t="shared" si="13"/>
        <v>1|2|450000</v>
      </c>
      <c r="E52" s="39" t="str">
        <f t="shared" si="14"/>
        <v>1|2|45000000</v>
      </c>
      <c r="F52" s="39">
        <v>0</v>
      </c>
      <c r="J52" s="1">
        <v>185</v>
      </c>
      <c r="K52" s="1">
        <f>SUM($J$5:J52)</f>
        <v>3533</v>
      </c>
      <c r="L52" s="231">
        <f t="shared" si="15"/>
        <v>14.720833333333333</v>
      </c>
      <c r="M52" s="1">
        <v>0.96</v>
      </c>
      <c r="N52" s="1">
        <f t="shared" si="0"/>
        <v>345.59999999999997</v>
      </c>
      <c r="O52" s="1">
        <f t="shared" si="16"/>
        <v>63940</v>
      </c>
      <c r="R52" s="6" t="s">
        <v>360</v>
      </c>
      <c r="S52" s="70">
        <f t="shared" si="1"/>
        <v>1</v>
      </c>
      <c r="T52" s="70">
        <f t="shared" si="2"/>
        <v>1</v>
      </c>
      <c r="U52" s="237">
        <v>3</v>
      </c>
      <c r="V52" s="68" t="s">
        <v>398</v>
      </c>
      <c r="W52" s="6">
        <f t="shared" si="3"/>
        <v>2</v>
      </c>
      <c r="X52" s="6">
        <f t="shared" si="4"/>
        <v>1002</v>
      </c>
      <c r="Y52" s="6">
        <v>2</v>
      </c>
      <c r="Z52" s="68" t="s">
        <v>401</v>
      </c>
      <c r="AA52" s="6">
        <f t="shared" si="5"/>
        <v>2</v>
      </c>
      <c r="AB52" s="6">
        <f t="shared" si="6"/>
        <v>1004</v>
      </c>
      <c r="AC52" s="6">
        <v>2</v>
      </c>
      <c r="AE52" s="59">
        <v>48</v>
      </c>
      <c r="AF52" s="1" t="s">
        <v>375</v>
      </c>
      <c r="AG52" s="11">
        <f t="shared" si="7"/>
        <v>1</v>
      </c>
      <c r="AH52" s="11">
        <f t="shared" si="8"/>
        <v>2</v>
      </c>
      <c r="AI52" s="84">
        <v>450000</v>
      </c>
      <c r="AJ52" s="84">
        <f t="shared" si="17"/>
        <v>450000</v>
      </c>
      <c r="AK52" s="1" t="str">
        <f t="shared" si="21"/>
        <v>金币</v>
      </c>
      <c r="AL52" s="1">
        <f t="shared" si="9"/>
        <v>1</v>
      </c>
      <c r="AM52" s="1">
        <f t="shared" si="10"/>
        <v>2</v>
      </c>
      <c r="AN52" s="271">
        <v>45000000</v>
      </c>
      <c r="AO52" s="1">
        <f t="shared" si="19"/>
        <v>45000000</v>
      </c>
    </row>
    <row r="53" spans="1:41" ht="16.2" x14ac:dyDescent="0.35">
      <c r="A53" s="1">
        <v>49</v>
      </c>
      <c r="B53" s="84">
        <f t="shared" si="11"/>
        <v>65660</v>
      </c>
      <c r="C53" s="39"/>
      <c r="D53" s="39" t="str">
        <f t="shared" si="13"/>
        <v/>
      </c>
      <c r="E53" s="39" t="str">
        <f t="shared" si="14"/>
        <v/>
      </c>
      <c r="F53" s="39">
        <v>0</v>
      </c>
      <c r="J53" s="1">
        <v>190</v>
      </c>
      <c r="K53" s="232">
        <f>SUM($J$5:J53)</f>
        <v>3723</v>
      </c>
      <c r="L53" s="231">
        <f t="shared" si="15"/>
        <v>15.512499999999999</v>
      </c>
      <c r="M53" s="1">
        <v>0.96</v>
      </c>
      <c r="N53" s="1">
        <f t="shared" si="0"/>
        <v>345.59999999999997</v>
      </c>
      <c r="O53" s="1">
        <f t="shared" si="16"/>
        <v>65660</v>
      </c>
      <c r="R53" s="6" t="s">
        <v>360</v>
      </c>
      <c r="S53" s="70">
        <f t="shared" si="1"/>
        <v>1</v>
      </c>
      <c r="T53" s="70">
        <f t="shared" si="2"/>
        <v>1</v>
      </c>
      <c r="U53" s="237">
        <v>3</v>
      </c>
      <c r="V53" s="68" t="s">
        <v>397</v>
      </c>
      <c r="W53" s="6">
        <f t="shared" si="3"/>
        <v>2</v>
      </c>
      <c r="X53" s="6">
        <f t="shared" si="4"/>
        <v>1001</v>
      </c>
      <c r="Y53" s="6">
        <v>2</v>
      </c>
      <c r="Z53" s="68" t="s">
        <v>402</v>
      </c>
      <c r="AA53" s="6">
        <f t="shared" si="5"/>
        <v>2</v>
      </c>
      <c r="AB53" s="6">
        <f t="shared" si="6"/>
        <v>1003</v>
      </c>
      <c r="AC53" s="6">
        <v>1</v>
      </c>
      <c r="AE53" s="84">
        <v>49</v>
      </c>
      <c r="AG53" s="11" t="str">
        <f t="shared" si="7"/>
        <v>物品类型</v>
      </c>
      <c r="AH53" s="11" t="str">
        <f t="shared" si="8"/>
        <v>id</v>
      </c>
      <c r="AI53" s="84"/>
      <c r="AJ53" s="84">
        <f t="shared" si="17"/>
        <v>0</v>
      </c>
      <c r="AK53" s="1">
        <f t="shared" si="21"/>
        <v>0</v>
      </c>
      <c r="AL53" s="1" t="str">
        <f t="shared" si="9"/>
        <v>物品类型</v>
      </c>
      <c r="AM53" s="1" t="str">
        <f t="shared" si="10"/>
        <v>id</v>
      </c>
      <c r="AN53" s="271">
        <v>0</v>
      </c>
      <c r="AO53" s="1">
        <f t="shared" si="19"/>
        <v>0</v>
      </c>
    </row>
    <row r="54" spans="1:41" ht="16.2" x14ac:dyDescent="0.35">
      <c r="A54" s="1">
        <v>50</v>
      </c>
      <c r="B54" s="84">
        <f t="shared" si="11"/>
        <v>76030</v>
      </c>
      <c r="C54" s="39"/>
      <c r="D54" s="39" t="str">
        <f t="shared" si="13"/>
        <v>1|2|500000</v>
      </c>
      <c r="E54" s="39" t="str">
        <f t="shared" si="14"/>
        <v>2|1008|5</v>
      </c>
      <c r="F54" s="39">
        <v>0</v>
      </c>
      <c r="J54" s="1">
        <v>220</v>
      </c>
      <c r="K54" s="1">
        <f>SUM($J$5:J54)</f>
        <v>3943</v>
      </c>
      <c r="L54" s="231">
        <f t="shared" si="15"/>
        <v>16.429166666666667</v>
      </c>
      <c r="M54" s="1">
        <v>0.96</v>
      </c>
      <c r="N54" s="1">
        <f t="shared" si="0"/>
        <v>345.59999999999997</v>
      </c>
      <c r="O54" s="1">
        <f t="shared" si="16"/>
        <v>76030</v>
      </c>
      <c r="R54" s="6" t="s">
        <v>360</v>
      </c>
      <c r="S54" s="70">
        <f t="shared" si="1"/>
        <v>1</v>
      </c>
      <c r="T54" s="70">
        <f t="shared" si="2"/>
        <v>1</v>
      </c>
      <c r="U54" s="237">
        <v>3</v>
      </c>
      <c r="V54" s="68" t="s">
        <v>398</v>
      </c>
      <c r="W54" s="6">
        <f t="shared" si="3"/>
        <v>2</v>
      </c>
      <c r="X54" s="6">
        <f t="shared" si="4"/>
        <v>1002</v>
      </c>
      <c r="Y54" s="6">
        <v>2</v>
      </c>
      <c r="Z54" s="68" t="s">
        <v>401</v>
      </c>
      <c r="AA54" s="6">
        <f t="shared" si="5"/>
        <v>2</v>
      </c>
      <c r="AB54" s="6">
        <f t="shared" si="6"/>
        <v>1004</v>
      </c>
      <c r="AC54" s="6">
        <v>2</v>
      </c>
      <c r="AE54" s="59">
        <v>50</v>
      </c>
      <c r="AF54" s="1" t="s">
        <v>375</v>
      </c>
      <c r="AG54" s="11">
        <f t="shared" si="7"/>
        <v>1</v>
      </c>
      <c r="AH54" s="11">
        <f t="shared" si="8"/>
        <v>2</v>
      </c>
      <c r="AI54" s="84">
        <v>500000</v>
      </c>
      <c r="AJ54" s="84">
        <f t="shared" si="17"/>
        <v>500000</v>
      </c>
      <c r="AK54" s="1" t="s">
        <v>361</v>
      </c>
      <c r="AL54" s="1">
        <f t="shared" si="9"/>
        <v>2</v>
      </c>
      <c r="AM54" s="1">
        <f t="shared" si="10"/>
        <v>1008</v>
      </c>
      <c r="AN54" s="272">
        <v>5</v>
      </c>
      <c r="AO54" s="1">
        <f t="shared" si="19"/>
        <v>50000000</v>
      </c>
    </row>
    <row r="55" spans="1:41" ht="16.2" x14ac:dyDescent="0.35">
      <c r="A55" s="1">
        <v>51</v>
      </c>
      <c r="B55" s="84">
        <f t="shared" si="11"/>
        <v>89860</v>
      </c>
      <c r="C55" s="39"/>
      <c r="D55" s="39" t="str">
        <f t="shared" si="13"/>
        <v/>
      </c>
      <c r="E55" s="39" t="str">
        <f t="shared" si="14"/>
        <v/>
      </c>
      <c r="F55" s="39">
        <v>0</v>
      </c>
      <c r="J55" s="1">
        <v>260</v>
      </c>
      <c r="K55" s="1">
        <f>SUM($J$5:J55)</f>
        <v>4203</v>
      </c>
      <c r="L55" s="231">
        <f t="shared" si="15"/>
        <v>17.512499999999999</v>
      </c>
      <c r="M55" s="1">
        <v>0.96</v>
      </c>
      <c r="N55" s="1">
        <f t="shared" si="0"/>
        <v>345.59999999999997</v>
      </c>
      <c r="O55" s="1">
        <f t="shared" si="16"/>
        <v>89860</v>
      </c>
      <c r="R55" s="6" t="s">
        <v>360</v>
      </c>
      <c r="S55" s="70">
        <f t="shared" si="1"/>
        <v>1</v>
      </c>
      <c r="T55" s="70">
        <f t="shared" si="2"/>
        <v>1</v>
      </c>
      <c r="U55" s="237">
        <v>3</v>
      </c>
      <c r="V55" s="68" t="s">
        <v>397</v>
      </c>
      <c r="W55" s="6">
        <f t="shared" si="3"/>
        <v>2</v>
      </c>
      <c r="X55" s="6">
        <f t="shared" si="4"/>
        <v>1001</v>
      </c>
      <c r="Y55" s="6">
        <v>2</v>
      </c>
      <c r="Z55" s="68" t="s">
        <v>398</v>
      </c>
      <c r="AA55" s="6">
        <f t="shared" si="5"/>
        <v>2</v>
      </c>
      <c r="AB55" s="6">
        <f t="shared" si="6"/>
        <v>1002</v>
      </c>
      <c r="AC55" s="6">
        <v>2</v>
      </c>
      <c r="AG55" s="11"/>
      <c r="AH55" s="11"/>
      <c r="AI55" s="84"/>
      <c r="AJ55" s="84"/>
      <c r="AN55" s="271"/>
    </row>
    <row r="56" spans="1:41" x14ac:dyDescent="0.35">
      <c r="A56" s="1">
        <v>52</v>
      </c>
      <c r="B56" s="84">
        <f t="shared" si="11"/>
        <v>103680</v>
      </c>
      <c r="C56" s="39"/>
      <c r="D56" s="39" t="str">
        <f t="shared" si="13"/>
        <v/>
      </c>
      <c r="E56" s="39" t="str">
        <f t="shared" si="14"/>
        <v/>
      </c>
      <c r="F56" s="39">
        <v>0</v>
      </c>
      <c r="J56" s="1">
        <v>300</v>
      </c>
      <c r="K56" s="1">
        <f>SUM($J$5:J56)</f>
        <v>4503</v>
      </c>
      <c r="L56" s="231">
        <f t="shared" si="15"/>
        <v>18.762499999999999</v>
      </c>
      <c r="M56" s="1">
        <v>0.96</v>
      </c>
      <c r="N56" s="1">
        <f t="shared" si="0"/>
        <v>345.59999999999997</v>
      </c>
      <c r="O56" s="1">
        <f t="shared" si="16"/>
        <v>103680</v>
      </c>
      <c r="R56" s="6" t="s">
        <v>360</v>
      </c>
      <c r="S56" s="70">
        <f t="shared" si="1"/>
        <v>1</v>
      </c>
      <c r="T56" s="70">
        <f t="shared" si="2"/>
        <v>1</v>
      </c>
      <c r="U56" s="237">
        <v>3</v>
      </c>
      <c r="V56" s="68" t="s">
        <v>398</v>
      </c>
      <c r="W56" s="6">
        <f t="shared" si="3"/>
        <v>2</v>
      </c>
      <c r="X56" s="6">
        <f t="shared" si="4"/>
        <v>1002</v>
      </c>
      <c r="Y56" s="6">
        <v>2</v>
      </c>
      <c r="Z56" s="68" t="s">
        <v>401</v>
      </c>
      <c r="AA56" s="6">
        <f t="shared" si="5"/>
        <v>2</v>
      </c>
      <c r="AB56" s="6">
        <f t="shared" si="6"/>
        <v>1004</v>
      </c>
      <c r="AC56" s="6">
        <v>2</v>
      </c>
    </row>
    <row r="57" spans="1:41" x14ac:dyDescent="0.35">
      <c r="A57" s="1">
        <v>53</v>
      </c>
      <c r="B57" s="84">
        <f t="shared" si="11"/>
        <v>120960</v>
      </c>
      <c r="C57" s="39"/>
      <c r="D57" s="39" t="str">
        <f t="shared" si="13"/>
        <v/>
      </c>
      <c r="E57" s="39" t="str">
        <f t="shared" si="14"/>
        <v/>
      </c>
      <c r="F57" s="39">
        <v>0</v>
      </c>
      <c r="J57" s="1">
        <v>350</v>
      </c>
      <c r="K57" s="1">
        <f>SUM($J$5:J57)</f>
        <v>4853</v>
      </c>
      <c r="L57" s="231">
        <f t="shared" si="15"/>
        <v>20.220833333333335</v>
      </c>
      <c r="M57" s="1">
        <v>0.96</v>
      </c>
      <c r="N57" s="1">
        <f t="shared" si="0"/>
        <v>345.59999999999997</v>
      </c>
      <c r="O57" s="1">
        <f t="shared" si="16"/>
        <v>120960</v>
      </c>
      <c r="R57" s="6" t="s">
        <v>360</v>
      </c>
      <c r="S57" s="70">
        <f t="shared" si="1"/>
        <v>1</v>
      </c>
      <c r="T57" s="70">
        <f t="shared" si="2"/>
        <v>1</v>
      </c>
      <c r="U57" s="237">
        <v>3</v>
      </c>
      <c r="V57" s="68" t="s">
        <v>397</v>
      </c>
      <c r="W57" s="6">
        <f t="shared" si="3"/>
        <v>2</v>
      </c>
      <c r="X57" s="6">
        <f t="shared" si="4"/>
        <v>1001</v>
      </c>
      <c r="Y57" s="6">
        <v>2</v>
      </c>
      <c r="Z57" s="68" t="s">
        <v>401</v>
      </c>
      <c r="AA57" s="6">
        <f t="shared" si="5"/>
        <v>2</v>
      </c>
      <c r="AB57" s="6">
        <f t="shared" si="6"/>
        <v>1004</v>
      </c>
      <c r="AC57" s="6">
        <v>2</v>
      </c>
    </row>
    <row r="58" spans="1:41" x14ac:dyDescent="0.35">
      <c r="A58" s="1">
        <v>54</v>
      </c>
      <c r="B58" s="84">
        <f t="shared" si="11"/>
        <v>138240</v>
      </c>
      <c r="C58" s="39"/>
      <c r="D58" s="39" t="str">
        <f t="shared" si="13"/>
        <v/>
      </c>
      <c r="E58" s="39" t="str">
        <f t="shared" si="14"/>
        <v/>
      </c>
      <c r="F58" s="39">
        <v>0</v>
      </c>
      <c r="J58" s="1">
        <v>400</v>
      </c>
      <c r="K58" s="1">
        <f>SUM($J$5:J58)</f>
        <v>5253</v>
      </c>
      <c r="L58" s="231">
        <f t="shared" si="15"/>
        <v>21.887499999999999</v>
      </c>
      <c r="M58" s="1">
        <v>0.96</v>
      </c>
      <c r="N58" s="1">
        <f t="shared" si="0"/>
        <v>345.59999999999997</v>
      </c>
      <c r="O58" s="1">
        <f t="shared" si="16"/>
        <v>138240</v>
      </c>
      <c r="R58" s="6" t="s">
        <v>360</v>
      </c>
      <c r="S58" s="70">
        <f t="shared" si="1"/>
        <v>1</v>
      </c>
      <c r="T58" s="70">
        <f t="shared" si="2"/>
        <v>1</v>
      </c>
      <c r="U58" s="237">
        <v>3</v>
      </c>
      <c r="V58" s="68" t="s">
        <v>398</v>
      </c>
      <c r="W58" s="6">
        <f t="shared" si="3"/>
        <v>2</v>
      </c>
      <c r="X58" s="6">
        <f t="shared" si="4"/>
        <v>1002</v>
      </c>
      <c r="Y58" s="6">
        <v>2</v>
      </c>
      <c r="Z58" s="68" t="s">
        <v>402</v>
      </c>
      <c r="AA58" s="6">
        <f t="shared" si="5"/>
        <v>2</v>
      </c>
      <c r="AB58" s="6">
        <f t="shared" si="6"/>
        <v>1003</v>
      </c>
      <c r="AC58" s="6">
        <v>1</v>
      </c>
    </row>
    <row r="59" spans="1:41" x14ac:dyDescent="0.35">
      <c r="A59" s="1">
        <v>55</v>
      </c>
      <c r="B59" s="84">
        <f t="shared" si="11"/>
        <v>155520</v>
      </c>
      <c r="C59" s="39"/>
      <c r="D59" s="39" t="str">
        <f t="shared" si="13"/>
        <v/>
      </c>
      <c r="E59" s="39" t="str">
        <f t="shared" si="14"/>
        <v/>
      </c>
      <c r="F59" s="39">
        <v>0</v>
      </c>
      <c r="J59" s="1">
        <v>450</v>
      </c>
      <c r="K59" s="1">
        <f>SUM($J$5:J59)</f>
        <v>5703</v>
      </c>
      <c r="L59" s="231">
        <f t="shared" si="15"/>
        <v>23.762499999999999</v>
      </c>
      <c r="M59" s="1">
        <v>0.96</v>
      </c>
      <c r="N59" s="1">
        <f t="shared" si="0"/>
        <v>345.59999999999997</v>
      </c>
      <c r="O59" s="1">
        <f t="shared" si="16"/>
        <v>155520</v>
      </c>
      <c r="R59" s="6" t="s">
        <v>360</v>
      </c>
      <c r="S59" s="70">
        <f t="shared" si="1"/>
        <v>1</v>
      </c>
      <c r="T59" s="70">
        <f t="shared" si="2"/>
        <v>1</v>
      </c>
      <c r="U59" s="237">
        <v>3</v>
      </c>
      <c r="V59" s="68" t="s">
        <v>397</v>
      </c>
      <c r="W59" s="6">
        <f t="shared" si="3"/>
        <v>2</v>
      </c>
      <c r="X59" s="6">
        <f t="shared" si="4"/>
        <v>1001</v>
      </c>
      <c r="Y59" s="6">
        <v>2</v>
      </c>
      <c r="Z59" s="68" t="s">
        <v>398</v>
      </c>
      <c r="AA59" s="6">
        <f t="shared" si="5"/>
        <v>2</v>
      </c>
      <c r="AB59" s="6">
        <f t="shared" si="6"/>
        <v>1002</v>
      </c>
      <c r="AC59" s="6">
        <v>2</v>
      </c>
    </row>
    <row r="60" spans="1:41" x14ac:dyDescent="0.35">
      <c r="A60" s="1">
        <v>56</v>
      </c>
      <c r="B60" s="84">
        <f t="shared" si="11"/>
        <v>172800</v>
      </c>
      <c r="C60" s="39"/>
      <c r="D60" s="39" t="str">
        <f t="shared" si="13"/>
        <v/>
      </c>
      <c r="E60" s="39" t="str">
        <f t="shared" si="14"/>
        <v/>
      </c>
      <c r="F60" s="39">
        <v>0</v>
      </c>
      <c r="J60" s="1">
        <v>500</v>
      </c>
      <c r="K60" s="1">
        <f>SUM($J$5:J60)</f>
        <v>6203</v>
      </c>
      <c r="L60" s="231">
        <f t="shared" si="15"/>
        <v>25.845833333333335</v>
      </c>
      <c r="M60" s="1">
        <v>0.96</v>
      </c>
      <c r="N60" s="1">
        <f t="shared" si="0"/>
        <v>345.59999999999997</v>
      </c>
      <c r="O60" s="1">
        <f t="shared" si="16"/>
        <v>172800</v>
      </c>
      <c r="R60" s="6" t="s">
        <v>360</v>
      </c>
      <c r="S60" s="70">
        <f t="shared" si="1"/>
        <v>1</v>
      </c>
      <c r="T60" s="70">
        <f t="shared" si="2"/>
        <v>1</v>
      </c>
      <c r="U60" s="237">
        <v>3</v>
      </c>
      <c r="V60" s="68" t="s">
        <v>398</v>
      </c>
      <c r="W60" s="6">
        <f t="shared" si="3"/>
        <v>2</v>
      </c>
      <c r="X60" s="6">
        <f t="shared" si="4"/>
        <v>1002</v>
      </c>
      <c r="Y60" s="6">
        <v>2</v>
      </c>
      <c r="Z60" s="68" t="s">
        <v>401</v>
      </c>
      <c r="AA60" s="6">
        <f t="shared" si="5"/>
        <v>2</v>
      </c>
      <c r="AB60" s="6">
        <f t="shared" si="6"/>
        <v>1004</v>
      </c>
      <c r="AC60" s="6">
        <v>2</v>
      </c>
    </row>
    <row r="61" spans="1:41" x14ac:dyDescent="0.35">
      <c r="A61" s="1">
        <v>57</v>
      </c>
      <c r="B61" s="84">
        <f t="shared" si="11"/>
        <v>183170</v>
      </c>
      <c r="C61" s="39"/>
      <c r="D61" s="39" t="str">
        <f t="shared" si="13"/>
        <v/>
      </c>
      <c r="E61" s="39" t="str">
        <f t="shared" si="14"/>
        <v/>
      </c>
      <c r="F61" s="39">
        <v>0</v>
      </c>
      <c r="J61" s="1">
        <v>530</v>
      </c>
      <c r="K61" s="1">
        <f>SUM($J$5:J61)</f>
        <v>6733</v>
      </c>
      <c r="L61" s="231">
        <f t="shared" si="15"/>
        <v>28.054166666666667</v>
      </c>
      <c r="M61" s="1">
        <v>0.96</v>
      </c>
      <c r="N61" s="1">
        <f t="shared" si="0"/>
        <v>345.59999999999997</v>
      </c>
      <c r="O61" s="1">
        <f t="shared" si="16"/>
        <v>183170</v>
      </c>
      <c r="R61" s="6" t="s">
        <v>360</v>
      </c>
      <c r="S61" s="70">
        <f t="shared" si="1"/>
        <v>1</v>
      </c>
      <c r="T61" s="70">
        <f t="shared" si="2"/>
        <v>1</v>
      </c>
      <c r="U61" s="237">
        <v>3</v>
      </c>
      <c r="V61" s="68" t="s">
        <v>397</v>
      </c>
      <c r="W61" s="6">
        <f t="shared" si="3"/>
        <v>2</v>
      </c>
      <c r="X61" s="6">
        <f t="shared" si="4"/>
        <v>1001</v>
      </c>
      <c r="Y61" s="6">
        <v>2</v>
      </c>
      <c r="Z61" s="68" t="s">
        <v>401</v>
      </c>
      <c r="AA61" s="6">
        <f t="shared" si="5"/>
        <v>2</v>
      </c>
      <c r="AB61" s="6">
        <f t="shared" si="6"/>
        <v>1004</v>
      </c>
      <c r="AC61" s="6">
        <v>2</v>
      </c>
    </row>
    <row r="62" spans="1:41" x14ac:dyDescent="0.35">
      <c r="A62" s="1">
        <v>58</v>
      </c>
      <c r="B62" s="84">
        <f t="shared" si="11"/>
        <v>193540</v>
      </c>
      <c r="C62" s="39"/>
      <c r="D62" s="39" t="str">
        <f t="shared" si="13"/>
        <v/>
      </c>
      <c r="E62" s="39" t="str">
        <f t="shared" si="14"/>
        <v/>
      </c>
      <c r="F62" s="39">
        <v>0</v>
      </c>
      <c r="J62" s="1">
        <v>560</v>
      </c>
      <c r="K62" s="1">
        <f>SUM($J$5:J62)</f>
        <v>7293</v>
      </c>
      <c r="L62" s="231">
        <f t="shared" si="15"/>
        <v>30.387499999999999</v>
      </c>
      <c r="M62" s="1">
        <v>0.96</v>
      </c>
      <c r="N62" s="1">
        <f t="shared" si="0"/>
        <v>345.59999999999997</v>
      </c>
      <c r="O62" s="1">
        <f t="shared" si="16"/>
        <v>193540</v>
      </c>
      <c r="R62" s="6" t="s">
        <v>360</v>
      </c>
      <c r="S62" s="70">
        <f t="shared" si="1"/>
        <v>1</v>
      </c>
      <c r="T62" s="70">
        <f t="shared" si="2"/>
        <v>1</v>
      </c>
      <c r="U62" s="237">
        <v>3</v>
      </c>
      <c r="V62" s="68" t="s">
        <v>398</v>
      </c>
      <c r="W62" s="6">
        <f t="shared" si="3"/>
        <v>2</v>
      </c>
      <c r="X62" s="6">
        <f t="shared" si="4"/>
        <v>1002</v>
      </c>
      <c r="Y62" s="6">
        <v>2</v>
      </c>
      <c r="Z62" s="68" t="s">
        <v>401</v>
      </c>
      <c r="AA62" s="6">
        <f t="shared" si="5"/>
        <v>2</v>
      </c>
      <c r="AB62" s="6">
        <f t="shared" si="6"/>
        <v>1004</v>
      </c>
      <c r="AC62" s="6">
        <v>2</v>
      </c>
    </row>
    <row r="63" spans="1:41" x14ac:dyDescent="0.35">
      <c r="A63" s="1">
        <v>59</v>
      </c>
      <c r="B63" s="84">
        <f t="shared" si="11"/>
        <v>203900</v>
      </c>
      <c r="C63" s="39"/>
      <c r="D63" s="39" t="str">
        <f t="shared" si="13"/>
        <v/>
      </c>
      <c r="E63" s="39" t="str">
        <f t="shared" si="14"/>
        <v/>
      </c>
      <c r="F63" s="39">
        <v>0</v>
      </c>
      <c r="J63" s="1">
        <v>590</v>
      </c>
      <c r="K63" s="232">
        <f>SUM($J$5:J63)</f>
        <v>7883</v>
      </c>
      <c r="L63" s="231">
        <f t="shared" si="15"/>
        <v>32.845833333333331</v>
      </c>
      <c r="M63" s="1">
        <v>0.96</v>
      </c>
      <c r="N63" s="1">
        <f t="shared" si="0"/>
        <v>345.59999999999997</v>
      </c>
      <c r="O63" s="1">
        <f t="shared" si="16"/>
        <v>203900</v>
      </c>
      <c r="R63" s="6" t="s">
        <v>360</v>
      </c>
      <c r="S63" s="70">
        <f t="shared" si="1"/>
        <v>1</v>
      </c>
      <c r="T63" s="70">
        <f t="shared" si="2"/>
        <v>1</v>
      </c>
      <c r="U63" s="237">
        <v>3</v>
      </c>
      <c r="V63" s="68" t="s">
        <v>397</v>
      </c>
      <c r="W63" s="6">
        <f t="shared" si="3"/>
        <v>2</v>
      </c>
      <c r="X63" s="6">
        <f t="shared" si="4"/>
        <v>1001</v>
      </c>
      <c r="Y63" s="6">
        <v>2</v>
      </c>
      <c r="Z63" s="68" t="s">
        <v>402</v>
      </c>
      <c r="AA63" s="6">
        <f t="shared" si="5"/>
        <v>2</v>
      </c>
      <c r="AB63" s="6">
        <f t="shared" si="6"/>
        <v>1003</v>
      </c>
      <c r="AC63" s="6">
        <v>1</v>
      </c>
    </row>
    <row r="64" spans="1:41" x14ac:dyDescent="0.35">
      <c r="A64" s="1">
        <v>60</v>
      </c>
      <c r="B64" s="84">
        <f t="shared" si="11"/>
        <v>207360</v>
      </c>
      <c r="C64" s="39"/>
      <c r="D64" s="39" t="str">
        <f t="shared" si="13"/>
        <v/>
      </c>
      <c r="E64" s="39" t="str">
        <f t="shared" si="14"/>
        <v/>
      </c>
      <c r="F64" s="39">
        <v>0</v>
      </c>
      <c r="J64" s="1">
        <v>600</v>
      </c>
      <c r="K64" s="1">
        <f>SUM($J$5:J64)</f>
        <v>8483</v>
      </c>
      <c r="L64" s="231">
        <f t="shared" si="15"/>
        <v>35.345833333333331</v>
      </c>
      <c r="M64" s="1">
        <v>0.96</v>
      </c>
      <c r="N64" s="1">
        <f t="shared" si="0"/>
        <v>345.59999999999997</v>
      </c>
      <c r="O64" s="1">
        <f t="shared" si="16"/>
        <v>207360</v>
      </c>
      <c r="R64" s="6" t="s">
        <v>360</v>
      </c>
      <c r="S64" s="70">
        <f t="shared" si="1"/>
        <v>1</v>
      </c>
      <c r="T64" s="70">
        <f t="shared" si="2"/>
        <v>1</v>
      </c>
      <c r="U64" s="237">
        <v>4</v>
      </c>
      <c r="V64" s="68" t="s">
        <v>398</v>
      </c>
      <c r="W64" s="6">
        <f t="shared" si="3"/>
        <v>2</v>
      </c>
      <c r="X64" s="6">
        <f t="shared" si="4"/>
        <v>1002</v>
      </c>
      <c r="Y64" s="6">
        <v>2</v>
      </c>
      <c r="Z64" s="68" t="s">
        <v>401</v>
      </c>
      <c r="AA64" s="6">
        <f t="shared" si="5"/>
        <v>2</v>
      </c>
      <c r="AB64" s="6">
        <f t="shared" si="6"/>
        <v>1004</v>
      </c>
      <c r="AC64" s="6">
        <v>2</v>
      </c>
    </row>
    <row r="65" spans="1:29" x14ac:dyDescent="0.35">
      <c r="A65" s="1">
        <v>61</v>
      </c>
      <c r="B65" s="84">
        <f t="shared" si="11"/>
        <v>209090</v>
      </c>
      <c r="C65" s="39"/>
      <c r="D65" s="39" t="str">
        <f t="shared" si="13"/>
        <v/>
      </c>
      <c r="E65" s="39" t="str">
        <f t="shared" si="14"/>
        <v/>
      </c>
      <c r="F65" s="39">
        <v>0</v>
      </c>
      <c r="J65" s="1">
        <v>605</v>
      </c>
      <c r="K65" s="1">
        <f>SUM($J$5:J65)</f>
        <v>9088</v>
      </c>
      <c r="L65" s="231">
        <f t="shared" si="15"/>
        <v>37.866666666666667</v>
      </c>
      <c r="M65" s="1">
        <v>0.96</v>
      </c>
      <c r="N65" s="1">
        <f t="shared" si="0"/>
        <v>345.59999999999997</v>
      </c>
      <c r="O65" s="1">
        <f t="shared" si="16"/>
        <v>209090</v>
      </c>
      <c r="R65" s="6" t="s">
        <v>360</v>
      </c>
      <c r="S65" s="70">
        <f t="shared" si="1"/>
        <v>1</v>
      </c>
      <c r="T65" s="70">
        <f t="shared" si="2"/>
        <v>1</v>
      </c>
      <c r="U65" s="237">
        <v>4</v>
      </c>
      <c r="V65" s="68" t="s">
        <v>397</v>
      </c>
      <c r="W65" s="6">
        <f t="shared" si="3"/>
        <v>2</v>
      </c>
      <c r="X65" s="6">
        <f t="shared" si="4"/>
        <v>1001</v>
      </c>
      <c r="Y65" s="6">
        <v>2</v>
      </c>
      <c r="Z65" s="68" t="s">
        <v>398</v>
      </c>
      <c r="AA65" s="6">
        <f t="shared" si="5"/>
        <v>2</v>
      </c>
      <c r="AB65" s="6">
        <f t="shared" si="6"/>
        <v>1002</v>
      </c>
      <c r="AC65" s="6">
        <v>2</v>
      </c>
    </row>
    <row r="66" spans="1:29" x14ac:dyDescent="0.35">
      <c r="A66" s="1">
        <v>62</v>
      </c>
      <c r="B66" s="84">
        <f t="shared" si="11"/>
        <v>210820</v>
      </c>
      <c r="C66" s="39"/>
      <c r="D66" s="39" t="str">
        <f t="shared" si="13"/>
        <v/>
      </c>
      <c r="E66" s="39" t="str">
        <f t="shared" si="14"/>
        <v/>
      </c>
      <c r="F66" s="39">
        <v>0</v>
      </c>
      <c r="J66" s="1">
        <v>610</v>
      </c>
      <c r="K66" s="1">
        <f>SUM($J$5:J66)</f>
        <v>9698</v>
      </c>
      <c r="L66" s="231">
        <f t="shared" si="15"/>
        <v>40.408333333333331</v>
      </c>
      <c r="M66" s="1">
        <v>0.96</v>
      </c>
      <c r="N66" s="1">
        <f t="shared" si="0"/>
        <v>345.59999999999997</v>
      </c>
      <c r="O66" s="1">
        <f t="shared" si="16"/>
        <v>210820</v>
      </c>
      <c r="R66" s="6" t="s">
        <v>360</v>
      </c>
      <c r="S66" s="70">
        <f t="shared" si="1"/>
        <v>1</v>
      </c>
      <c r="T66" s="70">
        <f t="shared" si="2"/>
        <v>1</v>
      </c>
      <c r="U66" s="237">
        <v>4</v>
      </c>
      <c r="V66" s="68" t="s">
        <v>398</v>
      </c>
      <c r="W66" s="6">
        <f t="shared" si="3"/>
        <v>2</v>
      </c>
      <c r="X66" s="6">
        <f t="shared" si="4"/>
        <v>1002</v>
      </c>
      <c r="Y66" s="6">
        <v>2</v>
      </c>
      <c r="Z66" s="68" t="s">
        <v>401</v>
      </c>
      <c r="AA66" s="6">
        <f t="shared" si="5"/>
        <v>2</v>
      </c>
      <c r="AB66" s="6">
        <f t="shared" si="6"/>
        <v>1004</v>
      </c>
      <c r="AC66" s="6">
        <v>2</v>
      </c>
    </row>
    <row r="67" spans="1:29" x14ac:dyDescent="0.35">
      <c r="A67" s="1">
        <v>63</v>
      </c>
      <c r="B67" s="84">
        <f t="shared" si="11"/>
        <v>212540</v>
      </c>
      <c r="C67" s="39"/>
      <c r="D67" s="39" t="str">
        <f t="shared" si="13"/>
        <v/>
      </c>
      <c r="E67" s="39" t="str">
        <f t="shared" si="14"/>
        <v/>
      </c>
      <c r="F67" s="39">
        <v>0</v>
      </c>
      <c r="J67" s="1">
        <v>615</v>
      </c>
      <c r="K67" s="1">
        <f>SUM($J$5:J67)</f>
        <v>10313</v>
      </c>
      <c r="L67" s="231">
        <f t="shared" si="15"/>
        <v>42.970833333333331</v>
      </c>
      <c r="M67" s="1">
        <v>0.96</v>
      </c>
      <c r="N67" s="1">
        <f t="shared" si="0"/>
        <v>345.59999999999997</v>
      </c>
      <c r="O67" s="1">
        <f t="shared" si="16"/>
        <v>212540</v>
      </c>
      <c r="R67" s="6" t="s">
        <v>360</v>
      </c>
      <c r="S67" s="70">
        <f t="shared" si="1"/>
        <v>1</v>
      </c>
      <c r="T67" s="70">
        <f t="shared" si="2"/>
        <v>1</v>
      </c>
      <c r="U67" s="237">
        <v>4</v>
      </c>
      <c r="V67" s="68" t="s">
        <v>397</v>
      </c>
      <c r="W67" s="6">
        <f t="shared" si="3"/>
        <v>2</v>
      </c>
      <c r="X67" s="6">
        <f t="shared" si="4"/>
        <v>1001</v>
      </c>
      <c r="Y67" s="6">
        <v>2</v>
      </c>
      <c r="Z67" s="68" t="s">
        <v>401</v>
      </c>
      <c r="AA67" s="6">
        <f t="shared" si="5"/>
        <v>2</v>
      </c>
      <c r="AB67" s="6">
        <f t="shared" si="6"/>
        <v>1004</v>
      </c>
      <c r="AC67" s="6">
        <v>2</v>
      </c>
    </row>
    <row r="68" spans="1:29" x14ac:dyDescent="0.35">
      <c r="A68" s="1">
        <v>64</v>
      </c>
      <c r="B68" s="84">
        <f t="shared" si="11"/>
        <v>214270</v>
      </c>
      <c r="C68" s="39"/>
      <c r="D68" s="39" t="str">
        <f t="shared" si="13"/>
        <v/>
      </c>
      <c r="E68" s="39" t="str">
        <f t="shared" si="14"/>
        <v/>
      </c>
      <c r="F68" s="39">
        <v>0</v>
      </c>
      <c r="J68" s="1">
        <v>620</v>
      </c>
      <c r="K68" s="1">
        <f>SUM($J$5:J68)</f>
        <v>10933</v>
      </c>
      <c r="L68" s="231">
        <f t="shared" si="15"/>
        <v>45.554166666666667</v>
      </c>
      <c r="M68" s="1">
        <v>0.96</v>
      </c>
      <c r="N68" s="1">
        <f t="shared" si="0"/>
        <v>345.59999999999997</v>
      </c>
      <c r="O68" s="1">
        <f t="shared" si="16"/>
        <v>214270</v>
      </c>
      <c r="R68" s="6" t="s">
        <v>360</v>
      </c>
      <c r="S68" s="70">
        <f t="shared" si="1"/>
        <v>1</v>
      </c>
      <c r="T68" s="70">
        <f t="shared" si="2"/>
        <v>1</v>
      </c>
      <c r="U68" s="237">
        <v>4</v>
      </c>
      <c r="V68" s="68" t="s">
        <v>398</v>
      </c>
      <c r="W68" s="6">
        <f t="shared" si="3"/>
        <v>2</v>
      </c>
      <c r="X68" s="6">
        <f t="shared" si="4"/>
        <v>1002</v>
      </c>
      <c r="Y68" s="6">
        <v>2</v>
      </c>
      <c r="Z68" s="68" t="s">
        <v>402</v>
      </c>
      <c r="AA68" s="6">
        <f t="shared" si="5"/>
        <v>2</v>
      </c>
      <c r="AB68" s="6">
        <f t="shared" si="6"/>
        <v>1003</v>
      </c>
      <c r="AC68" s="6">
        <v>1</v>
      </c>
    </row>
    <row r="69" spans="1:29" x14ac:dyDescent="0.35">
      <c r="A69" s="1">
        <v>65</v>
      </c>
      <c r="B69" s="84">
        <f t="shared" si="11"/>
        <v>216000</v>
      </c>
      <c r="C69" s="39"/>
      <c r="D69" s="39" t="str">
        <f t="shared" si="13"/>
        <v/>
      </c>
      <c r="E69" s="39" t="str">
        <f t="shared" si="14"/>
        <v/>
      </c>
      <c r="F69" s="39">
        <v>0</v>
      </c>
      <c r="J69" s="1">
        <v>625</v>
      </c>
      <c r="K69" s="1">
        <f>SUM($J$5:J69)</f>
        <v>11558</v>
      </c>
      <c r="L69" s="231">
        <f t="shared" si="15"/>
        <v>48.158333333333331</v>
      </c>
      <c r="M69" s="1">
        <v>0.96</v>
      </c>
      <c r="N69" s="1">
        <f t="shared" ref="N69:N103" si="22">$K$3*M69*60</f>
        <v>345.59999999999997</v>
      </c>
      <c r="O69" s="1">
        <f t="shared" si="16"/>
        <v>216000</v>
      </c>
      <c r="R69" s="6" t="s">
        <v>360</v>
      </c>
      <c r="S69" s="70">
        <f t="shared" ref="S69:S103" si="23">VLOOKUP(R69,AS:AX,4,0)</f>
        <v>1</v>
      </c>
      <c r="T69" s="70">
        <f t="shared" ref="T69:T103" si="24">VLOOKUP(R69,AS:AX,5,0)</f>
        <v>1</v>
      </c>
      <c r="U69" s="237">
        <v>4</v>
      </c>
      <c r="V69" s="68" t="s">
        <v>397</v>
      </c>
      <c r="W69" s="6">
        <f t="shared" ref="W69:W103" si="25">VLOOKUP(V69,AS:AX,4,0)</f>
        <v>2</v>
      </c>
      <c r="X69" s="6">
        <f t="shared" ref="X69:X103" si="26">VLOOKUP(V69,AS:AX,5,0)</f>
        <v>1001</v>
      </c>
      <c r="Y69" s="6">
        <v>2</v>
      </c>
      <c r="Z69" s="68" t="s">
        <v>398</v>
      </c>
      <c r="AA69" s="6">
        <f t="shared" ref="AA69:AA103" si="27">VLOOKUP(Z69,AS:AX,4,0)</f>
        <v>2</v>
      </c>
      <c r="AB69" s="6">
        <f t="shared" ref="AB69:AB103" si="28">VLOOKUP(Z69,AS:AX,5,0)</f>
        <v>1002</v>
      </c>
      <c r="AC69" s="6">
        <v>2</v>
      </c>
    </row>
    <row r="70" spans="1:29" x14ac:dyDescent="0.35">
      <c r="A70" s="1">
        <v>66</v>
      </c>
      <c r="B70" s="84">
        <f t="shared" ref="B70:B103" si="29">O70</f>
        <v>217730</v>
      </c>
      <c r="C70" s="39"/>
      <c r="D70" s="39" t="str">
        <f t="shared" ref="D70:D103" si="30">TRIM(IF(AF70&lt;&gt;"",AG70&amp;"|"&amp;AH70&amp;"|"&amp;AI70,""))</f>
        <v/>
      </c>
      <c r="E70" s="39" t="str">
        <f t="shared" ref="E70:E103" si="31">TRIM(IF(OR(AK70="",AK70=0),"",AL70&amp;"|"&amp;AM70&amp;"|"&amp;AN70))</f>
        <v/>
      </c>
      <c r="F70" s="39">
        <v>0</v>
      </c>
      <c r="J70" s="1">
        <v>630</v>
      </c>
      <c r="K70" s="1">
        <f>SUM($J$5:J70)</f>
        <v>12188</v>
      </c>
      <c r="L70" s="231">
        <f t="shared" ref="L70:L103" si="32">K70/60/4</f>
        <v>50.783333333333331</v>
      </c>
      <c r="M70" s="1">
        <v>0.96</v>
      </c>
      <c r="N70" s="1">
        <f t="shared" si="22"/>
        <v>345.59999999999997</v>
      </c>
      <c r="O70" s="1">
        <f t="shared" ref="O70:O103" si="33">ROUND(J70*N70/10,0)*10</f>
        <v>217730</v>
      </c>
      <c r="R70" s="6" t="s">
        <v>360</v>
      </c>
      <c r="S70" s="70">
        <f t="shared" si="23"/>
        <v>1</v>
      </c>
      <c r="T70" s="70">
        <f t="shared" si="24"/>
        <v>1</v>
      </c>
      <c r="U70" s="237">
        <v>4</v>
      </c>
      <c r="V70" s="68" t="s">
        <v>398</v>
      </c>
      <c r="W70" s="6">
        <f t="shared" si="25"/>
        <v>2</v>
      </c>
      <c r="X70" s="6">
        <f t="shared" si="26"/>
        <v>1002</v>
      </c>
      <c r="Y70" s="6">
        <v>2</v>
      </c>
      <c r="Z70" s="68" t="s">
        <v>401</v>
      </c>
      <c r="AA70" s="6">
        <f t="shared" si="27"/>
        <v>2</v>
      </c>
      <c r="AB70" s="6">
        <f t="shared" si="28"/>
        <v>1004</v>
      </c>
      <c r="AC70" s="6">
        <v>2</v>
      </c>
    </row>
    <row r="71" spans="1:29" x14ac:dyDescent="0.35">
      <c r="A71" s="1">
        <v>67</v>
      </c>
      <c r="B71" s="84">
        <f t="shared" si="29"/>
        <v>219460</v>
      </c>
      <c r="C71" s="39"/>
      <c r="D71" s="39" t="str">
        <f t="shared" si="30"/>
        <v/>
      </c>
      <c r="E71" s="39" t="str">
        <f t="shared" si="31"/>
        <v/>
      </c>
      <c r="F71" s="39">
        <v>0</v>
      </c>
      <c r="J71" s="1">
        <v>635</v>
      </c>
      <c r="K71" s="1">
        <f>SUM($J$5:J71)</f>
        <v>12823</v>
      </c>
      <c r="L71" s="231">
        <f t="shared" si="32"/>
        <v>53.429166666666667</v>
      </c>
      <c r="M71" s="1">
        <v>0.96</v>
      </c>
      <c r="N71" s="1">
        <f t="shared" si="22"/>
        <v>345.59999999999997</v>
      </c>
      <c r="O71" s="1">
        <f t="shared" si="33"/>
        <v>219460</v>
      </c>
      <c r="R71" s="6" t="s">
        <v>360</v>
      </c>
      <c r="S71" s="70">
        <f t="shared" si="23"/>
        <v>1</v>
      </c>
      <c r="T71" s="70">
        <f t="shared" si="24"/>
        <v>1</v>
      </c>
      <c r="U71" s="237">
        <v>4</v>
      </c>
      <c r="V71" s="68" t="s">
        <v>397</v>
      </c>
      <c r="W71" s="6">
        <f t="shared" si="25"/>
        <v>2</v>
      </c>
      <c r="X71" s="6">
        <f t="shared" si="26"/>
        <v>1001</v>
      </c>
      <c r="Y71" s="6">
        <v>2</v>
      </c>
      <c r="Z71" s="68" t="s">
        <v>401</v>
      </c>
      <c r="AA71" s="6">
        <f t="shared" si="27"/>
        <v>2</v>
      </c>
      <c r="AB71" s="6">
        <f t="shared" si="28"/>
        <v>1004</v>
      </c>
      <c r="AC71" s="6">
        <v>2</v>
      </c>
    </row>
    <row r="72" spans="1:29" x14ac:dyDescent="0.35">
      <c r="A72" s="1">
        <v>68</v>
      </c>
      <c r="B72" s="84">
        <f t="shared" si="29"/>
        <v>221180</v>
      </c>
      <c r="C72" s="39"/>
      <c r="D72" s="39" t="str">
        <f t="shared" si="30"/>
        <v/>
      </c>
      <c r="E72" s="39" t="str">
        <f t="shared" si="31"/>
        <v/>
      </c>
      <c r="F72" s="39">
        <v>0</v>
      </c>
      <c r="J72" s="1">
        <v>640</v>
      </c>
      <c r="K72" s="1">
        <f>SUM($J$5:J72)</f>
        <v>13463</v>
      </c>
      <c r="L72" s="231">
        <f t="shared" si="32"/>
        <v>56.095833333333331</v>
      </c>
      <c r="M72" s="1">
        <v>0.96</v>
      </c>
      <c r="N72" s="1">
        <f t="shared" si="22"/>
        <v>345.59999999999997</v>
      </c>
      <c r="O72" s="1">
        <f t="shared" si="33"/>
        <v>221180</v>
      </c>
      <c r="R72" s="6" t="s">
        <v>360</v>
      </c>
      <c r="S72" s="70">
        <f t="shared" si="23"/>
        <v>1</v>
      </c>
      <c r="T72" s="70">
        <f t="shared" si="24"/>
        <v>1</v>
      </c>
      <c r="U72" s="237">
        <v>4</v>
      </c>
      <c r="V72" s="68" t="s">
        <v>398</v>
      </c>
      <c r="W72" s="6">
        <f t="shared" si="25"/>
        <v>2</v>
      </c>
      <c r="X72" s="6">
        <f t="shared" si="26"/>
        <v>1002</v>
      </c>
      <c r="Y72" s="6">
        <v>2</v>
      </c>
      <c r="Z72" s="68" t="s">
        <v>401</v>
      </c>
      <c r="AA72" s="6">
        <f t="shared" si="27"/>
        <v>2</v>
      </c>
      <c r="AB72" s="6">
        <f t="shared" si="28"/>
        <v>1004</v>
      </c>
      <c r="AC72" s="6">
        <v>2</v>
      </c>
    </row>
    <row r="73" spans="1:29" x14ac:dyDescent="0.35">
      <c r="A73" s="1">
        <v>69</v>
      </c>
      <c r="B73" s="84">
        <f t="shared" si="29"/>
        <v>222910</v>
      </c>
      <c r="C73" s="39"/>
      <c r="D73" s="39" t="str">
        <f t="shared" si="30"/>
        <v/>
      </c>
      <c r="E73" s="39" t="str">
        <f t="shared" si="31"/>
        <v/>
      </c>
      <c r="F73" s="39">
        <v>0</v>
      </c>
      <c r="J73" s="1">
        <v>645</v>
      </c>
      <c r="K73" s="232">
        <f>SUM($J$5:J73)</f>
        <v>14108</v>
      </c>
      <c r="L73" s="231">
        <f t="shared" si="32"/>
        <v>58.783333333333331</v>
      </c>
      <c r="M73" s="1">
        <v>0.96</v>
      </c>
      <c r="N73" s="1">
        <f t="shared" si="22"/>
        <v>345.59999999999997</v>
      </c>
      <c r="O73" s="1">
        <f t="shared" si="33"/>
        <v>222910</v>
      </c>
      <c r="R73" s="6" t="s">
        <v>360</v>
      </c>
      <c r="S73" s="70">
        <f t="shared" si="23"/>
        <v>1</v>
      </c>
      <c r="T73" s="70">
        <f t="shared" si="24"/>
        <v>1</v>
      </c>
      <c r="U73" s="237">
        <v>4</v>
      </c>
      <c r="V73" s="68" t="s">
        <v>397</v>
      </c>
      <c r="W73" s="6">
        <f t="shared" si="25"/>
        <v>2</v>
      </c>
      <c r="X73" s="6">
        <f t="shared" si="26"/>
        <v>1001</v>
      </c>
      <c r="Y73" s="6">
        <v>2</v>
      </c>
      <c r="Z73" s="68" t="s">
        <v>402</v>
      </c>
      <c r="AA73" s="6">
        <f t="shared" si="27"/>
        <v>2</v>
      </c>
      <c r="AB73" s="6">
        <f t="shared" si="28"/>
        <v>1003</v>
      </c>
      <c r="AC73" s="6">
        <v>1</v>
      </c>
    </row>
    <row r="74" spans="1:29" x14ac:dyDescent="0.35">
      <c r="A74" s="1">
        <v>70</v>
      </c>
      <c r="B74" s="84">
        <f t="shared" si="29"/>
        <v>233280</v>
      </c>
      <c r="C74" s="39"/>
      <c r="D74" s="39" t="str">
        <f t="shared" si="30"/>
        <v/>
      </c>
      <c r="E74" s="39" t="str">
        <f t="shared" si="31"/>
        <v/>
      </c>
      <c r="F74" s="39">
        <v>0</v>
      </c>
      <c r="J74" s="1">
        <v>675</v>
      </c>
      <c r="K74" s="1">
        <f>SUM($J$5:J74)</f>
        <v>14783</v>
      </c>
      <c r="L74" s="231">
        <f t="shared" si="32"/>
        <v>61.595833333333331</v>
      </c>
      <c r="M74" s="1">
        <v>0.96</v>
      </c>
      <c r="N74" s="1">
        <f t="shared" si="22"/>
        <v>345.59999999999997</v>
      </c>
      <c r="O74" s="1">
        <f t="shared" si="33"/>
        <v>233280</v>
      </c>
      <c r="R74" s="6" t="s">
        <v>360</v>
      </c>
      <c r="S74" s="70">
        <f t="shared" si="23"/>
        <v>1</v>
      </c>
      <c r="T74" s="70">
        <f t="shared" si="24"/>
        <v>1</v>
      </c>
      <c r="U74" s="237">
        <v>4</v>
      </c>
      <c r="V74" s="68" t="s">
        <v>398</v>
      </c>
      <c r="W74" s="6">
        <f t="shared" si="25"/>
        <v>2</v>
      </c>
      <c r="X74" s="6">
        <f t="shared" si="26"/>
        <v>1002</v>
      </c>
      <c r="Y74" s="6">
        <v>3</v>
      </c>
      <c r="Z74" s="68" t="s">
        <v>401</v>
      </c>
      <c r="AA74" s="6">
        <f t="shared" si="27"/>
        <v>2</v>
      </c>
      <c r="AB74" s="6">
        <f t="shared" si="28"/>
        <v>1004</v>
      </c>
      <c r="AC74" s="6">
        <v>3</v>
      </c>
    </row>
    <row r="75" spans="1:29" x14ac:dyDescent="0.35">
      <c r="A75" s="1">
        <v>71</v>
      </c>
      <c r="B75" s="84">
        <f t="shared" si="29"/>
        <v>243650</v>
      </c>
      <c r="C75" s="39"/>
      <c r="D75" s="39" t="str">
        <f t="shared" si="30"/>
        <v/>
      </c>
      <c r="E75" s="39" t="str">
        <f t="shared" si="31"/>
        <v/>
      </c>
      <c r="F75" s="39">
        <v>0</v>
      </c>
      <c r="J75" s="1">
        <v>705</v>
      </c>
      <c r="K75" s="1">
        <f>SUM($J$5:J75)</f>
        <v>15488</v>
      </c>
      <c r="L75" s="231">
        <f t="shared" si="32"/>
        <v>64.533333333333331</v>
      </c>
      <c r="M75" s="1">
        <v>0.96</v>
      </c>
      <c r="N75" s="1">
        <f t="shared" si="22"/>
        <v>345.59999999999997</v>
      </c>
      <c r="O75" s="1">
        <f t="shared" si="33"/>
        <v>243650</v>
      </c>
      <c r="R75" s="6" t="s">
        <v>360</v>
      </c>
      <c r="S75" s="70">
        <f t="shared" si="23"/>
        <v>1</v>
      </c>
      <c r="T75" s="70">
        <f t="shared" si="24"/>
        <v>1</v>
      </c>
      <c r="U75" s="237">
        <v>4</v>
      </c>
      <c r="V75" s="68" t="s">
        <v>397</v>
      </c>
      <c r="W75" s="6">
        <f t="shared" si="25"/>
        <v>2</v>
      </c>
      <c r="X75" s="6">
        <f t="shared" si="26"/>
        <v>1001</v>
      </c>
      <c r="Y75" s="6">
        <v>3</v>
      </c>
      <c r="Z75" s="68" t="s">
        <v>398</v>
      </c>
      <c r="AA75" s="6">
        <f t="shared" si="27"/>
        <v>2</v>
      </c>
      <c r="AB75" s="6">
        <f t="shared" si="28"/>
        <v>1002</v>
      </c>
      <c r="AC75" s="6">
        <v>3</v>
      </c>
    </row>
    <row r="76" spans="1:29" x14ac:dyDescent="0.35">
      <c r="A76" s="1">
        <v>72</v>
      </c>
      <c r="B76" s="84">
        <f t="shared" si="29"/>
        <v>254020</v>
      </c>
      <c r="C76" s="39"/>
      <c r="D76" s="39" t="str">
        <f t="shared" si="30"/>
        <v/>
      </c>
      <c r="E76" s="39" t="str">
        <f t="shared" si="31"/>
        <v/>
      </c>
      <c r="F76" s="39">
        <v>0</v>
      </c>
      <c r="J76" s="1">
        <v>735</v>
      </c>
      <c r="K76" s="1">
        <f>SUM($J$5:J76)</f>
        <v>16223</v>
      </c>
      <c r="L76" s="231">
        <f t="shared" si="32"/>
        <v>67.595833333333331</v>
      </c>
      <c r="M76" s="1">
        <v>0.96</v>
      </c>
      <c r="N76" s="1">
        <f t="shared" si="22"/>
        <v>345.59999999999997</v>
      </c>
      <c r="O76" s="1">
        <f t="shared" si="33"/>
        <v>254020</v>
      </c>
      <c r="R76" s="6" t="s">
        <v>360</v>
      </c>
      <c r="S76" s="70">
        <f t="shared" si="23"/>
        <v>1</v>
      </c>
      <c r="T76" s="70">
        <f t="shared" si="24"/>
        <v>1</v>
      </c>
      <c r="U76" s="237">
        <v>4</v>
      </c>
      <c r="V76" s="68" t="s">
        <v>398</v>
      </c>
      <c r="W76" s="6">
        <f t="shared" si="25"/>
        <v>2</v>
      </c>
      <c r="X76" s="6">
        <f t="shared" si="26"/>
        <v>1002</v>
      </c>
      <c r="Y76" s="6">
        <v>3</v>
      </c>
      <c r="Z76" s="68" t="s">
        <v>401</v>
      </c>
      <c r="AA76" s="6">
        <f t="shared" si="27"/>
        <v>2</v>
      </c>
      <c r="AB76" s="6">
        <f t="shared" si="28"/>
        <v>1004</v>
      </c>
      <c r="AC76" s="6">
        <v>3</v>
      </c>
    </row>
    <row r="77" spans="1:29" x14ac:dyDescent="0.35">
      <c r="A77" s="1">
        <v>73</v>
      </c>
      <c r="B77" s="84">
        <f t="shared" si="29"/>
        <v>264380</v>
      </c>
      <c r="C77" s="39"/>
      <c r="D77" s="39" t="str">
        <f t="shared" si="30"/>
        <v/>
      </c>
      <c r="E77" s="39" t="str">
        <f t="shared" si="31"/>
        <v/>
      </c>
      <c r="F77" s="39">
        <v>0</v>
      </c>
      <c r="J77" s="1">
        <v>765</v>
      </c>
      <c r="K77" s="1">
        <f>SUM($J$5:J77)</f>
        <v>16988</v>
      </c>
      <c r="L77" s="231">
        <f t="shared" si="32"/>
        <v>70.783333333333331</v>
      </c>
      <c r="M77" s="1">
        <v>0.96</v>
      </c>
      <c r="N77" s="1">
        <f t="shared" si="22"/>
        <v>345.59999999999997</v>
      </c>
      <c r="O77" s="1">
        <f t="shared" si="33"/>
        <v>264380</v>
      </c>
      <c r="R77" s="6" t="s">
        <v>360</v>
      </c>
      <c r="S77" s="70">
        <f t="shared" si="23"/>
        <v>1</v>
      </c>
      <c r="T77" s="70">
        <f t="shared" si="24"/>
        <v>1</v>
      </c>
      <c r="U77" s="237">
        <v>4</v>
      </c>
      <c r="V77" s="68" t="s">
        <v>397</v>
      </c>
      <c r="W77" s="6">
        <f t="shared" si="25"/>
        <v>2</v>
      </c>
      <c r="X77" s="6">
        <f t="shared" si="26"/>
        <v>1001</v>
      </c>
      <c r="Y77" s="6">
        <v>3</v>
      </c>
      <c r="Z77" s="68" t="s">
        <v>401</v>
      </c>
      <c r="AA77" s="6">
        <f t="shared" si="27"/>
        <v>2</v>
      </c>
      <c r="AB77" s="6">
        <f t="shared" si="28"/>
        <v>1004</v>
      </c>
      <c r="AC77" s="6">
        <v>3</v>
      </c>
    </row>
    <row r="78" spans="1:29" x14ac:dyDescent="0.35">
      <c r="A78" s="1">
        <v>74</v>
      </c>
      <c r="B78" s="84">
        <f t="shared" si="29"/>
        <v>274750</v>
      </c>
      <c r="C78" s="39"/>
      <c r="D78" s="39" t="str">
        <f t="shared" si="30"/>
        <v/>
      </c>
      <c r="E78" s="39" t="str">
        <f t="shared" si="31"/>
        <v/>
      </c>
      <c r="F78" s="39">
        <v>0</v>
      </c>
      <c r="J78" s="1">
        <v>795</v>
      </c>
      <c r="K78" s="1">
        <f>SUM($J$5:J78)</f>
        <v>17783</v>
      </c>
      <c r="L78" s="231">
        <f t="shared" si="32"/>
        <v>74.095833333333331</v>
      </c>
      <c r="M78" s="1">
        <v>0.96</v>
      </c>
      <c r="N78" s="1">
        <f t="shared" si="22"/>
        <v>345.59999999999997</v>
      </c>
      <c r="O78" s="1">
        <f t="shared" si="33"/>
        <v>274750</v>
      </c>
      <c r="R78" s="6" t="s">
        <v>360</v>
      </c>
      <c r="S78" s="70">
        <f t="shared" si="23"/>
        <v>1</v>
      </c>
      <c r="T78" s="70">
        <f t="shared" si="24"/>
        <v>1</v>
      </c>
      <c r="U78" s="237">
        <v>4</v>
      </c>
      <c r="V78" s="68" t="s">
        <v>398</v>
      </c>
      <c r="W78" s="6">
        <f t="shared" si="25"/>
        <v>2</v>
      </c>
      <c r="X78" s="6">
        <f t="shared" si="26"/>
        <v>1002</v>
      </c>
      <c r="Y78" s="6">
        <v>3</v>
      </c>
      <c r="Z78" s="68" t="s">
        <v>402</v>
      </c>
      <c r="AA78" s="6">
        <f t="shared" si="27"/>
        <v>2</v>
      </c>
      <c r="AB78" s="6">
        <f t="shared" si="28"/>
        <v>1003</v>
      </c>
      <c r="AC78" s="6">
        <v>1</v>
      </c>
    </row>
    <row r="79" spans="1:29" x14ac:dyDescent="0.35">
      <c r="A79" s="1">
        <v>75</v>
      </c>
      <c r="B79" s="84">
        <f t="shared" si="29"/>
        <v>285120</v>
      </c>
      <c r="C79" s="39"/>
      <c r="D79" s="39" t="str">
        <f t="shared" si="30"/>
        <v/>
      </c>
      <c r="E79" s="39" t="str">
        <f t="shared" si="31"/>
        <v/>
      </c>
      <c r="F79" s="39">
        <v>0</v>
      </c>
      <c r="J79" s="1">
        <v>825</v>
      </c>
      <c r="K79" s="1">
        <f>SUM($J$5:J79)</f>
        <v>18608</v>
      </c>
      <c r="L79" s="231">
        <f t="shared" si="32"/>
        <v>77.533333333333331</v>
      </c>
      <c r="M79" s="1">
        <v>0.96</v>
      </c>
      <c r="N79" s="1">
        <f t="shared" si="22"/>
        <v>345.59999999999997</v>
      </c>
      <c r="O79" s="1">
        <f t="shared" si="33"/>
        <v>285120</v>
      </c>
      <c r="R79" s="6" t="s">
        <v>360</v>
      </c>
      <c r="S79" s="70">
        <f t="shared" si="23"/>
        <v>1</v>
      </c>
      <c r="T79" s="70">
        <f t="shared" si="24"/>
        <v>1</v>
      </c>
      <c r="U79" s="237">
        <v>4</v>
      </c>
      <c r="V79" s="68" t="s">
        <v>397</v>
      </c>
      <c r="W79" s="6">
        <f t="shared" si="25"/>
        <v>2</v>
      </c>
      <c r="X79" s="6">
        <f t="shared" si="26"/>
        <v>1001</v>
      </c>
      <c r="Y79" s="6">
        <v>3</v>
      </c>
      <c r="Z79" s="68" t="s">
        <v>398</v>
      </c>
      <c r="AA79" s="6">
        <f t="shared" si="27"/>
        <v>2</v>
      </c>
      <c r="AB79" s="6">
        <f t="shared" si="28"/>
        <v>1002</v>
      </c>
      <c r="AC79" s="6">
        <v>3</v>
      </c>
    </row>
    <row r="80" spans="1:29" x14ac:dyDescent="0.35">
      <c r="A80" s="1">
        <v>76</v>
      </c>
      <c r="B80" s="84">
        <f t="shared" si="29"/>
        <v>295490</v>
      </c>
      <c r="C80" s="39"/>
      <c r="D80" s="39" t="str">
        <f t="shared" si="30"/>
        <v/>
      </c>
      <c r="E80" s="39" t="str">
        <f t="shared" si="31"/>
        <v/>
      </c>
      <c r="F80" s="39">
        <v>0</v>
      </c>
      <c r="J80" s="1">
        <v>855</v>
      </c>
      <c r="K80" s="1">
        <f>SUM($J$5:J80)</f>
        <v>19463</v>
      </c>
      <c r="L80" s="231">
        <f t="shared" si="32"/>
        <v>81.095833333333331</v>
      </c>
      <c r="M80" s="1">
        <v>0.96</v>
      </c>
      <c r="N80" s="1">
        <f t="shared" si="22"/>
        <v>345.59999999999997</v>
      </c>
      <c r="O80" s="1">
        <f t="shared" si="33"/>
        <v>295490</v>
      </c>
      <c r="R80" s="6" t="s">
        <v>360</v>
      </c>
      <c r="S80" s="70">
        <f t="shared" si="23"/>
        <v>1</v>
      </c>
      <c r="T80" s="70">
        <f t="shared" si="24"/>
        <v>1</v>
      </c>
      <c r="U80" s="237">
        <v>4</v>
      </c>
      <c r="V80" s="68" t="s">
        <v>398</v>
      </c>
      <c r="W80" s="6">
        <f t="shared" si="25"/>
        <v>2</v>
      </c>
      <c r="X80" s="6">
        <f t="shared" si="26"/>
        <v>1002</v>
      </c>
      <c r="Y80" s="6">
        <v>3</v>
      </c>
      <c r="Z80" s="68" t="s">
        <v>401</v>
      </c>
      <c r="AA80" s="6">
        <f t="shared" si="27"/>
        <v>2</v>
      </c>
      <c r="AB80" s="6">
        <f t="shared" si="28"/>
        <v>1004</v>
      </c>
      <c r="AC80" s="6">
        <v>3</v>
      </c>
    </row>
    <row r="81" spans="1:29" x14ac:dyDescent="0.35">
      <c r="A81" s="1">
        <v>77</v>
      </c>
      <c r="B81" s="84">
        <f t="shared" si="29"/>
        <v>305860</v>
      </c>
      <c r="C81" s="39"/>
      <c r="D81" s="39" t="str">
        <f t="shared" si="30"/>
        <v/>
      </c>
      <c r="E81" s="39" t="str">
        <f t="shared" si="31"/>
        <v/>
      </c>
      <c r="F81" s="39">
        <v>0</v>
      </c>
      <c r="J81" s="1">
        <v>885</v>
      </c>
      <c r="K81" s="1">
        <f>SUM($J$5:J81)</f>
        <v>20348</v>
      </c>
      <c r="L81" s="231">
        <f t="shared" si="32"/>
        <v>84.783333333333331</v>
      </c>
      <c r="M81" s="1">
        <v>0.96</v>
      </c>
      <c r="N81" s="1">
        <f t="shared" si="22"/>
        <v>345.59999999999997</v>
      </c>
      <c r="O81" s="1">
        <f t="shared" si="33"/>
        <v>305860</v>
      </c>
      <c r="R81" s="6" t="s">
        <v>360</v>
      </c>
      <c r="S81" s="70">
        <f t="shared" si="23"/>
        <v>1</v>
      </c>
      <c r="T81" s="70">
        <f t="shared" si="24"/>
        <v>1</v>
      </c>
      <c r="U81" s="237">
        <v>4</v>
      </c>
      <c r="V81" s="68" t="s">
        <v>397</v>
      </c>
      <c r="W81" s="6">
        <f t="shared" si="25"/>
        <v>2</v>
      </c>
      <c r="X81" s="6">
        <f t="shared" si="26"/>
        <v>1001</v>
      </c>
      <c r="Y81" s="6">
        <v>3</v>
      </c>
      <c r="Z81" s="68" t="s">
        <v>401</v>
      </c>
      <c r="AA81" s="6">
        <f t="shared" si="27"/>
        <v>2</v>
      </c>
      <c r="AB81" s="6">
        <f t="shared" si="28"/>
        <v>1004</v>
      </c>
      <c r="AC81" s="6">
        <v>3</v>
      </c>
    </row>
    <row r="82" spans="1:29" x14ac:dyDescent="0.35">
      <c r="A82" s="1">
        <v>78</v>
      </c>
      <c r="B82" s="84">
        <f t="shared" si="29"/>
        <v>316220</v>
      </c>
      <c r="C82" s="39"/>
      <c r="D82" s="39" t="str">
        <f t="shared" si="30"/>
        <v/>
      </c>
      <c r="E82" s="39" t="str">
        <f t="shared" si="31"/>
        <v/>
      </c>
      <c r="F82" s="39">
        <v>0</v>
      </c>
      <c r="J82" s="1">
        <v>915</v>
      </c>
      <c r="K82" s="1">
        <f>SUM($J$5:J82)</f>
        <v>21263</v>
      </c>
      <c r="L82" s="231">
        <f t="shared" si="32"/>
        <v>88.595833333333331</v>
      </c>
      <c r="M82" s="1">
        <v>0.96</v>
      </c>
      <c r="N82" s="1">
        <f t="shared" si="22"/>
        <v>345.59999999999997</v>
      </c>
      <c r="O82" s="1">
        <f t="shared" si="33"/>
        <v>316220</v>
      </c>
      <c r="R82" s="6" t="s">
        <v>360</v>
      </c>
      <c r="S82" s="70">
        <f t="shared" si="23"/>
        <v>1</v>
      </c>
      <c r="T82" s="70">
        <f t="shared" si="24"/>
        <v>1</v>
      </c>
      <c r="U82" s="237">
        <v>4</v>
      </c>
      <c r="V82" s="68" t="s">
        <v>398</v>
      </c>
      <c r="W82" s="6">
        <f t="shared" si="25"/>
        <v>2</v>
      </c>
      <c r="X82" s="6">
        <f t="shared" si="26"/>
        <v>1002</v>
      </c>
      <c r="Y82" s="6">
        <v>3</v>
      </c>
      <c r="Z82" s="68" t="s">
        <v>401</v>
      </c>
      <c r="AA82" s="6">
        <f t="shared" si="27"/>
        <v>2</v>
      </c>
      <c r="AB82" s="6">
        <f t="shared" si="28"/>
        <v>1004</v>
      </c>
      <c r="AC82" s="6">
        <v>3</v>
      </c>
    </row>
    <row r="83" spans="1:29" x14ac:dyDescent="0.35">
      <c r="A83" s="1">
        <v>79</v>
      </c>
      <c r="B83" s="84">
        <f t="shared" si="29"/>
        <v>328320</v>
      </c>
      <c r="C83" s="39"/>
      <c r="D83" s="39" t="str">
        <f t="shared" si="30"/>
        <v/>
      </c>
      <c r="E83" s="39" t="str">
        <f t="shared" si="31"/>
        <v/>
      </c>
      <c r="F83" s="39">
        <v>0</v>
      </c>
      <c r="J83" s="1">
        <v>950</v>
      </c>
      <c r="K83" s="232">
        <f>SUM($J$5:J83)</f>
        <v>22213</v>
      </c>
      <c r="L83" s="231">
        <f t="shared" si="32"/>
        <v>92.55416666666666</v>
      </c>
      <c r="M83" s="1">
        <v>0.96</v>
      </c>
      <c r="N83" s="1">
        <f t="shared" si="22"/>
        <v>345.59999999999997</v>
      </c>
      <c r="O83" s="1">
        <f t="shared" si="33"/>
        <v>328320</v>
      </c>
      <c r="R83" s="6" t="s">
        <v>360</v>
      </c>
      <c r="S83" s="70">
        <f t="shared" si="23"/>
        <v>1</v>
      </c>
      <c r="T83" s="70">
        <f t="shared" si="24"/>
        <v>1</v>
      </c>
      <c r="U83" s="237">
        <v>4</v>
      </c>
      <c r="V83" s="68" t="s">
        <v>397</v>
      </c>
      <c r="W83" s="6">
        <f t="shared" si="25"/>
        <v>2</v>
      </c>
      <c r="X83" s="6">
        <f t="shared" si="26"/>
        <v>1001</v>
      </c>
      <c r="Y83" s="6">
        <v>3</v>
      </c>
      <c r="Z83" s="68" t="s">
        <v>402</v>
      </c>
      <c r="AA83" s="6">
        <f t="shared" si="27"/>
        <v>2</v>
      </c>
      <c r="AB83" s="6">
        <f t="shared" si="28"/>
        <v>1003</v>
      </c>
      <c r="AC83" s="6">
        <v>1</v>
      </c>
    </row>
    <row r="84" spans="1:29" x14ac:dyDescent="0.35">
      <c r="A84" s="1">
        <v>80</v>
      </c>
      <c r="B84" s="84">
        <f t="shared" si="29"/>
        <v>362880</v>
      </c>
      <c r="C84" s="39"/>
      <c r="D84" s="39" t="str">
        <f t="shared" si="30"/>
        <v/>
      </c>
      <c r="E84" s="39" t="str">
        <f t="shared" si="31"/>
        <v/>
      </c>
      <c r="F84" s="39">
        <v>0</v>
      </c>
      <c r="J84" s="1">
        <v>1050</v>
      </c>
      <c r="K84" s="1">
        <f>SUM($J$5:J84)</f>
        <v>23263</v>
      </c>
      <c r="L84" s="231">
        <f t="shared" si="32"/>
        <v>96.92916666666666</v>
      </c>
      <c r="M84" s="1">
        <v>0.96</v>
      </c>
      <c r="N84" s="1">
        <f t="shared" si="22"/>
        <v>345.59999999999997</v>
      </c>
      <c r="O84" s="1">
        <f t="shared" si="33"/>
        <v>362880</v>
      </c>
      <c r="R84" s="6" t="s">
        <v>360</v>
      </c>
      <c r="S84" s="70">
        <f t="shared" si="23"/>
        <v>1</v>
      </c>
      <c r="T84" s="70">
        <f t="shared" si="24"/>
        <v>1</v>
      </c>
      <c r="U84" s="237">
        <v>4</v>
      </c>
      <c r="V84" s="68" t="s">
        <v>398</v>
      </c>
      <c r="W84" s="6">
        <f t="shared" si="25"/>
        <v>2</v>
      </c>
      <c r="X84" s="6">
        <f t="shared" si="26"/>
        <v>1002</v>
      </c>
      <c r="Y84" s="6">
        <v>3</v>
      </c>
      <c r="Z84" s="68" t="s">
        <v>401</v>
      </c>
      <c r="AA84" s="6">
        <f t="shared" si="27"/>
        <v>2</v>
      </c>
      <c r="AB84" s="6">
        <f t="shared" si="28"/>
        <v>1004</v>
      </c>
      <c r="AC84" s="6">
        <v>3</v>
      </c>
    </row>
    <row r="85" spans="1:29" x14ac:dyDescent="0.35">
      <c r="A85" s="1">
        <v>81</v>
      </c>
      <c r="B85" s="84">
        <f t="shared" si="29"/>
        <v>397440</v>
      </c>
      <c r="C85" s="39"/>
      <c r="D85" s="39" t="str">
        <f t="shared" si="30"/>
        <v/>
      </c>
      <c r="E85" s="39" t="str">
        <f t="shared" si="31"/>
        <v/>
      </c>
      <c r="F85" s="39">
        <v>0</v>
      </c>
      <c r="J85" s="1">
        <v>1150</v>
      </c>
      <c r="K85" s="1">
        <f>SUM($J$5:J85)</f>
        <v>24413</v>
      </c>
      <c r="L85" s="231">
        <f t="shared" si="32"/>
        <v>101.72083333333333</v>
      </c>
      <c r="M85" s="1">
        <v>0.96</v>
      </c>
      <c r="N85" s="1">
        <f t="shared" si="22"/>
        <v>345.59999999999997</v>
      </c>
      <c r="O85" s="1">
        <f t="shared" si="33"/>
        <v>397440</v>
      </c>
      <c r="R85" s="6" t="s">
        <v>360</v>
      </c>
      <c r="S85" s="70">
        <f t="shared" si="23"/>
        <v>1</v>
      </c>
      <c r="T85" s="70">
        <f t="shared" si="24"/>
        <v>1</v>
      </c>
      <c r="U85" s="237">
        <v>4</v>
      </c>
      <c r="V85" s="68" t="s">
        <v>397</v>
      </c>
      <c r="W85" s="6">
        <f t="shared" si="25"/>
        <v>2</v>
      </c>
      <c r="X85" s="6">
        <f t="shared" si="26"/>
        <v>1001</v>
      </c>
      <c r="Y85" s="6">
        <v>3</v>
      </c>
      <c r="Z85" s="68" t="s">
        <v>398</v>
      </c>
      <c r="AA85" s="6">
        <f t="shared" si="27"/>
        <v>2</v>
      </c>
      <c r="AB85" s="6">
        <f t="shared" si="28"/>
        <v>1002</v>
      </c>
      <c r="AC85" s="6">
        <v>3</v>
      </c>
    </row>
    <row r="86" spans="1:29" x14ac:dyDescent="0.35">
      <c r="A86" s="1">
        <v>82</v>
      </c>
      <c r="B86" s="84">
        <f t="shared" si="29"/>
        <v>432000</v>
      </c>
      <c r="C86" s="39"/>
      <c r="D86" s="39" t="str">
        <f t="shared" si="30"/>
        <v/>
      </c>
      <c r="E86" s="39" t="str">
        <f t="shared" si="31"/>
        <v/>
      </c>
      <c r="F86" s="39">
        <v>0</v>
      </c>
      <c r="J86" s="1">
        <v>1250</v>
      </c>
      <c r="K86" s="1">
        <f>SUM($J$5:J86)</f>
        <v>25663</v>
      </c>
      <c r="L86" s="231">
        <f t="shared" si="32"/>
        <v>106.92916666666666</v>
      </c>
      <c r="M86" s="1">
        <v>0.96</v>
      </c>
      <c r="N86" s="1">
        <f t="shared" si="22"/>
        <v>345.59999999999997</v>
      </c>
      <c r="O86" s="1">
        <f t="shared" si="33"/>
        <v>432000</v>
      </c>
      <c r="R86" s="6" t="s">
        <v>360</v>
      </c>
      <c r="S86" s="70">
        <f t="shared" si="23"/>
        <v>1</v>
      </c>
      <c r="T86" s="70">
        <f t="shared" si="24"/>
        <v>1</v>
      </c>
      <c r="U86" s="237">
        <v>4</v>
      </c>
      <c r="V86" s="68" t="s">
        <v>398</v>
      </c>
      <c r="W86" s="6">
        <f t="shared" si="25"/>
        <v>2</v>
      </c>
      <c r="X86" s="6">
        <f t="shared" si="26"/>
        <v>1002</v>
      </c>
      <c r="Y86" s="6">
        <v>3</v>
      </c>
      <c r="Z86" s="68" t="s">
        <v>401</v>
      </c>
      <c r="AA86" s="6">
        <f t="shared" si="27"/>
        <v>2</v>
      </c>
      <c r="AB86" s="6">
        <f t="shared" si="28"/>
        <v>1004</v>
      </c>
      <c r="AC86" s="6">
        <v>3</v>
      </c>
    </row>
    <row r="87" spans="1:29" x14ac:dyDescent="0.35">
      <c r="A87" s="1">
        <v>83</v>
      </c>
      <c r="B87" s="84">
        <f t="shared" si="29"/>
        <v>466560</v>
      </c>
      <c r="C87" s="39"/>
      <c r="D87" s="39" t="str">
        <f t="shared" si="30"/>
        <v/>
      </c>
      <c r="E87" s="39" t="str">
        <f t="shared" si="31"/>
        <v/>
      </c>
      <c r="F87" s="39">
        <v>0</v>
      </c>
      <c r="J87" s="1">
        <v>1350</v>
      </c>
      <c r="K87" s="1">
        <f>SUM($J$5:J87)</f>
        <v>27013</v>
      </c>
      <c r="L87" s="231">
        <f t="shared" si="32"/>
        <v>112.55416666666666</v>
      </c>
      <c r="M87" s="1">
        <v>0.96</v>
      </c>
      <c r="N87" s="1">
        <f t="shared" si="22"/>
        <v>345.59999999999997</v>
      </c>
      <c r="O87" s="1">
        <f t="shared" si="33"/>
        <v>466560</v>
      </c>
      <c r="R87" s="6" t="s">
        <v>360</v>
      </c>
      <c r="S87" s="70">
        <f t="shared" si="23"/>
        <v>1</v>
      </c>
      <c r="T87" s="70">
        <f t="shared" si="24"/>
        <v>1</v>
      </c>
      <c r="U87" s="237">
        <v>4</v>
      </c>
      <c r="V87" s="68" t="s">
        <v>397</v>
      </c>
      <c r="W87" s="6">
        <f t="shared" si="25"/>
        <v>2</v>
      </c>
      <c r="X87" s="6">
        <f t="shared" si="26"/>
        <v>1001</v>
      </c>
      <c r="Y87" s="6">
        <v>3</v>
      </c>
      <c r="Z87" s="68" t="s">
        <v>401</v>
      </c>
      <c r="AA87" s="6">
        <f t="shared" si="27"/>
        <v>2</v>
      </c>
      <c r="AB87" s="6">
        <f t="shared" si="28"/>
        <v>1004</v>
      </c>
      <c r="AC87" s="6">
        <v>3</v>
      </c>
    </row>
    <row r="88" spans="1:29" x14ac:dyDescent="0.35">
      <c r="A88" s="1">
        <v>84</v>
      </c>
      <c r="B88" s="84">
        <f t="shared" si="29"/>
        <v>501120</v>
      </c>
      <c r="C88" s="39"/>
      <c r="D88" s="39" t="str">
        <f t="shared" si="30"/>
        <v/>
      </c>
      <c r="E88" s="39" t="str">
        <f t="shared" si="31"/>
        <v/>
      </c>
      <c r="F88" s="39">
        <v>0</v>
      </c>
      <c r="J88" s="1">
        <v>1450</v>
      </c>
      <c r="K88" s="1">
        <f>SUM($J$5:J88)</f>
        <v>28463</v>
      </c>
      <c r="L88" s="231">
        <f t="shared" si="32"/>
        <v>118.59583333333333</v>
      </c>
      <c r="M88" s="1">
        <v>0.96</v>
      </c>
      <c r="N88" s="1">
        <f t="shared" si="22"/>
        <v>345.59999999999997</v>
      </c>
      <c r="O88" s="1">
        <f t="shared" si="33"/>
        <v>501120</v>
      </c>
      <c r="R88" s="6" t="s">
        <v>360</v>
      </c>
      <c r="S88" s="70">
        <f t="shared" si="23"/>
        <v>1</v>
      </c>
      <c r="T88" s="70">
        <f t="shared" si="24"/>
        <v>1</v>
      </c>
      <c r="U88" s="237">
        <v>4</v>
      </c>
      <c r="V88" s="68" t="s">
        <v>398</v>
      </c>
      <c r="W88" s="6">
        <f t="shared" si="25"/>
        <v>2</v>
      </c>
      <c r="X88" s="6">
        <f t="shared" si="26"/>
        <v>1002</v>
      </c>
      <c r="Y88" s="6">
        <v>3</v>
      </c>
      <c r="Z88" s="68" t="s">
        <v>402</v>
      </c>
      <c r="AA88" s="6">
        <f t="shared" si="27"/>
        <v>2</v>
      </c>
      <c r="AB88" s="6">
        <f t="shared" si="28"/>
        <v>1003</v>
      </c>
      <c r="AC88" s="6">
        <v>1</v>
      </c>
    </row>
    <row r="89" spans="1:29" x14ac:dyDescent="0.35">
      <c r="A89" s="1">
        <v>85</v>
      </c>
      <c r="B89" s="84">
        <f t="shared" si="29"/>
        <v>535680</v>
      </c>
      <c r="C89" s="39"/>
      <c r="D89" s="39" t="str">
        <f t="shared" si="30"/>
        <v/>
      </c>
      <c r="E89" s="39" t="str">
        <f t="shared" si="31"/>
        <v/>
      </c>
      <c r="F89" s="39">
        <v>0</v>
      </c>
      <c r="J89" s="1">
        <v>1550</v>
      </c>
      <c r="K89" s="1">
        <f>SUM($J$5:J89)</f>
        <v>30013</v>
      </c>
      <c r="L89" s="231">
        <f t="shared" si="32"/>
        <v>125.05416666666666</v>
      </c>
      <c r="M89" s="1">
        <v>0.96</v>
      </c>
      <c r="N89" s="1">
        <f t="shared" si="22"/>
        <v>345.59999999999997</v>
      </c>
      <c r="O89" s="1">
        <f t="shared" si="33"/>
        <v>535680</v>
      </c>
      <c r="R89" s="6" t="s">
        <v>360</v>
      </c>
      <c r="S89" s="70">
        <f t="shared" si="23"/>
        <v>1</v>
      </c>
      <c r="T89" s="70">
        <f t="shared" si="24"/>
        <v>1</v>
      </c>
      <c r="U89" s="237">
        <v>4</v>
      </c>
      <c r="V89" s="68" t="s">
        <v>397</v>
      </c>
      <c r="W89" s="6">
        <f t="shared" si="25"/>
        <v>2</v>
      </c>
      <c r="X89" s="6">
        <f t="shared" si="26"/>
        <v>1001</v>
      </c>
      <c r="Y89" s="6">
        <v>3</v>
      </c>
      <c r="Z89" s="68" t="s">
        <v>398</v>
      </c>
      <c r="AA89" s="6">
        <f t="shared" si="27"/>
        <v>2</v>
      </c>
      <c r="AB89" s="6">
        <f t="shared" si="28"/>
        <v>1002</v>
      </c>
      <c r="AC89" s="6">
        <v>3</v>
      </c>
    </row>
    <row r="90" spans="1:29" x14ac:dyDescent="0.35">
      <c r="A90" s="1">
        <v>86</v>
      </c>
      <c r="B90" s="84">
        <f t="shared" si="29"/>
        <v>570240</v>
      </c>
      <c r="C90" s="39"/>
      <c r="D90" s="39" t="str">
        <f t="shared" si="30"/>
        <v/>
      </c>
      <c r="E90" s="39" t="str">
        <f t="shared" si="31"/>
        <v/>
      </c>
      <c r="F90" s="39">
        <v>0</v>
      </c>
      <c r="J90" s="1">
        <v>1650</v>
      </c>
      <c r="K90" s="1">
        <f>SUM($J$5:J90)</f>
        <v>31663</v>
      </c>
      <c r="L90" s="231">
        <f t="shared" si="32"/>
        <v>131.92916666666667</v>
      </c>
      <c r="M90" s="1">
        <v>0.96</v>
      </c>
      <c r="N90" s="1">
        <f t="shared" si="22"/>
        <v>345.59999999999997</v>
      </c>
      <c r="O90" s="1">
        <f t="shared" si="33"/>
        <v>570240</v>
      </c>
      <c r="R90" s="6" t="s">
        <v>360</v>
      </c>
      <c r="S90" s="70">
        <f t="shared" si="23"/>
        <v>1</v>
      </c>
      <c r="T90" s="70">
        <f t="shared" si="24"/>
        <v>1</v>
      </c>
      <c r="U90" s="237">
        <v>4</v>
      </c>
      <c r="V90" s="68" t="s">
        <v>398</v>
      </c>
      <c r="W90" s="6">
        <f t="shared" si="25"/>
        <v>2</v>
      </c>
      <c r="X90" s="6">
        <f t="shared" si="26"/>
        <v>1002</v>
      </c>
      <c r="Y90" s="6">
        <v>3</v>
      </c>
      <c r="Z90" s="68" t="s">
        <v>401</v>
      </c>
      <c r="AA90" s="6">
        <f t="shared" si="27"/>
        <v>2</v>
      </c>
      <c r="AB90" s="6">
        <f t="shared" si="28"/>
        <v>1004</v>
      </c>
      <c r="AC90" s="6">
        <v>3</v>
      </c>
    </row>
    <row r="91" spans="1:29" x14ac:dyDescent="0.35">
      <c r="A91" s="1">
        <v>87</v>
      </c>
      <c r="B91" s="84">
        <f t="shared" si="29"/>
        <v>604800</v>
      </c>
      <c r="C91" s="39"/>
      <c r="D91" s="39" t="str">
        <f t="shared" si="30"/>
        <v/>
      </c>
      <c r="E91" s="39" t="str">
        <f t="shared" si="31"/>
        <v/>
      </c>
      <c r="F91" s="39">
        <v>0</v>
      </c>
      <c r="J91" s="1">
        <v>1750</v>
      </c>
      <c r="K91" s="1">
        <f>SUM($J$5:J91)</f>
        <v>33413</v>
      </c>
      <c r="L91" s="231">
        <f t="shared" si="32"/>
        <v>139.22083333333333</v>
      </c>
      <c r="M91" s="1">
        <v>0.96</v>
      </c>
      <c r="N91" s="1">
        <f t="shared" si="22"/>
        <v>345.59999999999997</v>
      </c>
      <c r="O91" s="1">
        <f t="shared" si="33"/>
        <v>604800</v>
      </c>
      <c r="R91" s="6" t="s">
        <v>360</v>
      </c>
      <c r="S91" s="70">
        <f t="shared" si="23"/>
        <v>1</v>
      </c>
      <c r="T91" s="70">
        <f t="shared" si="24"/>
        <v>1</v>
      </c>
      <c r="U91" s="237">
        <v>4</v>
      </c>
      <c r="V91" s="68" t="s">
        <v>397</v>
      </c>
      <c r="W91" s="6">
        <f t="shared" si="25"/>
        <v>2</v>
      </c>
      <c r="X91" s="6">
        <f t="shared" si="26"/>
        <v>1001</v>
      </c>
      <c r="Y91" s="6">
        <v>3</v>
      </c>
      <c r="Z91" s="68" t="s">
        <v>401</v>
      </c>
      <c r="AA91" s="6">
        <f t="shared" si="27"/>
        <v>2</v>
      </c>
      <c r="AB91" s="6">
        <f t="shared" si="28"/>
        <v>1004</v>
      </c>
      <c r="AC91" s="6">
        <v>3</v>
      </c>
    </row>
    <row r="92" spans="1:29" x14ac:dyDescent="0.35">
      <c r="A92" s="1">
        <v>88</v>
      </c>
      <c r="B92" s="84">
        <f t="shared" si="29"/>
        <v>639360</v>
      </c>
      <c r="C92" s="39"/>
      <c r="D92" s="39" t="str">
        <f t="shared" si="30"/>
        <v/>
      </c>
      <c r="E92" s="39" t="str">
        <f t="shared" si="31"/>
        <v/>
      </c>
      <c r="F92" s="39">
        <v>0</v>
      </c>
      <c r="J92" s="1">
        <v>1850</v>
      </c>
      <c r="K92" s="1">
        <f>SUM($J$5:J92)</f>
        <v>35263</v>
      </c>
      <c r="L92" s="231">
        <f t="shared" si="32"/>
        <v>146.92916666666667</v>
      </c>
      <c r="M92" s="1">
        <v>0.96</v>
      </c>
      <c r="N92" s="1">
        <f t="shared" si="22"/>
        <v>345.59999999999997</v>
      </c>
      <c r="O92" s="1">
        <f t="shared" si="33"/>
        <v>639360</v>
      </c>
      <c r="R92" s="6" t="s">
        <v>360</v>
      </c>
      <c r="S92" s="70">
        <f t="shared" si="23"/>
        <v>1</v>
      </c>
      <c r="T92" s="70">
        <f t="shared" si="24"/>
        <v>1</v>
      </c>
      <c r="U92" s="237">
        <v>4</v>
      </c>
      <c r="V92" s="68" t="s">
        <v>398</v>
      </c>
      <c r="W92" s="6">
        <f t="shared" si="25"/>
        <v>2</v>
      </c>
      <c r="X92" s="6">
        <f t="shared" si="26"/>
        <v>1002</v>
      </c>
      <c r="Y92" s="6">
        <v>3</v>
      </c>
      <c r="Z92" s="68" t="s">
        <v>401</v>
      </c>
      <c r="AA92" s="6">
        <f t="shared" si="27"/>
        <v>2</v>
      </c>
      <c r="AB92" s="6">
        <f t="shared" si="28"/>
        <v>1004</v>
      </c>
      <c r="AC92" s="6">
        <v>3</v>
      </c>
    </row>
    <row r="93" spans="1:29" x14ac:dyDescent="0.35">
      <c r="A93" s="1">
        <v>89</v>
      </c>
      <c r="B93" s="84">
        <f t="shared" si="29"/>
        <v>673920</v>
      </c>
      <c r="C93" s="39"/>
      <c r="D93" s="39" t="str">
        <f t="shared" si="30"/>
        <v/>
      </c>
      <c r="E93" s="39" t="str">
        <f t="shared" si="31"/>
        <v/>
      </c>
      <c r="F93" s="39">
        <v>0</v>
      </c>
      <c r="J93" s="1">
        <v>1950</v>
      </c>
      <c r="K93" s="232">
        <f>SUM($J$5:J93)</f>
        <v>37213</v>
      </c>
      <c r="L93" s="231">
        <f t="shared" si="32"/>
        <v>155.05416666666667</v>
      </c>
      <c r="M93" s="1">
        <v>0.96</v>
      </c>
      <c r="N93" s="1">
        <f t="shared" si="22"/>
        <v>345.59999999999997</v>
      </c>
      <c r="O93" s="1">
        <f t="shared" si="33"/>
        <v>673920</v>
      </c>
      <c r="R93" s="6" t="s">
        <v>360</v>
      </c>
      <c r="S93" s="70">
        <f t="shared" si="23"/>
        <v>1</v>
      </c>
      <c r="T93" s="70">
        <f t="shared" si="24"/>
        <v>1</v>
      </c>
      <c r="U93" s="237">
        <v>4</v>
      </c>
      <c r="V93" s="68" t="s">
        <v>397</v>
      </c>
      <c r="W93" s="6">
        <f t="shared" si="25"/>
        <v>2</v>
      </c>
      <c r="X93" s="6">
        <f t="shared" si="26"/>
        <v>1001</v>
      </c>
      <c r="Y93" s="6">
        <v>3</v>
      </c>
      <c r="Z93" s="68" t="s">
        <v>402</v>
      </c>
      <c r="AA93" s="6">
        <f t="shared" si="27"/>
        <v>2</v>
      </c>
      <c r="AB93" s="6">
        <f t="shared" si="28"/>
        <v>1003</v>
      </c>
      <c r="AC93" s="6">
        <v>1</v>
      </c>
    </row>
    <row r="94" spans="1:29" x14ac:dyDescent="0.35">
      <c r="A94" s="1">
        <v>90</v>
      </c>
      <c r="B94" s="84">
        <f t="shared" si="29"/>
        <v>743040</v>
      </c>
      <c r="C94" s="39"/>
      <c r="D94" s="39" t="str">
        <f t="shared" si="30"/>
        <v/>
      </c>
      <c r="E94" s="39" t="str">
        <f t="shared" si="31"/>
        <v/>
      </c>
      <c r="F94" s="39">
        <v>0</v>
      </c>
      <c r="J94" s="1">
        <v>2150</v>
      </c>
      <c r="K94" s="1">
        <f>SUM($J$5:J94)</f>
        <v>39363</v>
      </c>
      <c r="L94" s="231">
        <f t="shared" si="32"/>
        <v>164.01249999999999</v>
      </c>
      <c r="M94" s="1">
        <v>0.96</v>
      </c>
      <c r="N94" s="1">
        <f t="shared" si="22"/>
        <v>345.59999999999997</v>
      </c>
      <c r="O94" s="1">
        <f t="shared" si="33"/>
        <v>743040</v>
      </c>
      <c r="R94" s="6" t="s">
        <v>360</v>
      </c>
      <c r="S94" s="70">
        <f t="shared" si="23"/>
        <v>1</v>
      </c>
      <c r="T94" s="70">
        <f t="shared" si="24"/>
        <v>1</v>
      </c>
      <c r="U94" s="237">
        <v>4</v>
      </c>
      <c r="V94" s="68" t="s">
        <v>398</v>
      </c>
      <c r="W94" s="6">
        <f t="shared" si="25"/>
        <v>2</v>
      </c>
      <c r="X94" s="6">
        <f t="shared" si="26"/>
        <v>1002</v>
      </c>
      <c r="Y94" s="6">
        <v>3</v>
      </c>
      <c r="Z94" s="68" t="s">
        <v>401</v>
      </c>
      <c r="AA94" s="6">
        <f t="shared" si="27"/>
        <v>2</v>
      </c>
      <c r="AB94" s="6">
        <f t="shared" si="28"/>
        <v>1004</v>
      </c>
      <c r="AC94" s="6">
        <v>3</v>
      </c>
    </row>
    <row r="95" spans="1:29" x14ac:dyDescent="0.35">
      <c r="A95" s="1">
        <v>91</v>
      </c>
      <c r="B95" s="84">
        <f t="shared" si="29"/>
        <v>812160</v>
      </c>
      <c r="C95" s="39"/>
      <c r="D95" s="39" t="str">
        <f t="shared" si="30"/>
        <v/>
      </c>
      <c r="E95" s="39" t="str">
        <f t="shared" si="31"/>
        <v/>
      </c>
      <c r="F95" s="39">
        <v>0</v>
      </c>
      <c r="J95" s="1">
        <v>2350</v>
      </c>
      <c r="K95" s="1">
        <f>SUM($J$5:J95)</f>
        <v>41713</v>
      </c>
      <c r="L95" s="231">
        <f t="shared" si="32"/>
        <v>173.80416666666667</v>
      </c>
      <c r="M95" s="1">
        <v>0.96</v>
      </c>
      <c r="N95" s="1">
        <f t="shared" si="22"/>
        <v>345.59999999999997</v>
      </c>
      <c r="O95" s="1">
        <f t="shared" si="33"/>
        <v>812160</v>
      </c>
      <c r="R95" s="6" t="s">
        <v>360</v>
      </c>
      <c r="S95" s="70">
        <f t="shared" si="23"/>
        <v>1</v>
      </c>
      <c r="T95" s="70">
        <f t="shared" si="24"/>
        <v>1</v>
      </c>
      <c r="U95" s="237">
        <v>4</v>
      </c>
      <c r="V95" s="68" t="s">
        <v>397</v>
      </c>
      <c r="W95" s="6">
        <f t="shared" si="25"/>
        <v>2</v>
      </c>
      <c r="X95" s="6">
        <f t="shared" si="26"/>
        <v>1001</v>
      </c>
      <c r="Y95" s="6">
        <v>3</v>
      </c>
      <c r="Z95" s="68" t="s">
        <v>398</v>
      </c>
      <c r="AA95" s="6">
        <f t="shared" si="27"/>
        <v>2</v>
      </c>
      <c r="AB95" s="6">
        <f t="shared" si="28"/>
        <v>1002</v>
      </c>
      <c r="AC95" s="6">
        <v>3</v>
      </c>
    </row>
    <row r="96" spans="1:29" x14ac:dyDescent="0.35">
      <c r="A96" s="1">
        <v>92</v>
      </c>
      <c r="B96" s="84">
        <f t="shared" si="29"/>
        <v>881280</v>
      </c>
      <c r="C96" s="39"/>
      <c r="D96" s="39" t="str">
        <f t="shared" si="30"/>
        <v/>
      </c>
      <c r="E96" s="39" t="str">
        <f t="shared" si="31"/>
        <v/>
      </c>
      <c r="F96" s="39">
        <v>0</v>
      </c>
      <c r="J96" s="1">
        <v>2550</v>
      </c>
      <c r="K96" s="1">
        <f>SUM($J$5:J96)</f>
        <v>44263</v>
      </c>
      <c r="L96" s="231">
        <f t="shared" si="32"/>
        <v>184.42916666666667</v>
      </c>
      <c r="M96" s="1">
        <v>0.96</v>
      </c>
      <c r="N96" s="1">
        <f t="shared" si="22"/>
        <v>345.59999999999997</v>
      </c>
      <c r="O96" s="1">
        <f t="shared" si="33"/>
        <v>881280</v>
      </c>
      <c r="R96" s="6" t="s">
        <v>360</v>
      </c>
      <c r="S96" s="70">
        <f t="shared" si="23"/>
        <v>1</v>
      </c>
      <c r="T96" s="70">
        <f t="shared" si="24"/>
        <v>1</v>
      </c>
      <c r="U96" s="237">
        <v>4</v>
      </c>
      <c r="V96" s="68" t="s">
        <v>398</v>
      </c>
      <c r="W96" s="6">
        <f t="shared" si="25"/>
        <v>2</v>
      </c>
      <c r="X96" s="6">
        <f t="shared" si="26"/>
        <v>1002</v>
      </c>
      <c r="Y96" s="6">
        <v>3</v>
      </c>
      <c r="Z96" s="68" t="s">
        <v>401</v>
      </c>
      <c r="AA96" s="6">
        <f t="shared" si="27"/>
        <v>2</v>
      </c>
      <c r="AB96" s="6">
        <f t="shared" si="28"/>
        <v>1004</v>
      </c>
      <c r="AC96" s="6">
        <v>3</v>
      </c>
    </row>
    <row r="97" spans="1:29" x14ac:dyDescent="0.35">
      <c r="A97" s="1">
        <v>93</v>
      </c>
      <c r="B97" s="84">
        <f t="shared" si="29"/>
        <v>950400</v>
      </c>
      <c r="C97" s="39"/>
      <c r="D97" s="39" t="str">
        <f t="shared" si="30"/>
        <v/>
      </c>
      <c r="E97" s="39" t="str">
        <f t="shared" si="31"/>
        <v/>
      </c>
      <c r="F97" s="39">
        <v>0</v>
      </c>
      <c r="J97" s="1">
        <v>2750</v>
      </c>
      <c r="K97" s="1">
        <f>SUM($J$5:J97)</f>
        <v>47013</v>
      </c>
      <c r="L97" s="231">
        <f t="shared" si="32"/>
        <v>195.88749999999999</v>
      </c>
      <c r="M97" s="1">
        <v>0.96</v>
      </c>
      <c r="N97" s="1">
        <f t="shared" si="22"/>
        <v>345.59999999999997</v>
      </c>
      <c r="O97" s="1">
        <f t="shared" si="33"/>
        <v>950400</v>
      </c>
      <c r="R97" s="6" t="s">
        <v>360</v>
      </c>
      <c r="S97" s="70">
        <f t="shared" si="23"/>
        <v>1</v>
      </c>
      <c r="T97" s="70">
        <f t="shared" si="24"/>
        <v>1</v>
      </c>
      <c r="U97" s="237">
        <v>4</v>
      </c>
      <c r="V97" s="68" t="s">
        <v>397</v>
      </c>
      <c r="W97" s="6">
        <f t="shared" si="25"/>
        <v>2</v>
      </c>
      <c r="X97" s="6">
        <f t="shared" si="26"/>
        <v>1001</v>
      </c>
      <c r="Y97" s="6">
        <v>3</v>
      </c>
      <c r="Z97" s="68" t="s">
        <v>401</v>
      </c>
      <c r="AA97" s="6">
        <f t="shared" si="27"/>
        <v>2</v>
      </c>
      <c r="AB97" s="6">
        <f t="shared" si="28"/>
        <v>1004</v>
      </c>
      <c r="AC97" s="6">
        <v>3</v>
      </c>
    </row>
    <row r="98" spans="1:29" x14ac:dyDescent="0.35">
      <c r="A98" s="1">
        <v>94</v>
      </c>
      <c r="B98" s="84">
        <f t="shared" si="29"/>
        <v>1019520</v>
      </c>
      <c r="C98" s="39"/>
      <c r="D98" s="39" t="str">
        <f t="shared" si="30"/>
        <v/>
      </c>
      <c r="E98" s="39" t="str">
        <f t="shared" si="31"/>
        <v/>
      </c>
      <c r="F98" s="39">
        <v>0</v>
      </c>
      <c r="J98" s="1">
        <v>2950</v>
      </c>
      <c r="K98" s="1">
        <f>SUM($J$5:J98)</f>
        <v>49963</v>
      </c>
      <c r="L98" s="231">
        <f t="shared" si="32"/>
        <v>208.17916666666667</v>
      </c>
      <c r="M98" s="1">
        <v>0.96</v>
      </c>
      <c r="N98" s="1">
        <f t="shared" si="22"/>
        <v>345.59999999999997</v>
      </c>
      <c r="O98" s="1">
        <f t="shared" si="33"/>
        <v>1019520</v>
      </c>
      <c r="R98" s="6" t="s">
        <v>360</v>
      </c>
      <c r="S98" s="70">
        <f t="shared" si="23"/>
        <v>1</v>
      </c>
      <c r="T98" s="70">
        <f t="shared" si="24"/>
        <v>1</v>
      </c>
      <c r="U98" s="237">
        <v>4</v>
      </c>
      <c r="V98" s="68" t="s">
        <v>398</v>
      </c>
      <c r="W98" s="6">
        <f t="shared" si="25"/>
        <v>2</v>
      </c>
      <c r="X98" s="6">
        <f t="shared" si="26"/>
        <v>1002</v>
      </c>
      <c r="Y98" s="6">
        <v>3</v>
      </c>
      <c r="Z98" s="68" t="s">
        <v>402</v>
      </c>
      <c r="AA98" s="6">
        <f t="shared" si="27"/>
        <v>2</v>
      </c>
      <c r="AB98" s="6">
        <f t="shared" si="28"/>
        <v>1003</v>
      </c>
      <c r="AC98" s="6">
        <v>1</v>
      </c>
    </row>
    <row r="99" spans="1:29" x14ac:dyDescent="0.35">
      <c r="A99" s="1">
        <v>95</v>
      </c>
      <c r="B99" s="84">
        <f t="shared" si="29"/>
        <v>1088640</v>
      </c>
      <c r="C99" s="39"/>
      <c r="D99" s="39" t="str">
        <f t="shared" si="30"/>
        <v/>
      </c>
      <c r="E99" s="39" t="str">
        <f t="shared" si="31"/>
        <v/>
      </c>
      <c r="F99" s="39">
        <v>0</v>
      </c>
      <c r="J99" s="1">
        <v>3150</v>
      </c>
      <c r="K99" s="1">
        <f>SUM($J$5:J99)</f>
        <v>53113</v>
      </c>
      <c r="L99" s="231">
        <f t="shared" si="32"/>
        <v>221.30416666666667</v>
      </c>
      <c r="M99" s="1">
        <v>0.96</v>
      </c>
      <c r="N99" s="1">
        <f t="shared" si="22"/>
        <v>345.59999999999997</v>
      </c>
      <c r="O99" s="1">
        <f t="shared" si="33"/>
        <v>1088640</v>
      </c>
      <c r="R99" s="6" t="s">
        <v>360</v>
      </c>
      <c r="S99" s="70">
        <f t="shared" si="23"/>
        <v>1</v>
      </c>
      <c r="T99" s="70">
        <f t="shared" si="24"/>
        <v>1</v>
      </c>
      <c r="U99" s="237">
        <v>5</v>
      </c>
      <c r="V99" s="68" t="s">
        <v>397</v>
      </c>
      <c r="W99" s="6">
        <f t="shared" si="25"/>
        <v>2</v>
      </c>
      <c r="X99" s="6">
        <f t="shared" si="26"/>
        <v>1001</v>
      </c>
      <c r="Y99" s="6">
        <v>3</v>
      </c>
      <c r="Z99" s="68" t="s">
        <v>398</v>
      </c>
      <c r="AA99" s="6">
        <f t="shared" si="27"/>
        <v>2</v>
      </c>
      <c r="AB99" s="6">
        <f t="shared" si="28"/>
        <v>1002</v>
      </c>
      <c r="AC99" s="6">
        <v>3</v>
      </c>
    </row>
    <row r="100" spans="1:29" x14ac:dyDescent="0.35">
      <c r="A100" s="1">
        <v>96</v>
      </c>
      <c r="B100" s="84">
        <f t="shared" si="29"/>
        <v>1157760</v>
      </c>
      <c r="C100" s="39"/>
      <c r="D100" s="39" t="str">
        <f t="shared" si="30"/>
        <v/>
      </c>
      <c r="E100" s="39" t="str">
        <f t="shared" si="31"/>
        <v/>
      </c>
      <c r="F100" s="39">
        <v>0</v>
      </c>
      <c r="J100" s="1">
        <v>3350</v>
      </c>
      <c r="K100" s="1">
        <f>SUM($J$5:J100)</f>
        <v>56463</v>
      </c>
      <c r="L100" s="231">
        <f t="shared" si="32"/>
        <v>235.26249999999999</v>
      </c>
      <c r="M100" s="1">
        <v>0.96</v>
      </c>
      <c r="N100" s="1">
        <f t="shared" si="22"/>
        <v>345.59999999999997</v>
      </c>
      <c r="O100" s="1">
        <f t="shared" si="33"/>
        <v>1157760</v>
      </c>
      <c r="R100" s="6" t="s">
        <v>360</v>
      </c>
      <c r="S100" s="70">
        <f t="shared" si="23"/>
        <v>1</v>
      </c>
      <c r="T100" s="70">
        <f t="shared" si="24"/>
        <v>1</v>
      </c>
      <c r="U100" s="237">
        <v>5</v>
      </c>
      <c r="V100" s="68" t="s">
        <v>398</v>
      </c>
      <c r="W100" s="6">
        <f t="shared" si="25"/>
        <v>2</v>
      </c>
      <c r="X100" s="6">
        <f t="shared" si="26"/>
        <v>1002</v>
      </c>
      <c r="Y100" s="6">
        <v>3</v>
      </c>
      <c r="Z100" s="68" t="s">
        <v>401</v>
      </c>
      <c r="AA100" s="6">
        <f t="shared" si="27"/>
        <v>2</v>
      </c>
      <c r="AB100" s="6">
        <f t="shared" si="28"/>
        <v>1004</v>
      </c>
      <c r="AC100" s="6">
        <v>3</v>
      </c>
    </row>
    <row r="101" spans="1:29" x14ac:dyDescent="0.35">
      <c r="A101" s="1">
        <v>97</v>
      </c>
      <c r="B101" s="84">
        <f t="shared" si="29"/>
        <v>1226880</v>
      </c>
      <c r="C101" s="39"/>
      <c r="D101" s="39" t="str">
        <f t="shared" si="30"/>
        <v/>
      </c>
      <c r="E101" s="39" t="str">
        <f t="shared" si="31"/>
        <v/>
      </c>
      <c r="F101" s="39">
        <v>0</v>
      </c>
      <c r="J101" s="1">
        <v>3550</v>
      </c>
      <c r="K101" s="1">
        <f>SUM($J$5:J101)</f>
        <v>60013</v>
      </c>
      <c r="L101" s="231">
        <f t="shared" si="32"/>
        <v>250.05416666666667</v>
      </c>
      <c r="M101" s="1">
        <v>0.96</v>
      </c>
      <c r="N101" s="1">
        <f t="shared" si="22"/>
        <v>345.59999999999997</v>
      </c>
      <c r="O101" s="1">
        <f t="shared" si="33"/>
        <v>1226880</v>
      </c>
      <c r="R101" s="6" t="s">
        <v>360</v>
      </c>
      <c r="S101" s="70">
        <f t="shared" si="23"/>
        <v>1</v>
      </c>
      <c r="T101" s="70">
        <f t="shared" si="24"/>
        <v>1</v>
      </c>
      <c r="U101" s="237">
        <v>5</v>
      </c>
      <c r="V101" s="68" t="s">
        <v>397</v>
      </c>
      <c r="W101" s="6">
        <f t="shared" si="25"/>
        <v>2</v>
      </c>
      <c r="X101" s="6">
        <f t="shared" si="26"/>
        <v>1001</v>
      </c>
      <c r="Y101" s="6">
        <v>3</v>
      </c>
      <c r="Z101" s="68" t="s">
        <v>401</v>
      </c>
      <c r="AA101" s="6">
        <f t="shared" si="27"/>
        <v>2</v>
      </c>
      <c r="AB101" s="6">
        <f t="shared" si="28"/>
        <v>1004</v>
      </c>
      <c r="AC101" s="6">
        <v>3</v>
      </c>
    </row>
    <row r="102" spans="1:29" x14ac:dyDescent="0.35">
      <c r="A102" s="1">
        <v>98</v>
      </c>
      <c r="B102" s="84">
        <f t="shared" si="29"/>
        <v>1296000</v>
      </c>
      <c r="C102" s="39"/>
      <c r="D102" s="39" t="str">
        <f t="shared" si="30"/>
        <v/>
      </c>
      <c r="E102" s="39" t="str">
        <f t="shared" si="31"/>
        <v/>
      </c>
      <c r="F102" s="39">
        <v>0</v>
      </c>
      <c r="J102" s="1">
        <v>3750</v>
      </c>
      <c r="K102" s="1">
        <f>SUM($J$5:J102)</f>
        <v>63763</v>
      </c>
      <c r="L102" s="231">
        <f t="shared" si="32"/>
        <v>265.67916666666667</v>
      </c>
      <c r="M102" s="1">
        <v>0.96</v>
      </c>
      <c r="N102" s="1">
        <f t="shared" si="22"/>
        <v>345.59999999999997</v>
      </c>
      <c r="O102" s="1">
        <f t="shared" si="33"/>
        <v>1296000</v>
      </c>
      <c r="R102" s="6" t="s">
        <v>360</v>
      </c>
      <c r="S102" s="70">
        <f t="shared" si="23"/>
        <v>1</v>
      </c>
      <c r="T102" s="70">
        <f t="shared" si="24"/>
        <v>1</v>
      </c>
      <c r="U102" s="237">
        <v>5</v>
      </c>
      <c r="V102" s="68" t="s">
        <v>398</v>
      </c>
      <c r="W102" s="6">
        <f t="shared" si="25"/>
        <v>2</v>
      </c>
      <c r="X102" s="6">
        <f t="shared" si="26"/>
        <v>1002</v>
      </c>
      <c r="Y102" s="6">
        <v>3</v>
      </c>
      <c r="Z102" s="68" t="s">
        <v>401</v>
      </c>
      <c r="AA102" s="6">
        <f t="shared" si="27"/>
        <v>2</v>
      </c>
      <c r="AB102" s="6">
        <f t="shared" si="28"/>
        <v>1004</v>
      </c>
      <c r="AC102" s="6">
        <v>3</v>
      </c>
    </row>
    <row r="103" spans="1:29" x14ac:dyDescent="0.35">
      <c r="A103" s="1">
        <v>99</v>
      </c>
      <c r="B103" s="84">
        <f t="shared" si="29"/>
        <v>1365120</v>
      </c>
      <c r="C103" s="39"/>
      <c r="D103" s="39" t="str">
        <f t="shared" si="30"/>
        <v/>
      </c>
      <c r="E103" s="39" t="str">
        <f t="shared" si="31"/>
        <v/>
      </c>
      <c r="F103" s="39">
        <v>0</v>
      </c>
      <c r="J103" s="1">
        <v>3950</v>
      </c>
      <c r="K103" s="232">
        <f>SUM($J$5:J103)</f>
        <v>67713</v>
      </c>
      <c r="L103" s="231">
        <f t="shared" si="32"/>
        <v>282.13749999999999</v>
      </c>
      <c r="M103" s="1">
        <v>0.96</v>
      </c>
      <c r="N103" s="1">
        <f t="shared" si="22"/>
        <v>345.59999999999997</v>
      </c>
      <c r="O103" s="1">
        <f t="shared" si="33"/>
        <v>1365120</v>
      </c>
      <c r="R103" s="6" t="s">
        <v>360</v>
      </c>
      <c r="S103" s="70">
        <f t="shared" si="23"/>
        <v>1</v>
      </c>
      <c r="T103" s="70">
        <f t="shared" si="24"/>
        <v>1</v>
      </c>
      <c r="U103" s="237">
        <v>5</v>
      </c>
      <c r="V103" s="68" t="s">
        <v>397</v>
      </c>
      <c r="W103" s="6">
        <f t="shared" si="25"/>
        <v>2</v>
      </c>
      <c r="X103" s="6">
        <f t="shared" si="26"/>
        <v>1001</v>
      </c>
      <c r="Y103" s="6">
        <v>3</v>
      </c>
      <c r="Z103" s="68" t="s">
        <v>402</v>
      </c>
      <c r="AA103" s="6">
        <f t="shared" si="27"/>
        <v>2</v>
      </c>
      <c r="AB103" s="6">
        <f t="shared" si="28"/>
        <v>1003</v>
      </c>
      <c r="AC103" s="6">
        <v>1</v>
      </c>
    </row>
  </sheetData>
  <phoneticPr fontId="40" type="noConversion"/>
  <conditionalFormatting sqref="AM3 A5:E5 D6:D44 A104:V1048576 C6:C23">
    <cfRule type="containsText" dxfId="898" priority="78" operator="containsText" text=" ">
      <formula>NOT(ISERROR(SEARCH(" ",A3)))</formula>
    </cfRule>
  </conditionalFormatting>
  <conditionalFormatting sqref="N4:O4">
    <cfRule type="containsText" dxfId="897" priority="159" operator="containsText" text=" ">
      <formula>NOT(ISERROR(SEARCH(" ",N4)))</formula>
    </cfRule>
  </conditionalFormatting>
  <conditionalFormatting sqref="AC4">
    <cfRule type="containsText" dxfId="896" priority="182" operator="containsText" text=" ">
      <formula>NOT(ISERROR(SEARCH(" ",AC4)))</formula>
    </cfRule>
  </conditionalFormatting>
  <conditionalFormatting sqref="AD4">
    <cfRule type="containsText" dxfId="895" priority="100" operator="containsText" text=" ">
      <formula>NOT(ISERROR(SEARCH(" ",AD4)))</formula>
    </cfRule>
  </conditionalFormatting>
  <conditionalFormatting sqref="AL4:AO4">
    <cfRule type="containsText" dxfId="894" priority="158" operator="containsText" text=" ">
      <formula>NOT(ISERROR(SEARCH(" ",AL4)))</formula>
    </cfRule>
  </conditionalFormatting>
  <conditionalFormatting sqref="AD23">
    <cfRule type="containsText" dxfId="893" priority="180" operator="containsText" text=" ">
      <formula>NOT(ISERROR(SEARCH(" ",AD23)))</formula>
    </cfRule>
  </conditionalFormatting>
  <conditionalFormatting sqref="AD24">
    <cfRule type="containsText" dxfId="892" priority="179" operator="containsText" text=" ">
      <formula>NOT(ISERROR(SEARCH(" ",AD24)))</formula>
    </cfRule>
  </conditionalFormatting>
  <conditionalFormatting sqref="AD25">
    <cfRule type="containsText" dxfId="891" priority="178" operator="containsText" text=" ">
      <formula>NOT(ISERROR(SEARCH(" ",AD25)))</formula>
    </cfRule>
  </conditionalFormatting>
  <conditionalFormatting sqref="AD28">
    <cfRule type="containsText" dxfId="890" priority="177" operator="containsText" text=" ">
      <formula>NOT(ISERROR(SEARCH(" ",AD28)))</formula>
    </cfRule>
  </conditionalFormatting>
  <conditionalFormatting sqref="AD29">
    <cfRule type="containsText" dxfId="889" priority="176" operator="containsText" text=" ">
      <formula>NOT(ISERROR(SEARCH(" ",AD29)))</formula>
    </cfRule>
  </conditionalFormatting>
  <conditionalFormatting sqref="AD30">
    <cfRule type="containsText" dxfId="888" priority="175" operator="containsText" text=" ">
      <formula>NOT(ISERROR(SEARCH(" ",AD30)))</formula>
    </cfRule>
  </conditionalFormatting>
  <conditionalFormatting sqref="AD31">
    <cfRule type="containsText" dxfId="887" priority="174" operator="containsText" text=" ">
      <formula>NOT(ISERROR(SEARCH(" ",AD31)))</formula>
    </cfRule>
  </conditionalFormatting>
  <conditionalFormatting sqref="AD32">
    <cfRule type="containsText" dxfId="886" priority="173" operator="containsText" text=" ">
      <formula>NOT(ISERROR(SEARCH(" ",AD32)))</formula>
    </cfRule>
  </conditionalFormatting>
  <conditionalFormatting sqref="AD33">
    <cfRule type="containsText" dxfId="885" priority="172" operator="containsText" text=" ">
      <formula>NOT(ISERROR(SEARCH(" ",AD33)))</formula>
    </cfRule>
  </conditionalFormatting>
  <conditionalFormatting sqref="AD34">
    <cfRule type="containsText" dxfId="884" priority="171" operator="containsText" text=" ">
      <formula>NOT(ISERROR(SEARCH(" ",AD34)))</formula>
    </cfRule>
  </conditionalFormatting>
  <conditionalFormatting sqref="AD35">
    <cfRule type="containsText" dxfId="883" priority="170" operator="containsText" text=" ">
      <formula>NOT(ISERROR(SEARCH(" ",AD35)))</formula>
    </cfRule>
  </conditionalFormatting>
  <conditionalFormatting sqref="AD36">
    <cfRule type="containsText" dxfId="882" priority="169" operator="containsText" text=" ">
      <formula>NOT(ISERROR(SEARCH(" ",AD36)))</formula>
    </cfRule>
  </conditionalFormatting>
  <conditionalFormatting sqref="AD37">
    <cfRule type="containsText" dxfId="881" priority="168" operator="containsText" text=" ">
      <formula>NOT(ISERROR(SEARCH(" ",AD37)))</formula>
    </cfRule>
  </conditionalFormatting>
  <conditionalFormatting sqref="AD38">
    <cfRule type="containsText" dxfId="880" priority="167" operator="containsText" text=" ">
      <formula>NOT(ISERROR(SEARCH(" ",AD38)))</formula>
    </cfRule>
  </conditionalFormatting>
  <conditionalFormatting sqref="AD39">
    <cfRule type="containsText" dxfId="879" priority="166" operator="containsText" text=" ">
      <formula>NOT(ISERROR(SEARCH(" ",AD39)))</formula>
    </cfRule>
  </conditionalFormatting>
  <conditionalFormatting sqref="AD40">
    <cfRule type="containsText" dxfId="878" priority="165" operator="containsText" text=" ">
      <formula>NOT(ISERROR(SEARCH(" ",AD40)))</formula>
    </cfRule>
  </conditionalFormatting>
  <conditionalFormatting sqref="AD41">
    <cfRule type="containsText" dxfId="877" priority="164" operator="containsText" text=" ">
      <formula>NOT(ISERROR(SEARCH(" ",AD41)))</formula>
    </cfRule>
  </conditionalFormatting>
  <conditionalFormatting sqref="AD42">
    <cfRule type="containsText" dxfId="876" priority="163" operator="containsText" text=" ">
      <formula>NOT(ISERROR(SEARCH(" ",AD42)))</formula>
    </cfRule>
  </conditionalFormatting>
  <conditionalFormatting sqref="AD43">
    <cfRule type="containsText" dxfId="875" priority="162" operator="containsText" text=" ">
      <formula>NOT(ISERROR(SEARCH(" ",AD43)))</formula>
    </cfRule>
  </conditionalFormatting>
  <conditionalFormatting sqref="AD44">
    <cfRule type="containsText" dxfId="874" priority="161" operator="containsText" text=" ">
      <formula>NOT(ISERROR(SEARCH(" ",AD44)))</formula>
    </cfRule>
  </conditionalFormatting>
  <conditionalFormatting sqref="AN45">
    <cfRule type="containsText" dxfId="873" priority="84" operator="containsText" text=" ">
      <formula>NOT(ISERROR(SEARCH(" ",AN45)))</formula>
    </cfRule>
  </conditionalFormatting>
  <conditionalFormatting sqref="AN46">
    <cfRule type="containsText" dxfId="872" priority="83" operator="containsText" text=" ">
      <formula>NOT(ISERROR(SEARCH(" ",AN46)))</formula>
    </cfRule>
  </conditionalFormatting>
  <conditionalFormatting sqref="AN47">
    <cfRule type="containsText" dxfId="871" priority="76" operator="containsText" text=" ">
      <formula>NOT(ISERROR(SEARCH(" ",AN47)))</formula>
    </cfRule>
  </conditionalFormatting>
  <conditionalFormatting sqref="AN48">
    <cfRule type="containsText" dxfId="870" priority="82" operator="containsText" text=" ">
      <formula>NOT(ISERROR(SEARCH(" ",AN48)))</formula>
    </cfRule>
  </conditionalFormatting>
  <conditionalFormatting sqref="AN49">
    <cfRule type="containsText" dxfId="869" priority="75" operator="containsText" text=" ">
      <formula>NOT(ISERROR(SEARCH(" ",AN49)))</formula>
    </cfRule>
  </conditionalFormatting>
  <conditionalFormatting sqref="AN50">
    <cfRule type="containsText" dxfId="868" priority="81" operator="containsText" text=" ">
      <formula>NOT(ISERROR(SEARCH(" ",AN50)))</formula>
    </cfRule>
  </conditionalFormatting>
  <conditionalFormatting sqref="AN51">
    <cfRule type="containsText" dxfId="867" priority="80" operator="containsText" text=" ">
      <formula>NOT(ISERROR(SEARCH(" ",AN51)))</formula>
    </cfRule>
  </conditionalFormatting>
  <conditionalFormatting sqref="AN52">
    <cfRule type="containsText" dxfId="866" priority="74" operator="containsText" text=" ">
      <formula>NOT(ISERROR(SEARCH(" ",AN52)))</formula>
    </cfRule>
  </conditionalFormatting>
  <conditionalFormatting sqref="AF53">
    <cfRule type="cellIs" dxfId="865" priority="65" operator="notEqual">
      <formula>"金币"</formula>
    </cfRule>
    <cfRule type="cellIs" dxfId="864" priority="66" operator="equal">
      <formula>""""""</formula>
    </cfRule>
  </conditionalFormatting>
  <conditionalFormatting sqref="AG53:AH53">
    <cfRule type="containsText" dxfId="863" priority="67" operator="containsText" text=" ">
      <formula>NOT(ISERROR(SEARCH(" ",AG53)))</formula>
    </cfRule>
  </conditionalFormatting>
  <conditionalFormatting sqref="AI53:AJ53">
    <cfRule type="containsText" dxfId="862" priority="68" operator="containsText" text=" ">
      <formula>NOT(ISERROR(SEARCH(" ",AI53)))</formula>
    </cfRule>
  </conditionalFormatting>
  <conditionalFormatting sqref="AK53">
    <cfRule type="cellIs" dxfId="861" priority="70" operator="notEqual">
      <formula>"金币"</formula>
    </cfRule>
    <cfRule type="cellIs" dxfId="860" priority="71" operator="equal">
      <formula>""""""</formula>
    </cfRule>
    <cfRule type="containsText" dxfId="859" priority="72" operator="containsText" text=" ">
      <formula>NOT(ISERROR(SEARCH(" ",AK53)))</formula>
    </cfRule>
  </conditionalFormatting>
  <conditionalFormatting sqref="AN53">
    <cfRule type="containsText" dxfId="858" priority="64" operator="containsText" text=" ">
      <formula>NOT(ISERROR(SEARCH(" ",AN53)))</formula>
    </cfRule>
  </conditionalFormatting>
  <conditionalFormatting sqref="AO53">
    <cfRule type="containsText" dxfId="857" priority="73" operator="containsText" text=" ">
      <formula>NOT(ISERROR(SEARCH(" ",AO53)))</formula>
    </cfRule>
  </conditionalFormatting>
  <conditionalFormatting sqref="AN54">
    <cfRule type="containsText" dxfId="856" priority="85" operator="containsText" text=" ">
      <formula>NOT(ISERROR(SEARCH(" ",AN54)))</formula>
    </cfRule>
  </conditionalFormatting>
  <conditionalFormatting sqref="AF55">
    <cfRule type="cellIs" dxfId="855" priority="55" operator="notEqual">
      <formula>"金币"</formula>
    </cfRule>
    <cfRule type="cellIs" dxfId="854" priority="56" operator="equal">
      <formula>""""""</formula>
    </cfRule>
  </conditionalFormatting>
  <conditionalFormatting sqref="AG55:AH55">
    <cfRule type="containsText" dxfId="853" priority="57" operator="containsText" text=" ">
      <formula>NOT(ISERROR(SEARCH(" ",AG55)))</formula>
    </cfRule>
  </conditionalFormatting>
  <conditionalFormatting sqref="AI55:AJ55">
    <cfRule type="containsText" dxfId="852" priority="58" operator="containsText" text=" ">
      <formula>NOT(ISERROR(SEARCH(" ",AI55)))</formula>
    </cfRule>
  </conditionalFormatting>
  <conditionalFormatting sqref="AK55">
    <cfRule type="cellIs" dxfId="851" priority="60" operator="notEqual">
      <formula>"金币"</formula>
    </cfRule>
    <cfRule type="cellIs" dxfId="850" priority="61" operator="equal">
      <formula>""""""</formula>
    </cfRule>
    <cfRule type="containsText" dxfId="849" priority="62" operator="containsText" text=" ">
      <formula>NOT(ISERROR(SEARCH(" ",AK55)))</formula>
    </cfRule>
  </conditionalFormatting>
  <conditionalFormatting sqref="AN55">
    <cfRule type="containsText" dxfId="848" priority="54" operator="containsText" text=" ">
      <formula>NOT(ISERROR(SEARCH(" ",AN55)))</formula>
    </cfRule>
  </conditionalFormatting>
  <conditionalFormatting sqref="AO55">
    <cfRule type="containsText" dxfId="847" priority="63" operator="containsText" text=" ">
      <formula>NOT(ISERROR(SEARCH(" ",AO55)))</formula>
    </cfRule>
  </conditionalFormatting>
  <conditionalFormatting sqref="AD63">
    <cfRule type="containsText" dxfId="846" priority="149" operator="containsText" text=" ">
      <formula>NOT(ISERROR(SEARCH(" ",AD63)))</formula>
    </cfRule>
  </conditionalFormatting>
  <conditionalFormatting sqref="AD64">
    <cfRule type="containsText" dxfId="845" priority="148" operator="containsText" text=" ">
      <formula>NOT(ISERROR(SEARCH(" ",AD64)))</formula>
    </cfRule>
  </conditionalFormatting>
  <conditionalFormatting sqref="AD65">
    <cfRule type="containsText" dxfId="844" priority="147" operator="containsText" text=" ">
      <formula>NOT(ISERROR(SEARCH(" ",AD65)))</formula>
    </cfRule>
  </conditionalFormatting>
  <conditionalFormatting sqref="AD68">
    <cfRule type="containsText" dxfId="843" priority="146" operator="containsText" text=" ">
      <formula>NOT(ISERROR(SEARCH(" ",AD68)))</formula>
    </cfRule>
  </conditionalFormatting>
  <conditionalFormatting sqref="AD69">
    <cfRule type="containsText" dxfId="842" priority="145" operator="containsText" text=" ">
      <formula>NOT(ISERROR(SEARCH(" ",AD69)))</formula>
    </cfRule>
  </conditionalFormatting>
  <conditionalFormatting sqref="AD70">
    <cfRule type="containsText" dxfId="841" priority="144" operator="containsText" text=" ">
      <formula>NOT(ISERROR(SEARCH(" ",AD70)))</formula>
    </cfRule>
  </conditionalFormatting>
  <conditionalFormatting sqref="AD71">
    <cfRule type="containsText" dxfId="840" priority="143" operator="containsText" text=" ">
      <formula>NOT(ISERROR(SEARCH(" ",AD71)))</formula>
    </cfRule>
  </conditionalFormatting>
  <conditionalFormatting sqref="AD72">
    <cfRule type="containsText" dxfId="839" priority="142" operator="containsText" text=" ">
      <formula>NOT(ISERROR(SEARCH(" ",AD72)))</formula>
    </cfRule>
  </conditionalFormatting>
  <conditionalFormatting sqref="AD73">
    <cfRule type="containsText" dxfId="838" priority="141" operator="containsText" text=" ">
      <formula>NOT(ISERROR(SEARCH(" ",AD73)))</formula>
    </cfRule>
  </conditionalFormatting>
  <conditionalFormatting sqref="AD74">
    <cfRule type="containsText" dxfId="837" priority="140" operator="containsText" text=" ">
      <formula>NOT(ISERROR(SEARCH(" ",AD74)))</formula>
    </cfRule>
  </conditionalFormatting>
  <conditionalFormatting sqref="AD75">
    <cfRule type="containsText" dxfId="836" priority="139" operator="containsText" text=" ">
      <formula>NOT(ISERROR(SEARCH(" ",AD75)))</formula>
    </cfRule>
  </conditionalFormatting>
  <conditionalFormatting sqref="AD76">
    <cfRule type="containsText" dxfId="835" priority="138" operator="containsText" text=" ">
      <formula>NOT(ISERROR(SEARCH(" ",AD76)))</formula>
    </cfRule>
  </conditionalFormatting>
  <conditionalFormatting sqref="AD77">
    <cfRule type="containsText" dxfId="834" priority="137" operator="containsText" text=" ">
      <formula>NOT(ISERROR(SEARCH(" ",AD77)))</formula>
    </cfRule>
  </conditionalFormatting>
  <conditionalFormatting sqref="AD78">
    <cfRule type="containsText" dxfId="833" priority="136" operator="containsText" text=" ">
      <formula>NOT(ISERROR(SEARCH(" ",AD78)))</formula>
    </cfRule>
  </conditionalFormatting>
  <conditionalFormatting sqref="AD79">
    <cfRule type="containsText" dxfId="832" priority="135" operator="containsText" text=" ">
      <formula>NOT(ISERROR(SEARCH(" ",AD79)))</formula>
    </cfRule>
  </conditionalFormatting>
  <conditionalFormatting sqref="AD80">
    <cfRule type="containsText" dxfId="831" priority="134" operator="containsText" text=" ">
      <formula>NOT(ISERROR(SEARCH(" ",AD80)))</formula>
    </cfRule>
  </conditionalFormatting>
  <conditionalFormatting sqref="AD81">
    <cfRule type="containsText" dxfId="830" priority="133" operator="containsText" text=" ">
      <formula>NOT(ISERROR(SEARCH(" ",AD81)))</formula>
    </cfRule>
  </conditionalFormatting>
  <conditionalFormatting sqref="AD82">
    <cfRule type="containsText" dxfId="829" priority="132" operator="containsText" text=" ">
      <formula>NOT(ISERROR(SEARCH(" ",AD82)))</formula>
    </cfRule>
  </conditionalFormatting>
  <conditionalFormatting sqref="AD83">
    <cfRule type="containsText" dxfId="828" priority="131" operator="containsText" text=" ">
      <formula>NOT(ISERROR(SEARCH(" ",AD83)))</formula>
    </cfRule>
  </conditionalFormatting>
  <conditionalFormatting sqref="AD84">
    <cfRule type="containsText" dxfId="827" priority="130" operator="containsText" text=" ">
      <formula>NOT(ISERROR(SEARCH(" ",AD84)))</formula>
    </cfRule>
  </conditionalFormatting>
  <conditionalFormatting sqref="AD85">
    <cfRule type="containsText" dxfId="826" priority="126" operator="containsText" text=" ">
      <formula>NOT(ISERROR(SEARCH(" ",AD85)))</formula>
    </cfRule>
  </conditionalFormatting>
  <conditionalFormatting sqref="AD86">
    <cfRule type="containsText" dxfId="825" priority="125" operator="containsText" text=" ">
      <formula>NOT(ISERROR(SEARCH(" ",AD86)))</formula>
    </cfRule>
  </conditionalFormatting>
  <conditionalFormatting sqref="AD87">
    <cfRule type="containsText" dxfId="824" priority="124" operator="containsText" text=" ">
      <formula>NOT(ISERROR(SEARCH(" ",AD87)))</formula>
    </cfRule>
  </conditionalFormatting>
  <conditionalFormatting sqref="AD88">
    <cfRule type="containsText" dxfId="823" priority="123" operator="containsText" text=" ">
      <formula>NOT(ISERROR(SEARCH(" ",AD88)))</formula>
    </cfRule>
  </conditionalFormatting>
  <conditionalFormatting sqref="AD89">
    <cfRule type="containsText" dxfId="822" priority="122" operator="containsText" text=" ">
      <formula>NOT(ISERROR(SEARCH(" ",AD89)))</formula>
    </cfRule>
  </conditionalFormatting>
  <conditionalFormatting sqref="AD90">
    <cfRule type="containsText" dxfId="821" priority="121" operator="containsText" text=" ">
      <formula>NOT(ISERROR(SEARCH(" ",AD90)))</formula>
    </cfRule>
  </conditionalFormatting>
  <conditionalFormatting sqref="AD91">
    <cfRule type="containsText" dxfId="820" priority="120" operator="containsText" text=" ">
      <formula>NOT(ISERROR(SEARCH(" ",AD91)))</formula>
    </cfRule>
  </conditionalFormatting>
  <conditionalFormatting sqref="AD92">
    <cfRule type="containsText" dxfId="819" priority="119" operator="containsText" text=" ">
      <formula>NOT(ISERROR(SEARCH(" ",AD92)))</formula>
    </cfRule>
  </conditionalFormatting>
  <conditionalFormatting sqref="AD93">
    <cfRule type="containsText" dxfId="818" priority="118" operator="containsText" text=" ">
      <formula>NOT(ISERROR(SEARCH(" ",AD93)))</formula>
    </cfRule>
  </conditionalFormatting>
  <conditionalFormatting sqref="AD94">
    <cfRule type="containsText" dxfId="817" priority="117" operator="containsText" text=" ">
      <formula>NOT(ISERROR(SEARCH(" ",AD94)))</formula>
    </cfRule>
  </conditionalFormatting>
  <conditionalFormatting sqref="AD95">
    <cfRule type="containsText" dxfId="816" priority="113" operator="containsText" text=" ">
      <formula>NOT(ISERROR(SEARCH(" ",AD95)))</formula>
    </cfRule>
  </conditionalFormatting>
  <conditionalFormatting sqref="AD96">
    <cfRule type="containsText" dxfId="815" priority="112" operator="containsText" text=" ">
      <formula>NOT(ISERROR(SEARCH(" ",AD96)))</formula>
    </cfRule>
  </conditionalFormatting>
  <conditionalFormatting sqref="AD97">
    <cfRule type="containsText" dxfId="814" priority="111" operator="containsText" text=" ">
      <formula>NOT(ISERROR(SEARCH(" ",AD97)))</formula>
    </cfRule>
  </conditionalFormatting>
  <conditionalFormatting sqref="AD98">
    <cfRule type="containsText" dxfId="813" priority="110" operator="containsText" text=" ">
      <formula>NOT(ISERROR(SEARCH(" ",AD98)))</formula>
    </cfRule>
  </conditionalFormatting>
  <conditionalFormatting sqref="AD99">
    <cfRule type="containsText" dxfId="812" priority="109" operator="containsText" text=" ">
      <formula>NOT(ISERROR(SEARCH(" ",AD99)))</formula>
    </cfRule>
  </conditionalFormatting>
  <conditionalFormatting sqref="AD100">
    <cfRule type="containsText" dxfId="811" priority="108" operator="containsText" text=" ">
      <formula>NOT(ISERROR(SEARCH(" ",AD100)))</formula>
    </cfRule>
  </conditionalFormatting>
  <conditionalFormatting sqref="AD101">
    <cfRule type="containsText" dxfId="810" priority="107" operator="containsText" text=" ">
      <formula>NOT(ISERROR(SEARCH(" ",AD101)))</formula>
    </cfRule>
  </conditionalFormatting>
  <conditionalFormatting sqref="AD102">
    <cfRule type="containsText" dxfId="809" priority="106" operator="containsText" text=" ">
      <formula>NOT(ISERROR(SEARCH(" ",AD102)))</formula>
    </cfRule>
  </conditionalFormatting>
  <conditionalFormatting sqref="AD103">
    <cfRule type="containsText" dxfId="808" priority="105" operator="containsText" text=" ">
      <formula>NOT(ISERROR(SEARCH(" ",AD103)))</formula>
    </cfRule>
  </conditionalFormatting>
  <conditionalFormatting sqref="F1:F4">
    <cfRule type="containsText" dxfId="807" priority="51" operator="containsText" text=" ">
      <formula>NOT(ISERROR(SEARCH(" ",F1)))</formula>
    </cfRule>
  </conditionalFormatting>
  <conditionalFormatting sqref="Z1:Z4 Z104:Z1048576">
    <cfRule type="containsText" dxfId="806" priority="52" operator="containsText" text="狂暴">
      <formula>NOT(ISERROR(SEARCH("狂暴",Z1)))</formula>
    </cfRule>
  </conditionalFormatting>
  <conditionalFormatting sqref="AE10:AE14">
    <cfRule type="containsText" dxfId="805" priority="103" operator="containsText" text=" ">
      <formula>NOT(ISERROR(SEARCH(" ",AE10)))</formula>
    </cfRule>
  </conditionalFormatting>
  <conditionalFormatting sqref="AF5:AF44">
    <cfRule type="cellIs" dxfId="804" priority="94" operator="notEqual">
      <formula>"金币"</formula>
    </cfRule>
    <cfRule type="cellIs" dxfId="803" priority="95" operator="equal">
      <formula>""""""</formula>
    </cfRule>
  </conditionalFormatting>
  <conditionalFormatting sqref="AF56:AF1048576">
    <cfRule type="cellIs" dxfId="802" priority="155" operator="notEqual">
      <formula>"金币"</formula>
    </cfRule>
  </conditionalFormatting>
  <conditionalFormatting sqref="AK56:AK1048576">
    <cfRule type="cellIs" dxfId="801" priority="153" operator="notEqual">
      <formula>"金币"</formula>
    </cfRule>
    <cfRule type="containsText" dxfId="800" priority="154" operator="containsText" text=" ">
      <formula>NOT(ISERROR(SEARCH(" ",AK56)))</formula>
    </cfRule>
  </conditionalFormatting>
  <conditionalFormatting sqref="AR12:AR18">
    <cfRule type="containsText" dxfId="799" priority="184" operator="containsText" text=" ">
      <formula>NOT(ISERROR(SEARCH(" ",AR12)))</formula>
    </cfRule>
  </conditionalFormatting>
  <conditionalFormatting sqref="G1:H5">
    <cfRule type="containsText" dxfId="798" priority="157" operator="containsText" text=" ">
      <formula>NOT(ISERROR(SEARCH(" ",G1)))</formula>
    </cfRule>
  </conditionalFormatting>
  <conditionalFormatting sqref="AH3:AJ3 AI1:AJ2">
    <cfRule type="containsText" dxfId="797" priority="79" operator="containsText" text=" ">
      <formula>NOT(ISERROR(SEARCH(" ",AH1)))</formula>
    </cfRule>
  </conditionalFormatting>
  <conditionalFormatting sqref="AN1:AO3">
    <cfRule type="containsText" dxfId="796" priority="77" operator="containsText" text=" ">
      <formula>NOT(ISERROR(SEARCH(" ",AN1)))</formula>
    </cfRule>
  </conditionalFormatting>
  <conditionalFormatting sqref="AE4 R7 R9 R11 R13 R15 R17 R19 R21 R23 R25 R27 R29 R31 R33 R35 R37 R3:V4 P5 Y3:Z4 W3:X44 AA3:AB44 R39:R44 I5 AY5:XFD30 W104:AB1048576 D45:D54 E6:E54 AR7:AR10 AR31:XFD44 AR19:AR30 AE7:AE9 R5 G14:I44 F14:F103 F13:G13 I13 G6:I12 A24:C103 A6:B23 F5:F12 P6:Q44">
    <cfRule type="containsText" dxfId="795" priority="186" operator="containsText" text=" ">
      <formula>NOT(ISERROR(SEARCH(" ",A3)))</formula>
    </cfRule>
  </conditionalFormatting>
  <conditionalFormatting sqref="P45:Q103 AP4:AR4 AR5:AR6 AE5:AE6 AP5:AP54 G45:I103 J5:O103">
    <cfRule type="containsText" dxfId="794" priority="156" operator="containsText" text=" ">
      <formula>NOT(ISERROR(SEARCH(" ",G4)))</formula>
    </cfRule>
  </conditionalFormatting>
  <conditionalFormatting sqref="P4:Q4 AG4:AJ4 AL56:XFD1048576 AE56:AJ103 AR45:XFD54 AE55 AP55:XFD55 AC104:AJ1048576">
    <cfRule type="containsText" dxfId="793" priority="183" operator="containsText" text=" ">
      <formula>NOT(ISERROR(SEARCH(" ",P4)))</formula>
    </cfRule>
  </conditionalFormatting>
  <conditionalFormatting sqref="S5:T44">
    <cfRule type="containsText" dxfId="792" priority="160" operator="containsText" text=" ">
      <formula>NOT(ISERROR(SEARCH(" ",S5)))</formula>
    </cfRule>
  </conditionalFormatting>
  <conditionalFormatting sqref="AD26:AD27 AD5:AD22">
    <cfRule type="containsText" dxfId="791" priority="185" operator="containsText" text=" ">
      <formula>NOT(ISERROR(SEARCH(" ",AD5)))</formula>
    </cfRule>
  </conditionalFormatting>
  <conditionalFormatting sqref="AL5:AM44 AF5:AF44">
    <cfRule type="containsText" dxfId="790" priority="99" operator="containsText" text=" ">
      <formula>NOT(ISERROR(SEARCH(" ",AF5)))</formula>
    </cfRule>
  </conditionalFormatting>
  <conditionalFormatting sqref="AG5:AH44">
    <cfRule type="containsText" dxfId="789" priority="96" operator="containsText" text=" ">
      <formula>NOT(ISERROR(SEARCH(" ",AG5)))</formula>
    </cfRule>
  </conditionalFormatting>
  <conditionalFormatting sqref="AI5:AJ44">
    <cfRule type="containsText" dxfId="788" priority="97" operator="containsText" text=" ">
      <formula>NOT(ISERROR(SEARCH(" ",AI5)))</formula>
    </cfRule>
  </conditionalFormatting>
  <conditionalFormatting sqref="AK5:AK52 AK54">
    <cfRule type="cellIs" dxfId="787" priority="91" operator="notEqual">
      <formula>"金币"</formula>
    </cfRule>
    <cfRule type="cellIs" dxfId="786" priority="92" operator="equal">
      <formula>""""""</formula>
    </cfRule>
    <cfRule type="containsText" dxfId="785" priority="93" operator="containsText" text=" ">
      <formula>NOT(ISERROR(SEARCH(" ",AK5)))</formula>
    </cfRule>
  </conditionalFormatting>
  <conditionalFormatting sqref="AN5:AO5 AO6:AO52 AN6:AN44 AO54">
    <cfRule type="containsText" dxfId="784" priority="98" operator="containsText" text=" ">
      <formula>NOT(ISERROR(SEARCH(" ",AN5)))</formula>
    </cfRule>
  </conditionalFormatting>
  <conditionalFormatting sqref="R6 R8 R10 R12 R14 R16 R18 R20 R22 R24 R26 R28 R30 R32 R34 R36 R38">
    <cfRule type="containsText" dxfId="783" priority="181" operator="containsText" text=" ">
      <formula>NOT(ISERROR(SEARCH(" ",R6)))</formula>
    </cfRule>
  </conditionalFormatting>
  <conditionalFormatting sqref="AE15:AE19 AE25:AE29 AE35:AE39 AE45:AE49">
    <cfRule type="containsText" dxfId="782" priority="102" operator="containsText" text=" ">
      <formula>NOT(ISERROR(SEARCH(" ",AE15)))</formula>
    </cfRule>
  </conditionalFormatting>
  <conditionalFormatting sqref="AE20:AE24 AE30:AE34 AE40:AE44 AE50:AE54">
    <cfRule type="containsText" dxfId="781" priority="101" operator="containsText" text=" ">
      <formula>NOT(ISERROR(SEARCH(" ",AE20)))</formula>
    </cfRule>
  </conditionalFormatting>
  <conditionalFormatting sqref="R47 R49 R51 R53 R55 R57 R59 R61 R63 R65 R67 R69 R71 R73 R75 R77 R45 W45:X84 AA45:AB84 R79:R84">
    <cfRule type="containsText" dxfId="780" priority="152" operator="containsText" text=" ">
      <formula>NOT(ISERROR(SEARCH(" ",R45)))</formula>
    </cfRule>
  </conditionalFormatting>
  <conditionalFormatting sqref="S45:T84">
    <cfRule type="containsText" dxfId="779" priority="129" operator="containsText" text=" ">
      <formula>NOT(ISERROR(SEARCH(" ",S45)))</formula>
    </cfRule>
  </conditionalFormatting>
  <conditionalFormatting sqref="AD45:AD62 AD66:AD67">
    <cfRule type="containsText" dxfId="778" priority="151" operator="containsText" text=" ">
      <formula>NOT(ISERROR(SEARCH(" ",AD45)))</formula>
    </cfRule>
  </conditionalFormatting>
  <conditionalFormatting sqref="AF45:AF52 AF54">
    <cfRule type="cellIs" dxfId="777" priority="86" operator="notEqual">
      <formula>"金币"</formula>
    </cfRule>
    <cfRule type="cellIs" dxfId="776" priority="87" operator="equal">
      <formula>""""""</formula>
    </cfRule>
  </conditionalFormatting>
  <conditionalFormatting sqref="AL45:AM52 AF45:AF52 AL54:AM54 AF54">
    <cfRule type="containsText" dxfId="775" priority="90" operator="containsText" text=" ">
      <formula>NOT(ISERROR(SEARCH(" ",AF45)))</formula>
    </cfRule>
  </conditionalFormatting>
  <conditionalFormatting sqref="AG45:AH52 AG54:AH54">
    <cfRule type="containsText" dxfId="774" priority="88" operator="containsText" text=" ">
      <formula>NOT(ISERROR(SEARCH(" ",AG45)))</formula>
    </cfRule>
  </conditionalFormatting>
  <conditionalFormatting sqref="AI45:AJ52 AI54:AJ54">
    <cfRule type="containsText" dxfId="773" priority="89" operator="containsText" text=" ">
      <formula>NOT(ISERROR(SEARCH(" ",AI45)))</formula>
    </cfRule>
  </conditionalFormatting>
  <conditionalFormatting sqref="R46 R48 R50 R52 R54 R56 R58 R60 R62 R64 R66 R68 R70 R72 R74 R76 R78">
    <cfRule type="containsText" dxfId="772" priority="150" operator="containsText" text=" ">
      <formula>NOT(ISERROR(SEARCH(" ",R46)))</formula>
    </cfRule>
  </conditionalFormatting>
  <conditionalFormatting sqref="AL53:AM53 AF53">
    <cfRule type="containsText" dxfId="771" priority="69" operator="containsText" text=" ">
      <formula>NOT(ISERROR(SEARCH(" ",AF53)))</formula>
    </cfRule>
  </conditionalFormatting>
  <conditionalFormatting sqref="D55:E103">
    <cfRule type="containsText" dxfId="770" priority="53" operator="containsText" text=" ">
      <formula>NOT(ISERROR(SEARCH(" ",D55)))</formula>
    </cfRule>
  </conditionalFormatting>
  <conditionalFormatting sqref="AL55:AM55 AF55">
    <cfRule type="containsText" dxfId="769" priority="59" operator="containsText" text=" ">
      <formula>NOT(ISERROR(SEARCH(" ",AF55)))</formula>
    </cfRule>
  </conditionalFormatting>
  <conditionalFormatting sqref="R85 R87 W85:X94 AA85:AB94 R89:R94">
    <cfRule type="containsText" dxfId="768" priority="128" operator="containsText" text=" ">
      <formula>NOT(ISERROR(SEARCH(" ",R85)))</formula>
    </cfRule>
  </conditionalFormatting>
  <conditionalFormatting sqref="S85:T94">
    <cfRule type="containsText" dxfId="767" priority="116" operator="containsText" text=" ">
      <formula>NOT(ISERROR(SEARCH(" ",S85)))</formula>
    </cfRule>
  </conditionalFormatting>
  <conditionalFormatting sqref="R86 R88">
    <cfRule type="containsText" dxfId="766" priority="127" operator="containsText" text=" ">
      <formula>NOT(ISERROR(SEARCH(" ",R86)))</formula>
    </cfRule>
  </conditionalFormatting>
  <conditionalFormatting sqref="R95 R97 W95:X103 AA95:AB103 R99:R103">
    <cfRule type="containsText" dxfId="765" priority="115" operator="containsText" text=" ">
      <formula>NOT(ISERROR(SEARCH(" ",R95)))</formula>
    </cfRule>
  </conditionalFormatting>
  <conditionalFormatting sqref="S95:T103">
    <cfRule type="containsText" dxfId="764" priority="104" operator="containsText" text=" ">
      <formula>NOT(ISERROR(SEARCH(" ",S95)))</formula>
    </cfRule>
  </conditionalFormatting>
  <conditionalFormatting sqref="R96 R98">
    <cfRule type="containsText" dxfId="763" priority="114" operator="containsText" text=" ">
      <formula>NOT(ISERROR(SEARCH(" ",R96)))</formula>
    </cfRule>
  </conditionalFormatting>
  <conditionalFormatting sqref="U5:U103">
    <cfRule type="containsText" dxfId="762" priority="49" operator="containsText" text=" ">
      <formula>NOT(ISERROR(SEARCH(" ",U5)))</formula>
    </cfRule>
  </conditionalFormatting>
  <conditionalFormatting sqref="V5:V103">
    <cfRule type="containsText" dxfId="761" priority="50" operator="containsText" text=" ">
      <formula>NOT(ISERROR(SEARCH(" ",V5)))</formula>
    </cfRule>
  </conditionalFormatting>
  <conditionalFormatting sqref="Z7">
    <cfRule type="containsText" dxfId="760" priority="46" operator="containsText" text=" ">
      <formula>NOT(ISERROR(SEARCH(" ",Z7)))</formula>
    </cfRule>
  </conditionalFormatting>
  <conditionalFormatting sqref="Z10">
    <cfRule type="containsText" dxfId="759" priority="12" operator="containsText" text=" ">
      <formula>NOT(ISERROR(SEARCH(" ",Z10)))</formula>
    </cfRule>
    <cfRule type="containsText" dxfId="758" priority="13" operator="containsText" text=" ">
      <formula>NOT(ISERROR(SEARCH(" ",Z10)))</formula>
    </cfRule>
  </conditionalFormatting>
  <conditionalFormatting sqref="Z11">
    <cfRule type="containsText" dxfId="757" priority="40" operator="containsText" text=" ">
      <formula>NOT(ISERROR(SEARCH(" ",Z11)))</formula>
    </cfRule>
  </conditionalFormatting>
  <conditionalFormatting sqref="Z12">
    <cfRule type="containsText" dxfId="756" priority="38" operator="containsText" text=" ">
      <formula>NOT(ISERROR(SEARCH(" ",Z12)))</formula>
    </cfRule>
    <cfRule type="containsText" dxfId="755" priority="42" operator="containsText" text=" ">
      <formula>NOT(ISERROR(SEARCH(" ",Z12)))</formula>
    </cfRule>
  </conditionalFormatting>
  <conditionalFormatting sqref="Z13">
    <cfRule type="containsText" dxfId="754" priority="39" operator="containsText" text=" ">
      <formula>NOT(ISERROR(SEARCH(" ",Z13)))</formula>
    </cfRule>
    <cfRule type="containsText" dxfId="753" priority="45" operator="containsText" text=" ">
      <formula>NOT(ISERROR(SEARCH(" ",Z13)))</formula>
    </cfRule>
  </conditionalFormatting>
  <conditionalFormatting sqref="Z16">
    <cfRule type="containsText" dxfId="752" priority="35" operator="containsText" text=" ">
      <formula>NOT(ISERROR(SEARCH(" ",Z16)))</formula>
    </cfRule>
  </conditionalFormatting>
  <conditionalFormatting sqref="Z17">
    <cfRule type="containsText" dxfId="751" priority="27" operator="containsText" text=" ">
      <formula>NOT(ISERROR(SEARCH(" ",Z17)))</formula>
    </cfRule>
    <cfRule type="containsText" dxfId="750" priority="37" operator="containsText" text=" ">
      <formula>NOT(ISERROR(SEARCH(" ",Z17)))</formula>
    </cfRule>
  </conditionalFormatting>
  <conditionalFormatting sqref="Z18">
    <cfRule type="containsText" dxfId="749" priority="28" operator="containsText" text=" ">
      <formula>NOT(ISERROR(SEARCH(" ",Z18)))</formula>
    </cfRule>
  </conditionalFormatting>
  <conditionalFormatting sqref="Z20">
    <cfRule type="containsText" dxfId="748" priority="31" operator="containsText" text=" ">
      <formula>NOT(ISERROR(SEARCH(" ",Z20)))</formula>
    </cfRule>
  </conditionalFormatting>
  <conditionalFormatting sqref="Z21">
    <cfRule type="containsText" dxfId="747" priority="24" operator="containsText" text=" ">
      <formula>NOT(ISERROR(SEARCH(" ",Z21)))</formula>
    </cfRule>
    <cfRule type="containsText" dxfId="746" priority="29" operator="containsText" text=" ">
      <formula>NOT(ISERROR(SEARCH(" ",Z21)))</formula>
    </cfRule>
    <cfRule type="containsText" dxfId="745" priority="33" operator="containsText" text=" ">
      <formula>NOT(ISERROR(SEARCH(" ",Z21)))</formula>
    </cfRule>
  </conditionalFormatting>
  <conditionalFormatting sqref="Z22">
    <cfRule type="containsText" dxfId="744" priority="22" operator="containsText" text=" ">
      <formula>NOT(ISERROR(SEARCH(" ",Z22)))</formula>
    </cfRule>
    <cfRule type="containsText" dxfId="743" priority="25" operator="containsText" text=" ">
      <formula>NOT(ISERROR(SEARCH(" ",Z22)))</formula>
    </cfRule>
    <cfRule type="containsText" dxfId="742" priority="30" operator="containsText" text=" ">
      <formula>NOT(ISERROR(SEARCH(" ",Z22)))</formula>
    </cfRule>
    <cfRule type="containsText" dxfId="741" priority="34" operator="containsText" text=" ">
      <formula>NOT(ISERROR(SEARCH(" ",Z22)))</formula>
    </cfRule>
  </conditionalFormatting>
  <conditionalFormatting sqref="Z23">
    <cfRule type="containsText" dxfId="740" priority="23" operator="containsText" text=" ">
      <formula>NOT(ISERROR(SEARCH(" ",Z23)))</formula>
    </cfRule>
    <cfRule type="containsText" dxfId="739" priority="26" operator="containsText" text=" ">
      <formula>NOT(ISERROR(SEARCH(" ",Z23)))</formula>
    </cfRule>
    <cfRule type="containsText" dxfId="738" priority="44" operator="containsText" text=" ">
      <formula>NOT(ISERROR(SEARCH(" ",Z23)))</formula>
    </cfRule>
  </conditionalFormatting>
  <conditionalFormatting sqref="Z30">
    <cfRule type="containsText" dxfId="737" priority="14" operator="containsText" text=" ">
      <formula>NOT(ISERROR(SEARCH(" ",Z30)))</formula>
    </cfRule>
    <cfRule type="containsText" dxfId="736" priority="15" operator="containsText" text=" ">
      <formula>NOT(ISERROR(SEARCH(" ",Z30)))</formula>
    </cfRule>
  </conditionalFormatting>
  <conditionalFormatting sqref="Z40">
    <cfRule type="containsText" dxfId="735" priority="18" operator="containsText" text=" ">
      <formula>NOT(ISERROR(SEARCH(" ",Z40)))</formula>
    </cfRule>
    <cfRule type="containsText" dxfId="734" priority="19" operator="containsText" text=" ">
      <formula>NOT(ISERROR(SEARCH(" ",Z40)))</formula>
    </cfRule>
  </conditionalFormatting>
  <conditionalFormatting sqref="Z50">
    <cfRule type="containsText" dxfId="733" priority="16" operator="containsText" text=" ">
      <formula>NOT(ISERROR(SEARCH(" ",Z50)))</formula>
    </cfRule>
    <cfRule type="containsText" dxfId="732" priority="17" operator="containsText" text=" ">
      <formula>NOT(ISERROR(SEARCH(" ",Z50)))</formula>
    </cfRule>
  </conditionalFormatting>
  <conditionalFormatting sqref="Z60">
    <cfRule type="containsText" dxfId="731" priority="10" operator="containsText" text=" ">
      <formula>NOT(ISERROR(SEARCH(" ",Z60)))</formula>
    </cfRule>
    <cfRule type="containsText" dxfId="730" priority="11" operator="containsText" text=" ">
      <formula>NOT(ISERROR(SEARCH(" ",Z60)))</formula>
    </cfRule>
  </conditionalFormatting>
  <conditionalFormatting sqref="Z70">
    <cfRule type="containsText" dxfId="729" priority="8" operator="containsText" text=" ">
      <formula>NOT(ISERROR(SEARCH(" ",Z70)))</formula>
    </cfRule>
    <cfRule type="containsText" dxfId="728" priority="9" operator="containsText" text=" ">
      <formula>NOT(ISERROR(SEARCH(" ",Z70)))</formula>
    </cfRule>
  </conditionalFormatting>
  <conditionalFormatting sqref="Z80">
    <cfRule type="containsText" dxfId="727" priority="6" operator="containsText" text=" ">
      <formula>NOT(ISERROR(SEARCH(" ",Z80)))</formula>
    </cfRule>
    <cfRule type="containsText" dxfId="726" priority="7" operator="containsText" text=" ">
      <formula>NOT(ISERROR(SEARCH(" ",Z80)))</formula>
    </cfRule>
  </conditionalFormatting>
  <conditionalFormatting sqref="Z90">
    <cfRule type="containsText" dxfId="725" priority="4" operator="containsText" text=" ">
      <formula>NOT(ISERROR(SEARCH(" ",Z90)))</formula>
    </cfRule>
    <cfRule type="containsText" dxfId="724" priority="5" operator="containsText" text=" ">
      <formula>NOT(ISERROR(SEARCH(" ",Z90)))</formula>
    </cfRule>
  </conditionalFormatting>
  <conditionalFormatting sqref="Z100">
    <cfRule type="containsText" dxfId="723" priority="2" operator="containsText" text=" ">
      <formula>NOT(ISERROR(SEARCH(" ",Z100)))</formula>
    </cfRule>
    <cfRule type="containsText" dxfId="722" priority="3" operator="containsText" text=" ">
      <formula>NOT(ISERROR(SEARCH(" ",Z100)))</formula>
    </cfRule>
  </conditionalFormatting>
  <conditionalFormatting sqref="Y5:Y103">
    <cfRule type="containsText" dxfId="721" priority="43" operator="containsText" text=" ">
      <formula>NOT(ISERROR(SEARCH(" ",Y5)))</formula>
    </cfRule>
  </conditionalFormatting>
  <conditionalFormatting sqref="Z5:Z103">
    <cfRule type="containsText" dxfId="720" priority="20" operator="containsText" text="狂暴">
      <formula>NOT(ISERROR(SEARCH("狂暴",Z5)))</formula>
    </cfRule>
  </conditionalFormatting>
  <conditionalFormatting sqref="Z5:Z6">
    <cfRule type="containsText" dxfId="719" priority="47" operator="containsText" text=" ">
      <formula>NOT(ISERROR(SEARCH(" ",Z5)))</formula>
    </cfRule>
  </conditionalFormatting>
  <conditionalFormatting sqref="Z9:Z11">
    <cfRule type="containsText" dxfId="718" priority="41" operator="containsText" text=" ">
      <formula>NOT(ISERROR(SEARCH(" ",Z9)))</formula>
    </cfRule>
  </conditionalFormatting>
  <conditionalFormatting sqref="Z14:Z16">
    <cfRule type="containsText" dxfId="717" priority="36" operator="containsText" text=" ">
      <formula>NOT(ISERROR(SEARCH(" ",Z14)))</formula>
    </cfRule>
  </conditionalFormatting>
  <conditionalFormatting sqref="Z18:Z21">
    <cfRule type="containsText" dxfId="716" priority="32" operator="containsText" text=" ">
      <formula>NOT(ISERROR(SEARCH(" ",Z18)))</formula>
    </cfRule>
  </conditionalFormatting>
  <conditionalFormatting sqref="Z24:Z103">
    <cfRule type="containsText" dxfId="715" priority="21" operator="containsText" text=" ">
      <formula>NOT(ISERROR(SEARCH(" ",Z24)))</formula>
    </cfRule>
  </conditionalFormatting>
  <conditionalFormatting sqref="Z8">
    <cfRule type="containsText" dxfId="714" priority="48" operator="containsText" text=" ">
      <formula>NOT(ISERROR(SEARCH(" ",Z8)))</formula>
    </cfRule>
  </conditionalFormatting>
  <conditionalFormatting sqref="AC5:AC103">
    <cfRule type="containsText" dxfId="713" priority="1" operator="containsText" text=" ">
      <formula>NOT(ISERROR(SEARCH(" ",AC5)))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Z84"/>
  <sheetViews>
    <sheetView workbookViewId="0">
      <pane xSplit="6" ySplit="4" topLeftCell="G5" activePane="bottomRight" state="frozen"/>
      <selection pane="topRight"/>
      <selection pane="bottomLeft"/>
      <selection pane="bottomRight" activeCell="G18" sqref="F18:G18"/>
    </sheetView>
  </sheetViews>
  <sheetFormatPr defaultColWidth="9" defaultRowHeight="15.6" x14ac:dyDescent="0.25"/>
  <cols>
    <col min="1" max="1" width="15.33203125" style="1" customWidth="1"/>
    <col min="2" max="2" width="23.77734375" style="1" customWidth="1"/>
    <col min="3" max="3" width="15.77734375" style="1" customWidth="1"/>
    <col min="4" max="4" width="10.77734375" style="1" customWidth="1"/>
    <col min="5" max="5" width="11.77734375" style="1" customWidth="1"/>
    <col min="6" max="6" width="14.33203125" style="1" customWidth="1"/>
    <col min="7" max="7" width="29.6640625" style="1" customWidth="1"/>
    <col min="8" max="8" width="11.44140625" style="165" hidden="1" customWidth="1"/>
    <col min="9" max="9" width="15.21875" style="165" hidden="1" customWidth="1"/>
    <col min="10" max="10" width="11.44140625" style="165" hidden="1" customWidth="1"/>
    <col min="11" max="11" width="9.77734375" style="1" customWidth="1"/>
    <col min="12" max="12" width="9.21875" style="165" hidden="1" customWidth="1"/>
    <col min="13" max="13" width="9.44140625" style="165" hidden="1" customWidth="1"/>
    <col min="14" max="15" width="9.109375" style="1" customWidth="1"/>
    <col min="16" max="16" width="14.21875" style="1" customWidth="1"/>
    <col min="17" max="17" width="14.21875" style="165" hidden="1" customWidth="1"/>
    <col min="18" max="18" width="16.21875" style="165" hidden="1" customWidth="1"/>
    <col min="19" max="19" width="10.21875" style="165" hidden="1" customWidth="1"/>
    <col min="20" max="20" width="9" style="1" customWidth="1"/>
    <col min="21" max="21" width="9.21875" style="165" hidden="1" customWidth="1"/>
    <col min="22" max="22" width="9.44140625" style="165" hidden="1" customWidth="1"/>
    <col min="23" max="23" width="6.6640625" style="1" customWidth="1"/>
    <col min="24" max="24" width="9.109375" style="1" customWidth="1"/>
    <col min="25" max="25" width="14.21875" style="1" customWidth="1"/>
    <col min="26" max="26" width="14.21875" style="165" hidden="1" customWidth="1"/>
    <col min="27" max="27" width="16.21875" style="165" hidden="1" customWidth="1"/>
    <col min="28" max="28" width="10.21875" style="165" hidden="1" customWidth="1"/>
    <col min="29" max="29" width="9.88671875" style="1" customWidth="1"/>
    <col min="30" max="30" width="9.21875" style="165" hidden="1" customWidth="1"/>
    <col min="31" max="31" width="9.44140625" style="165" hidden="1" customWidth="1"/>
    <col min="32" max="32" width="8.109375" style="1" customWidth="1"/>
    <col min="33" max="33" width="9.109375" style="1" customWidth="1"/>
    <col min="34" max="34" width="14.21875" style="1" customWidth="1"/>
    <col min="35" max="35" width="12.88671875" style="165" hidden="1" customWidth="1"/>
    <col min="36" max="36" width="16.21875" style="165" hidden="1" customWidth="1"/>
    <col min="37" max="37" width="10.21875" style="165" hidden="1" customWidth="1"/>
    <col min="38" max="38" width="9.33203125" style="1" customWidth="1"/>
    <col min="39" max="39" width="9.21875" style="165" hidden="1" customWidth="1"/>
    <col min="40" max="40" width="9.44140625" style="165" hidden="1" customWidth="1"/>
    <col min="41" max="41" width="4.44140625" style="1" customWidth="1"/>
    <col min="42" max="42" width="9.109375" style="1" customWidth="1"/>
    <col min="43" max="43" width="15.6640625" style="1" customWidth="1"/>
    <col min="44" max="44" width="11.44140625" style="165" hidden="1" customWidth="1"/>
    <col min="45" max="45" width="16.21875" style="165" hidden="1" customWidth="1"/>
    <col min="46" max="46" width="10.21875" style="165" hidden="1" customWidth="1"/>
    <col min="47" max="47" width="10.109375" style="1" customWidth="1"/>
    <col min="48" max="48" width="9.21875" style="165" hidden="1" customWidth="1"/>
    <col min="49" max="49" width="9.44140625" style="165" hidden="1" customWidth="1"/>
    <col min="50" max="50" width="4.21875" style="1" customWidth="1"/>
    <col min="51" max="51" width="9.109375" style="1" customWidth="1"/>
    <col min="52" max="52" width="15.6640625" style="1" customWidth="1"/>
    <col min="53" max="53" width="11.44140625" style="165" hidden="1" customWidth="1"/>
    <col min="54" max="54" width="15.88671875" style="165" hidden="1" customWidth="1"/>
    <col min="55" max="55" width="11.44140625" style="165" hidden="1" customWidth="1"/>
    <col min="56" max="56" width="9.44140625" style="1" customWidth="1"/>
    <col min="57" max="57" width="8.88671875" style="165" hidden="1" customWidth="1"/>
    <col min="58" max="58" width="9.44140625" style="165" hidden="1" customWidth="1"/>
    <col min="59" max="59" width="7.33203125" style="1" customWidth="1"/>
    <col min="60" max="60" width="9.109375" style="1" customWidth="1"/>
    <col min="61" max="61" width="29.6640625" style="1" customWidth="1"/>
    <col min="62" max="62" width="11.44140625" style="165" hidden="1" customWidth="1"/>
    <col min="63" max="63" width="15.21875" style="165" hidden="1" customWidth="1"/>
    <col min="64" max="64" width="11.44140625" style="165" hidden="1" customWidth="1"/>
    <col min="65" max="65" width="9.77734375" style="1" customWidth="1"/>
    <col min="66" max="66" width="9.21875" style="165" hidden="1" customWidth="1"/>
    <col min="67" max="67" width="9.44140625" style="165" hidden="1" customWidth="1"/>
    <col min="68" max="68" width="4.21875" style="1" customWidth="1"/>
    <col min="69" max="69" width="9.109375" style="1" customWidth="1"/>
    <col min="70" max="70" width="29.6640625" style="1" customWidth="1"/>
    <col min="71" max="71" width="11.44140625" style="165" hidden="1" customWidth="1"/>
    <col min="72" max="72" width="15.21875" style="165" hidden="1" customWidth="1"/>
    <col min="73" max="73" width="11.44140625" style="165" hidden="1" customWidth="1"/>
    <col min="74" max="74" width="9.44140625" style="1" customWidth="1"/>
    <col min="75" max="75" width="9.21875" style="165" hidden="1" customWidth="1"/>
    <col min="76" max="76" width="9.44140625" style="165" hidden="1" customWidth="1"/>
    <col min="77" max="77" width="4.6640625" style="1" customWidth="1"/>
    <col min="78" max="78" width="9.109375" style="1" customWidth="1"/>
    <col min="79" max="79" width="29.6640625" style="1" customWidth="1"/>
    <col min="80" max="80" width="11.44140625" style="165" hidden="1" customWidth="1"/>
    <col min="81" max="81" width="15.21875" style="165" hidden="1" customWidth="1"/>
    <col min="82" max="82" width="11.44140625" style="165" hidden="1" customWidth="1"/>
    <col min="83" max="83" width="10" style="1" customWidth="1"/>
    <col min="84" max="84" width="9.21875" style="165" hidden="1" customWidth="1"/>
    <col min="85" max="85" width="9.44140625" style="165" hidden="1" customWidth="1"/>
    <col min="86" max="86" width="4.6640625" style="1" customWidth="1"/>
    <col min="87" max="87" width="9.109375" style="1" customWidth="1"/>
    <col min="88" max="88" width="29.6640625" style="1" customWidth="1"/>
    <col min="89" max="89" width="11.44140625" style="165" hidden="1" customWidth="1"/>
    <col min="90" max="90" width="15.21875" style="165" hidden="1" customWidth="1"/>
    <col min="91" max="91" width="11.44140625" style="165" hidden="1" customWidth="1"/>
    <col min="92" max="92" width="10.88671875" style="1" customWidth="1"/>
    <col min="93" max="93" width="9.21875" style="165" hidden="1" customWidth="1"/>
    <col min="94" max="94" width="9.44140625" style="165" hidden="1" customWidth="1"/>
    <col min="95" max="95" width="4.77734375" style="1" customWidth="1"/>
    <col min="96" max="96" width="9.109375" style="1" customWidth="1"/>
    <col min="97" max="97" width="11.44140625" style="1" customWidth="1"/>
    <col min="98" max="98" width="11.44140625" style="161" customWidth="1"/>
    <col min="99" max="99" width="10.44140625" style="59" customWidth="1"/>
    <col min="100" max="101" width="6.44140625" style="1" customWidth="1"/>
    <col min="102" max="102" width="12.33203125" style="59" customWidth="1"/>
    <col min="103" max="103" width="10.44140625" style="59" hidden="1" customWidth="1"/>
    <col min="104" max="104" width="6.44140625" style="59" hidden="1" customWidth="1"/>
    <col min="105" max="105" width="6.109375" style="59" hidden="1" customWidth="1"/>
    <col min="106" max="106" width="10.44140625" style="59" hidden="1" customWidth="1"/>
    <col min="107" max="107" width="13.109375" style="84" hidden="1" customWidth="1"/>
    <col min="108" max="108" width="12.44140625" style="84" hidden="1" customWidth="1"/>
    <col min="109" max="109" width="11.6640625" style="1" customWidth="1"/>
    <col min="110" max="110" width="8.33203125" style="1" hidden="1" customWidth="1"/>
    <col min="111" max="111" width="9.33203125" style="1" hidden="1" customWidth="1"/>
    <col min="112" max="112" width="9.21875" style="1" hidden="1" customWidth="1"/>
    <col min="113" max="113" width="9" style="1"/>
    <col min="114" max="114" width="11.6640625" style="1" customWidth="1"/>
    <col min="115" max="115" width="10.109375" style="1" customWidth="1"/>
    <col min="116" max="116" width="11.44140625" style="1" customWidth="1"/>
    <col min="117" max="117" width="9" style="1"/>
    <col min="118" max="118" width="12.44140625" style="1" customWidth="1"/>
    <col min="119" max="119" width="14.44140625" style="1" customWidth="1"/>
    <col min="120" max="120" width="12.88671875" style="1" customWidth="1"/>
    <col min="121" max="121" width="8.77734375" style="1" customWidth="1"/>
    <col min="122" max="122" width="6.44140625" style="1" customWidth="1"/>
    <col min="123" max="123" width="8.77734375" style="1" customWidth="1"/>
    <col min="124" max="16384" width="9" style="1"/>
  </cols>
  <sheetData>
    <row r="1" spans="1:124" s="56" customFormat="1" x14ac:dyDescent="0.35">
      <c r="A1" s="3" t="s">
        <v>0</v>
      </c>
      <c r="B1" s="3" t="s">
        <v>0</v>
      </c>
      <c r="C1" s="3" t="s">
        <v>2</v>
      </c>
      <c r="D1" s="3" t="s">
        <v>0</v>
      </c>
      <c r="E1" s="3" t="s">
        <v>0</v>
      </c>
      <c r="F1" s="166" t="s">
        <v>1</v>
      </c>
      <c r="G1" s="76" t="s">
        <v>0</v>
      </c>
      <c r="H1" s="167" t="s">
        <v>0</v>
      </c>
      <c r="I1" s="167" t="s">
        <v>0</v>
      </c>
      <c r="J1" s="167" t="s">
        <v>0</v>
      </c>
      <c r="K1" s="76" t="s">
        <v>0</v>
      </c>
      <c r="L1" s="167" t="s">
        <v>2</v>
      </c>
      <c r="M1" s="167" t="s">
        <v>1</v>
      </c>
      <c r="N1" s="76" t="s">
        <v>0</v>
      </c>
      <c r="O1" s="76" t="s">
        <v>0</v>
      </c>
      <c r="P1" s="175" t="s">
        <v>0</v>
      </c>
      <c r="Q1" s="167" t="s">
        <v>0</v>
      </c>
      <c r="R1" s="167" t="s">
        <v>0</v>
      </c>
      <c r="S1" s="167" t="s">
        <v>0</v>
      </c>
      <c r="T1" s="175" t="s">
        <v>0</v>
      </c>
      <c r="U1" s="167" t="s">
        <v>2</v>
      </c>
      <c r="V1" s="167" t="s">
        <v>1</v>
      </c>
      <c r="W1" s="175" t="s">
        <v>0</v>
      </c>
      <c r="X1" s="175" t="s">
        <v>0</v>
      </c>
      <c r="Y1" s="76" t="s">
        <v>0</v>
      </c>
      <c r="Z1" s="167" t="s">
        <v>0</v>
      </c>
      <c r="AA1" s="167" t="s">
        <v>0</v>
      </c>
      <c r="AB1" s="167" t="s">
        <v>0</v>
      </c>
      <c r="AC1" s="76" t="s">
        <v>0</v>
      </c>
      <c r="AD1" s="167" t="s">
        <v>2</v>
      </c>
      <c r="AE1" s="167" t="s">
        <v>1</v>
      </c>
      <c r="AF1" s="76" t="s">
        <v>0</v>
      </c>
      <c r="AG1" s="76" t="s">
        <v>0</v>
      </c>
      <c r="AH1" s="175" t="s">
        <v>0</v>
      </c>
      <c r="AI1" s="167" t="s">
        <v>0</v>
      </c>
      <c r="AJ1" s="167" t="s">
        <v>0</v>
      </c>
      <c r="AK1" s="167" t="s">
        <v>0</v>
      </c>
      <c r="AL1" s="175" t="s">
        <v>0</v>
      </c>
      <c r="AM1" s="167" t="s">
        <v>2</v>
      </c>
      <c r="AN1" s="167" t="s">
        <v>1</v>
      </c>
      <c r="AO1" s="175" t="s">
        <v>0</v>
      </c>
      <c r="AP1" s="175" t="s">
        <v>0</v>
      </c>
      <c r="AQ1" s="76" t="s">
        <v>0</v>
      </c>
      <c r="AR1" s="167" t="s">
        <v>0</v>
      </c>
      <c r="AS1" s="167" t="s">
        <v>0</v>
      </c>
      <c r="AT1" s="167" t="s">
        <v>0</v>
      </c>
      <c r="AU1" s="76" t="s">
        <v>0</v>
      </c>
      <c r="AV1" s="167" t="s">
        <v>2</v>
      </c>
      <c r="AW1" s="167" t="s">
        <v>1</v>
      </c>
      <c r="AX1" s="76" t="s">
        <v>0</v>
      </c>
      <c r="AY1" s="76" t="s">
        <v>0</v>
      </c>
      <c r="AZ1" s="175" t="s">
        <v>0</v>
      </c>
      <c r="BA1" s="167" t="s">
        <v>0</v>
      </c>
      <c r="BB1" s="167" t="s">
        <v>0</v>
      </c>
      <c r="BC1" s="167" t="s">
        <v>0</v>
      </c>
      <c r="BD1" s="175" t="s">
        <v>0</v>
      </c>
      <c r="BE1" s="167" t="s">
        <v>2</v>
      </c>
      <c r="BF1" s="167" t="s">
        <v>1</v>
      </c>
      <c r="BG1" s="175" t="s">
        <v>0</v>
      </c>
      <c r="BH1" s="175" t="s">
        <v>0</v>
      </c>
      <c r="BI1" s="76" t="s">
        <v>0</v>
      </c>
      <c r="BJ1" s="167" t="s">
        <v>0</v>
      </c>
      <c r="BK1" s="167" t="s">
        <v>0</v>
      </c>
      <c r="BL1" s="167" t="s">
        <v>0</v>
      </c>
      <c r="BM1" s="76" t="s">
        <v>0</v>
      </c>
      <c r="BN1" s="167" t="s">
        <v>2</v>
      </c>
      <c r="BO1" s="167" t="s">
        <v>1</v>
      </c>
      <c r="BP1" s="76" t="s">
        <v>0</v>
      </c>
      <c r="BQ1" s="76" t="s">
        <v>0</v>
      </c>
      <c r="BR1" s="175" t="s">
        <v>0</v>
      </c>
      <c r="BS1" s="167" t="s">
        <v>0</v>
      </c>
      <c r="BT1" s="167" t="s">
        <v>0</v>
      </c>
      <c r="BU1" s="167" t="s">
        <v>0</v>
      </c>
      <c r="BV1" s="175" t="s">
        <v>0</v>
      </c>
      <c r="BW1" s="167" t="s">
        <v>2</v>
      </c>
      <c r="BX1" s="167" t="s">
        <v>1</v>
      </c>
      <c r="BY1" s="175" t="s">
        <v>0</v>
      </c>
      <c r="BZ1" s="175" t="s">
        <v>0</v>
      </c>
      <c r="CA1" s="76" t="s">
        <v>0</v>
      </c>
      <c r="CB1" s="167" t="s">
        <v>0</v>
      </c>
      <c r="CC1" s="167" t="s">
        <v>0</v>
      </c>
      <c r="CD1" s="167" t="s">
        <v>0</v>
      </c>
      <c r="CE1" s="76" t="s">
        <v>0</v>
      </c>
      <c r="CF1" s="167" t="s">
        <v>2</v>
      </c>
      <c r="CG1" s="167" t="s">
        <v>1</v>
      </c>
      <c r="CH1" s="76" t="s">
        <v>0</v>
      </c>
      <c r="CI1" s="76" t="s">
        <v>0</v>
      </c>
      <c r="CJ1" s="175" t="s">
        <v>0</v>
      </c>
      <c r="CK1" s="167" t="s">
        <v>0</v>
      </c>
      <c r="CL1" s="167" t="s">
        <v>0</v>
      </c>
      <c r="CM1" s="167" t="s">
        <v>0</v>
      </c>
      <c r="CN1" s="175" t="s">
        <v>0</v>
      </c>
      <c r="CO1" s="167" t="s">
        <v>2</v>
      </c>
      <c r="CP1" s="167" t="s">
        <v>1</v>
      </c>
      <c r="CQ1" s="175" t="s">
        <v>0</v>
      </c>
      <c r="CR1" s="175" t="s">
        <v>0</v>
      </c>
      <c r="CT1" s="185"/>
      <c r="CU1" s="12" t="s">
        <v>403</v>
      </c>
      <c r="DC1" s="204"/>
      <c r="DD1" s="204"/>
      <c r="DN1" s="56" t="s">
        <v>404</v>
      </c>
    </row>
    <row r="2" spans="1:124" s="56" customFormat="1" ht="16.2" customHeight="1" x14ac:dyDescent="0.35">
      <c r="A2" s="3" t="s">
        <v>7</v>
      </c>
      <c r="B2" s="3" t="s">
        <v>9</v>
      </c>
      <c r="C2" s="3" t="s">
        <v>9</v>
      </c>
      <c r="D2" s="3" t="s">
        <v>7</v>
      </c>
      <c r="E2" s="3" t="s">
        <v>7</v>
      </c>
      <c r="F2" s="166" t="s">
        <v>7</v>
      </c>
      <c r="G2" s="76" t="s">
        <v>9</v>
      </c>
      <c r="H2" s="167" t="s">
        <v>9</v>
      </c>
      <c r="I2" s="167" t="s">
        <v>7</v>
      </c>
      <c r="J2" s="167" t="s">
        <v>7</v>
      </c>
      <c r="K2" s="76" t="s">
        <v>7</v>
      </c>
      <c r="L2" s="167" t="s">
        <v>8</v>
      </c>
      <c r="M2" s="167" t="s">
        <v>8</v>
      </c>
      <c r="N2" s="76" t="s">
        <v>7</v>
      </c>
      <c r="O2" s="76" t="s">
        <v>9</v>
      </c>
      <c r="P2" s="175" t="s">
        <v>9</v>
      </c>
      <c r="Q2" s="167" t="s">
        <v>9</v>
      </c>
      <c r="R2" s="167" t="s">
        <v>7</v>
      </c>
      <c r="S2" s="167" t="s">
        <v>7</v>
      </c>
      <c r="T2" s="175" t="s">
        <v>7</v>
      </c>
      <c r="U2" s="167" t="s">
        <v>8</v>
      </c>
      <c r="V2" s="167" t="s">
        <v>8</v>
      </c>
      <c r="W2" s="175" t="s">
        <v>7</v>
      </c>
      <c r="X2" s="175" t="s">
        <v>9</v>
      </c>
      <c r="Y2" s="76" t="s">
        <v>9</v>
      </c>
      <c r="Z2" s="167" t="s">
        <v>9</v>
      </c>
      <c r="AA2" s="167" t="s">
        <v>7</v>
      </c>
      <c r="AB2" s="167" t="s">
        <v>7</v>
      </c>
      <c r="AC2" s="76" t="s">
        <v>7</v>
      </c>
      <c r="AD2" s="167" t="s">
        <v>8</v>
      </c>
      <c r="AE2" s="167" t="s">
        <v>8</v>
      </c>
      <c r="AF2" s="76" t="s">
        <v>7</v>
      </c>
      <c r="AG2" s="76" t="s">
        <v>9</v>
      </c>
      <c r="AH2" s="175" t="s">
        <v>9</v>
      </c>
      <c r="AI2" s="167" t="s">
        <v>9</v>
      </c>
      <c r="AJ2" s="167" t="s">
        <v>7</v>
      </c>
      <c r="AK2" s="167" t="s">
        <v>7</v>
      </c>
      <c r="AL2" s="175" t="s">
        <v>7</v>
      </c>
      <c r="AM2" s="167" t="s">
        <v>8</v>
      </c>
      <c r="AN2" s="167" t="s">
        <v>8</v>
      </c>
      <c r="AO2" s="175" t="s">
        <v>7</v>
      </c>
      <c r="AP2" s="175" t="s">
        <v>9</v>
      </c>
      <c r="AQ2" s="76" t="s">
        <v>9</v>
      </c>
      <c r="AR2" s="167" t="s">
        <v>9</v>
      </c>
      <c r="AS2" s="167" t="s">
        <v>7</v>
      </c>
      <c r="AT2" s="167" t="s">
        <v>7</v>
      </c>
      <c r="AU2" s="76" t="s">
        <v>7</v>
      </c>
      <c r="AV2" s="167" t="s">
        <v>8</v>
      </c>
      <c r="AW2" s="167" t="s">
        <v>8</v>
      </c>
      <c r="AX2" s="76" t="s">
        <v>7</v>
      </c>
      <c r="AY2" s="76" t="s">
        <v>9</v>
      </c>
      <c r="AZ2" s="175" t="s">
        <v>9</v>
      </c>
      <c r="BA2" s="167" t="s">
        <v>9</v>
      </c>
      <c r="BB2" s="167" t="s">
        <v>7</v>
      </c>
      <c r="BC2" s="167" t="s">
        <v>7</v>
      </c>
      <c r="BD2" s="175" t="s">
        <v>7</v>
      </c>
      <c r="BE2" s="167" t="s">
        <v>8</v>
      </c>
      <c r="BF2" s="167" t="s">
        <v>8</v>
      </c>
      <c r="BG2" s="175" t="s">
        <v>7</v>
      </c>
      <c r="BH2" s="175" t="s">
        <v>9</v>
      </c>
      <c r="BI2" s="76" t="s">
        <v>9</v>
      </c>
      <c r="BJ2" s="167" t="s">
        <v>9</v>
      </c>
      <c r="BK2" s="167" t="s">
        <v>7</v>
      </c>
      <c r="BL2" s="167" t="s">
        <v>7</v>
      </c>
      <c r="BM2" s="76" t="s">
        <v>7</v>
      </c>
      <c r="BN2" s="167" t="s">
        <v>8</v>
      </c>
      <c r="BO2" s="167" t="s">
        <v>8</v>
      </c>
      <c r="BP2" s="76" t="s">
        <v>7</v>
      </c>
      <c r="BQ2" s="76" t="s">
        <v>9</v>
      </c>
      <c r="BR2" s="175" t="s">
        <v>9</v>
      </c>
      <c r="BS2" s="167" t="s">
        <v>9</v>
      </c>
      <c r="BT2" s="167" t="s">
        <v>7</v>
      </c>
      <c r="BU2" s="167" t="s">
        <v>7</v>
      </c>
      <c r="BV2" s="175" t="s">
        <v>7</v>
      </c>
      <c r="BW2" s="167" t="s">
        <v>8</v>
      </c>
      <c r="BX2" s="167" t="s">
        <v>8</v>
      </c>
      <c r="BY2" s="175" t="s">
        <v>7</v>
      </c>
      <c r="BZ2" s="175" t="s">
        <v>9</v>
      </c>
      <c r="CA2" s="76" t="s">
        <v>9</v>
      </c>
      <c r="CB2" s="167" t="s">
        <v>9</v>
      </c>
      <c r="CC2" s="167" t="s">
        <v>7</v>
      </c>
      <c r="CD2" s="167" t="s">
        <v>7</v>
      </c>
      <c r="CE2" s="76" t="s">
        <v>7</v>
      </c>
      <c r="CF2" s="167" t="s">
        <v>8</v>
      </c>
      <c r="CG2" s="167" t="s">
        <v>8</v>
      </c>
      <c r="CH2" s="76" t="s">
        <v>7</v>
      </c>
      <c r="CI2" s="76" t="s">
        <v>9</v>
      </c>
      <c r="CJ2" s="175" t="s">
        <v>9</v>
      </c>
      <c r="CK2" s="167" t="s">
        <v>9</v>
      </c>
      <c r="CL2" s="167" t="s">
        <v>7</v>
      </c>
      <c r="CM2" s="167" t="s">
        <v>7</v>
      </c>
      <c r="CN2" s="175" t="s">
        <v>7</v>
      </c>
      <c r="CO2" s="167" t="s">
        <v>8</v>
      </c>
      <c r="CP2" s="167" t="s">
        <v>8</v>
      </c>
      <c r="CQ2" s="175" t="s">
        <v>7</v>
      </c>
      <c r="CR2" s="175" t="s">
        <v>9</v>
      </c>
      <c r="CT2" s="185"/>
      <c r="CU2" s="1" t="s">
        <v>405</v>
      </c>
      <c r="DC2" s="204"/>
      <c r="DD2" s="204"/>
      <c r="DN2" s="12" t="s">
        <v>406</v>
      </c>
    </row>
    <row r="3" spans="1:124" s="56" customFormat="1" ht="16.95" customHeight="1" x14ac:dyDescent="0.25">
      <c r="A3" s="162" t="s">
        <v>407</v>
      </c>
      <c r="B3" s="162" t="s">
        <v>408</v>
      </c>
      <c r="C3" s="162" t="s">
        <v>409</v>
      </c>
      <c r="D3" s="162" t="s">
        <v>410</v>
      </c>
      <c r="E3" s="162" t="s">
        <v>411</v>
      </c>
      <c r="F3" s="168" t="s">
        <v>412</v>
      </c>
      <c r="G3" s="169" t="s">
        <v>413</v>
      </c>
      <c r="H3" s="170" t="s">
        <v>414</v>
      </c>
      <c r="I3" s="176" t="s">
        <v>415</v>
      </c>
      <c r="J3" s="176" t="s">
        <v>416</v>
      </c>
      <c r="K3" s="77" t="s">
        <v>417</v>
      </c>
      <c r="L3" s="176" t="s">
        <v>418</v>
      </c>
      <c r="M3" s="176" t="s">
        <v>419</v>
      </c>
      <c r="N3" s="77" t="s">
        <v>420</v>
      </c>
      <c r="O3" s="77" t="s">
        <v>421</v>
      </c>
      <c r="P3" s="177" t="s">
        <v>422</v>
      </c>
      <c r="Q3" s="170" t="s">
        <v>423</v>
      </c>
      <c r="R3" s="176" t="s">
        <v>424</v>
      </c>
      <c r="S3" s="176" t="s">
        <v>425</v>
      </c>
      <c r="T3" s="179" t="s">
        <v>426</v>
      </c>
      <c r="U3" s="176" t="s">
        <v>427</v>
      </c>
      <c r="V3" s="176" t="s">
        <v>428</v>
      </c>
      <c r="W3" s="179" t="s">
        <v>429</v>
      </c>
      <c r="X3" s="179" t="s">
        <v>430</v>
      </c>
      <c r="Y3" s="180" t="s">
        <v>431</v>
      </c>
      <c r="Z3" s="170" t="s">
        <v>432</v>
      </c>
      <c r="AA3" s="176" t="s">
        <v>433</v>
      </c>
      <c r="AB3" s="176" t="s">
        <v>434</v>
      </c>
      <c r="AC3" s="77" t="s">
        <v>435</v>
      </c>
      <c r="AD3" s="176" t="s">
        <v>436</v>
      </c>
      <c r="AE3" s="176" t="s">
        <v>437</v>
      </c>
      <c r="AF3" s="77" t="s">
        <v>438</v>
      </c>
      <c r="AG3" s="77" t="s">
        <v>439</v>
      </c>
      <c r="AH3" s="177" t="s">
        <v>440</v>
      </c>
      <c r="AI3" s="170" t="s">
        <v>441</v>
      </c>
      <c r="AJ3" s="176" t="s">
        <v>442</v>
      </c>
      <c r="AK3" s="176" t="s">
        <v>443</v>
      </c>
      <c r="AL3" s="179" t="s">
        <v>444</v>
      </c>
      <c r="AM3" s="176" t="s">
        <v>445</v>
      </c>
      <c r="AN3" s="176" t="s">
        <v>446</v>
      </c>
      <c r="AO3" s="179" t="s">
        <v>447</v>
      </c>
      <c r="AP3" s="179" t="s">
        <v>448</v>
      </c>
      <c r="AQ3" s="180" t="s">
        <v>449</v>
      </c>
      <c r="AR3" s="170" t="s">
        <v>450</v>
      </c>
      <c r="AS3" s="176" t="s">
        <v>451</v>
      </c>
      <c r="AT3" s="176" t="s">
        <v>452</v>
      </c>
      <c r="AU3" s="77" t="s">
        <v>453</v>
      </c>
      <c r="AV3" s="176" t="s">
        <v>454</v>
      </c>
      <c r="AW3" s="176" t="s">
        <v>455</v>
      </c>
      <c r="AX3" s="77" t="s">
        <v>456</v>
      </c>
      <c r="AY3" s="77" t="s">
        <v>457</v>
      </c>
      <c r="AZ3" s="177" t="s">
        <v>458</v>
      </c>
      <c r="BA3" s="170" t="s">
        <v>459</v>
      </c>
      <c r="BB3" s="170" t="s">
        <v>460</v>
      </c>
      <c r="BC3" s="176" t="s">
        <v>461</v>
      </c>
      <c r="BD3" s="177" t="s">
        <v>462</v>
      </c>
      <c r="BE3" s="170" t="s">
        <v>463</v>
      </c>
      <c r="BF3" s="170" t="s">
        <v>464</v>
      </c>
      <c r="BG3" s="177" t="s">
        <v>465</v>
      </c>
      <c r="BH3" s="179" t="s">
        <v>466</v>
      </c>
      <c r="BI3" s="180" t="s">
        <v>467</v>
      </c>
      <c r="BJ3" s="170" t="s">
        <v>468</v>
      </c>
      <c r="BK3" s="176" t="s">
        <v>469</v>
      </c>
      <c r="BL3" s="176" t="s">
        <v>470</v>
      </c>
      <c r="BM3" s="77" t="s">
        <v>471</v>
      </c>
      <c r="BN3" s="176" t="s">
        <v>472</v>
      </c>
      <c r="BO3" s="176" t="s">
        <v>473</v>
      </c>
      <c r="BP3" s="77" t="s">
        <v>474</v>
      </c>
      <c r="BQ3" s="77" t="s">
        <v>475</v>
      </c>
      <c r="BR3" s="177" t="s">
        <v>476</v>
      </c>
      <c r="BS3" s="170" t="s">
        <v>477</v>
      </c>
      <c r="BT3" s="176" t="s">
        <v>478</v>
      </c>
      <c r="BU3" s="176" t="s">
        <v>479</v>
      </c>
      <c r="BV3" s="179" t="s">
        <v>480</v>
      </c>
      <c r="BW3" s="176" t="s">
        <v>481</v>
      </c>
      <c r="BX3" s="176" t="s">
        <v>482</v>
      </c>
      <c r="BY3" s="179" t="s">
        <v>483</v>
      </c>
      <c r="BZ3" s="179" t="s">
        <v>484</v>
      </c>
      <c r="CA3" s="180" t="s">
        <v>485</v>
      </c>
      <c r="CB3" s="170" t="s">
        <v>486</v>
      </c>
      <c r="CC3" s="176" t="s">
        <v>487</v>
      </c>
      <c r="CD3" s="176" t="s">
        <v>488</v>
      </c>
      <c r="CE3" s="77" t="s">
        <v>489</v>
      </c>
      <c r="CF3" s="176" t="s">
        <v>490</v>
      </c>
      <c r="CG3" s="176" t="s">
        <v>491</v>
      </c>
      <c r="CH3" s="77" t="s">
        <v>492</v>
      </c>
      <c r="CI3" s="77" t="s">
        <v>493</v>
      </c>
      <c r="CJ3" s="184" t="s">
        <v>494</v>
      </c>
      <c r="CK3" s="170" t="s">
        <v>495</v>
      </c>
      <c r="CL3" s="176" t="s">
        <v>496</v>
      </c>
      <c r="CM3" s="176" t="s">
        <v>497</v>
      </c>
      <c r="CN3" s="179" t="s">
        <v>498</v>
      </c>
      <c r="CO3" s="176" t="s">
        <v>499</v>
      </c>
      <c r="CP3" s="176" t="s">
        <v>500</v>
      </c>
      <c r="CQ3" s="179" t="s">
        <v>501</v>
      </c>
      <c r="CR3" s="179" t="s">
        <v>502</v>
      </c>
      <c r="CT3" s="185"/>
      <c r="CU3" s="352" t="s">
        <v>503</v>
      </c>
      <c r="CV3" s="353"/>
      <c r="CW3" s="353"/>
      <c r="CX3" s="354"/>
      <c r="CY3" s="355" t="s">
        <v>504</v>
      </c>
      <c r="CZ3" s="356"/>
      <c r="DA3" s="356"/>
      <c r="DB3" s="357"/>
      <c r="DC3" s="204"/>
      <c r="DD3" s="204"/>
      <c r="DN3" s="106" t="s">
        <v>505</v>
      </c>
      <c r="DS3" s="106" t="s">
        <v>506</v>
      </c>
    </row>
    <row r="4" spans="1:124" s="56" customFormat="1" ht="132.75" customHeight="1" x14ac:dyDescent="0.35">
      <c r="A4" s="72" t="s">
        <v>507</v>
      </c>
      <c r="B4" s="72" t="s">
        <v>508</v>
      </c>
      <c r="C4" s="60" t="s">
        <v>509</v>
      </c>
      <c r="D4" s="72" t="s">
        <v>510</v>
      </c>
      <c r="E4" s="72" t="s">
        <v>511</v>
      </c>
      <c r="F4" s="171" t="s">
        <v>512</v>
      </c>
      <c r="G4" s="4" t="s">
        <v>513</v>
      </c>
      <c r="H4" s="172" t="s">
        <v>514</v>
      </c>
      <c r="I4" s="178" t="s">
        <v>515</v>
      </c>
      <c r="J4" s="178" t="s">
        <v>516</v>
      </c>
      <c r="K4" s="77" t="s">
        <v>517</v>
      </c>
      <c r="L4" s="176" t="s">
        <v>518</v>
      </c>
      <c r="M4" s="178" t="s">
        <v>519</v>
      </c>
      <c r="N4" s="77" t="s">
        <v>520</v>
      </c>
      <c r="O4" s="77" t="s">
        <v>521</v>
      </c>
      <c r="P4" s="179"/>
      <c r="Q4" s="176"/>
      <c r="R4" s="178" t="s">
        <v>522</v>
      </c>
      <c r="S4" s="176"/>
      <c r="T4" s="179"/>
      <c r="U4" s="176" t="s">
        <v>523</v>
      </c>
      <c r="V4" s="176" t="s">
        <v>519</v>
      </c>
      <c r="W4" s="77" t="s">
        <v>520</v>
      </c>
      <c r="X4" s="179" t="s">
        <v>521</v>
      </c>
      <c r="Y4" s="4"/>
      <c r="Z4" s="178"/>
      <c r="AA4" s="178" t="s">
        <v>524</v>
      </c>
      <c r="AB4" s="178"/>
      <c r="AC4" s="181"/>
      <c r="AD4" s="178"/>
      <c r="AE4" s="178"/>
      <c r="AF4" s="77" t="s">
        <v>520</v>
      </c>
      <c r="AG4" s="77" t="s">
        <v>525</v>
      </c>
      <c r="AH4" s="179"/>
      <c r="AI4" s="176"/>
      <c r="AJ4" s="178" t="s">
        <v>526</v>
      </c>
      <c r="AK4" s="176"/>
      <c r="AL4" s="179"/>
      <c r="AM4" s="176"/>
      <c r="AN4" s="176"/>
      <c r="AO4" s="77" t="s">
        <v>520</v>
      </c>
      <c r="AP4" s="179" t="s">
        <v>521</v>
      </c>
      <c r="AQ4" s="4"/>
      <c r="AR4" s="172"/>
      <c r="AS4" s="178" t="s">
        <v>527</v>
      </c>
      <c r="AT4" s="178"/>
      <c r="AU4" s="181"/>
      <c r="AV4" s="178"/>
      <c r="AW4" s="178"/>
      <c r="AX4" s="77" t="s">
        <v>520</v>
      </c>
      <c r="AY4" s="77" t="s">
        <v>521</v>
      </c>
      <c r="AZ4" s="179"/>
      <c r="BA4" s="176"/>
      <c r="BB4" s="182" t="s">
        <v>528</v>
      </c>
      <c r="BC4" s="176"/>
      <c r="BD4" s="175"/>
      <c r="BE4" s="167"/>
      <c r="BF4" s="167"/>
      <c r="BG4" s="77" t="s">
        <v>520</v>
      </c>
      <c r="BH4" s="179" t="s">
        <v>521</v>
      </c>
      <c r="BI4" s="4" t="s">
        <v>529</v>
      </c>
      <c r="BJ4" s="172" t="s">
        <v>514</v>
      </c>
      <c r="BK4" s="178" t="s">
        <v>530</v>
      </c>
      <c r="BL4" s="178" t="s">
        <v>531</v>
      </c>
      <c r="BM4" s="77" t="s">
        <v>517</v>
      </c>
      <c r="BN4" s="176" t="s">
        <v>532</v>
      </c>
      <c r="BO4" s="178" t="s">
        <v>519</v>
      </c>
      <c r="BP4" s="77" t="s">
        <v>520</v>
      </c>
      <c r="BQ4" s="77" t="s">
        <v>521</v>
      </c>
      <c r="BR4" s="183" t="s">
        <v>533</v>
      </c>
      <c r="BS4" s="172" t="s">
        <v>514</v>
      </c>
      <c r="BT4" s="178" t="s">
        <v>534</v>
      </c>
      <c r="BU4" s="178" t="s">
        <v>535</v>
      </c>
      <c r="BV4" s="179" t="s">
        <v>517</v>
      </c>
      <c r="BW4" s="176" t="s">
        <v>532</v>
      </c>
      <c r="BX4" s="178" t="s">
        <v>519</v>
      </c>
      <c r="BY4" s="77" t="s">
        <v>520</v>
      </c>
      <c r="BZ4" s="179" t="s">
        <v>536</v>
      </c>
      <c r="CA4" s="4" t="s">
        <v>537</v>
      </c>
      <c r="CB4" s="172" t="s">
        <v>514</v>
      </c>
      <c r="CC4" s="178" t="s">
        <v>538</v>
      </c>
      <c r="CD4" s="178" t="s">
        <v>539</v>
      </c>
      <c r="CE4" s="77" t="s">
        <v>517</v>
      </c>
      <c r="CF4" s="176" t="s">
        <v>532</v>
      </c>
      <c r="CG4" s="178" t="s">
        <v>519</v>
      </c>
      <c r="CH4" s="77" t="s">
        <v>520</v>
      </c>
      <c r="CI4" s="77" t="s">
        <v>525</v>
      </c>
      <c r="CJ4" s="183" t="s">
        <v>540</v>
      </c>
      <c r="CK4" s="172" t="s">
        <v>514</v>
      </c>
      <c r="CL4" s="178" t="s">
        <v>541</v>
      </c>
      <c r="CM4" s="178" t="s">
        <v>542</v>
      </c>
      <c r="CN4" s="179" t="s">
        <v>517</v>
      </c>
      <c r="CO4" s="176" t="s">
        <v>532</v>
      </c>
      <c r="CP4" s="178" t="s">
        <v>519</v>
      </c>
      <c r="CQ4" s="77" t="s">
        <v>520</v>
      </c>
      <c r="CR4" s="179" t="s">
        <v>543</v>
      </c>
      <c r="CT4" s="185"/>
      <c r="CU4" s="186" t="s">
        <v>544</v>
      </c>
      <c r="CV4" s="187" t="s">
        <v>390</v>
      </c>
      <c r="CW4" s="187" t="s">
        <v>545</v>
      </c>
      <c r="CX4" s="188" t="s">
        <v>392</v>
      </c>
      <c r="CY4" s="189" t="s">
        <v>544</v>
      </c>
      <c r="CZ4" s="187" t="s">
        <v>390</v>
      </c>
      <c r="DA4" s="187" t="s">
        <v>391</v>
      </c>
      <c r="DB4" s="188" t="s">
        <v>546</v>
      </c>
      <c r="DC4" s="205" t="s">
        <v>547</v>
      </c>
      <c r="DD4" s="205" t="s">
        <v>548</v>
      </c>
      <c r="DE4" s="206" t="s">
        <v>549</v>
      </c>
      <c r="DF4" s="207" t="s">
        <v>550</v>
      </c>
      <c r="DG4" s="208" t="s">
        <v>532</v>
      </c>
      <c r="DH4" s="209" t="s">
        <v>551</v>
      </c>
      <c r="DI4" s="101" t="s">
        <v>552</v>
      </c>
      <c r="DJ4" s="216"/>
      <c r="DK4" s="101"/>
      <c r="DL4" s="101"/>
      <c r="DM4" s="101"/>
      <c r="DN4" s="217"/>
      <c r="DO4" s="49" t="s">
        <v>553</v>
      </c>
      <c r="DP4" s="49" t="s">
        <v>554</v>
      </c>
      <c r="DQ4" s="49" t="s">
        <v>390</v>
      </c>
      <c r="DR4" s="222" t="s">
        <v>10</v>
      </c>
      <c r="DS4" s="56" t="s">
        <v>555</v>
      </c>
    </row>
    <row r="5" spans="1:124" x14ac:dyDescent="0.35">
      <c r="A5" s="1">
        <v>1</v>
      </c>
      <c r="B5" s="1" t="s">
        <v>556</v>
      </c>
      <c r="C5" s="56" t="s">
        <v>557</v>
      </c>
      <c r="D5" s="173">
        <v>0</v>
      </c>
      <c r="E5" s="6">
        <f>D6</f>
        <v>100000</v>
      </c>
      <c r="F5" s="173">
        <v>5000</v>
      </c>
      <c r="G5" s="39" t="str">
        <f>CV5&amp;"|"&amp;CW5&amp;"|"&amp;CX5</f>
        <v>1|2|120000</v>
      </c>
      <c r="H5" s="174" t="str">
        <f>CZ5&amp;"|"&amp;DA5&amp;"|"&amp;DB5</f>
        <v>1|2|24000</v>
      </c>
      <c r="I5" s="165">
        <f>DC5</f>
        <v>127200</v>
      </c>
      <c r="J5" s="165">
        <f>DE5</f>
        <v>120000</v>
      </c>
      <c r="K5" s="1">
        <f>AC14</f>
        <v>0</v>
      </c>
      <c r="L5" s="165">
        <f t="shared" ref="L5:N5" si="0">DG5</f>
        <v>1</v>
      </c>
      <c r="M5" s="165">
        <f t="shared" si="0"/>
        <v>0.3</v>
      </c>
      <c r="N5" s="1">
        <f t="shared" si="0"/>
        <v>6</v>
      </c>
      <c r="O5" s="1" t="s">
        <v>226</v>
      </c>
      <c r="P5" s="39" t="str">
        <f>CV6&amp;"|"&amp;CW6&amp;"|"&amp;CX6</f>
        <v>1|2|2000</v>
      </c>
      <c r="Q5" s="174" t="str">
        <f>CZ6&amp;"|"&amp;DA6&amp;"|"&amp;DB6</f>
        <v>1|2|400</v>
      </c>
      <c r="R5" s="165">
        <f>DC6</f>
        <v>2300</v>
      </c>
      <c r="S5" s="165">
        <f>DE6</f>
        <v>2000</v>
      </c>
      <c r="T5" s="1">
        <f>DF6</f>
        <v>0</v>
      </c>
      <c r="U5" s="165">
        <f t="shared" ref="U5:W5" si="1">DG6</f>
        <v>0.5</v>
      </c>
      <c r="V5" s="165">
        <f t="shared" si="1"/>
        <v>0.75</v>
      </c>
      <c r="W5" s="84">
        <f t="shared" si="1"/>
        <v>2</v>
      </c>
      <c r="X5" s="1" t="s">
        <v>226</v>
      </c>
      <c r="Y5" s="39" t="str">
        <f>CV7&amp;"|"&amp;CW7&amp;"|"&amp;CX7</f>
        <v>1|2|5000</v>
      </c>
      <c r="Z5" s="165" t="str">
        <f>CZ7&amp;"|"&amp;DA7&amp;"|"&amp;DB7</f>
        <v>1|2|1000</v>
      </c>
      <c r="AA5" s="165">
        <f>DC7</f>
        <v>5750</v>
      </c>
      <c r="AB5" s="165">
        <f>DE7</f>
        <v>5000</v>
      </c>
      <c r="AC5" s="1">
        <f>DF7</f>
        <v>0</v>
      </c>
      <c r="AD5" s="165">
        <f t="shared" ref="AD5:AF5" si="2">DG7</f>
        <v>1</v>
      </c>
      <c r="AE5" s="165">
        <f t="shared" si="2"/>
        <v>0.75</v>
      </c>
      <c r="AF5" s="84">
        <f t="shared" si="2"/>
        <v>4</v>
      </c>
      <c r="AG5" s="1" t="s">
        <v>226</v>
      </c>
      <c r="AH5" s="39" t="str">
        <f>CV8&amp;"|"&amp;CW8&amp;"|"&amp;CX8</f>
        <v>1|2|10000</v>
      </c>
      <c r="AI5" s="174" t="str">
        <f>CZ8&amp;"|"&amp;DA8&amp;"|"&amp;DB8</f>
        <v>1|2|2000</v>
      </c>
      <c r="AJ5" s="165">
        <f>DC8</f>
        <v>11500</v>
      </c>
      <c r="AK5" s="165">
        <f>DE8</f>
        <v>10000</v>
      </c>
      <c r="AL5" s="1">
        <f>DF8</f>
        <v>0</v>
      </c>
      <c r="AM5" s="165">
        <f t="shared" ref="AM5:AO5" si="3">DG8</f>
        <v>0.8</v>
      </c>
      <c r="AN5" s="165">
        <f t="shared" si="3"/>
        <v>0.75</v>
      </c>
      <c r="AO5" s="84">
        <f t="shared" si="3"/>
        <v>7</v>
      </c>
      <c r="AP5" s="1" t="s">
        <v>226</v>
      </c>
      <c r="AQ5" s="39" t="str">
        <f>CV9&amp;"|"&amp;CW9&amp;"|"&amp;CX9</f>
        <v>1|2|20000</v>
      </c>
      <c r="AR5" s="174" t="str">
        <f>CZ9&amp;"|"&amp;DA9&amp;"|"&amp;DB9</f>
        <v>1|2|4000</v>
      </c>
      <c r="AS5" s="165">
        <f>DC9</f>
        <v>22000</v>
      </c>
      <c r="AT5" s="165">
        <f>DE9</f>
        <v>20000</v>
      </c>
      <c r="AU5" s="1">
        <f>DF9</f>
        <v>0</v>
      </c>
      <c r="AV5" s="165">
        <f t="shared" ref="AV5:AX5" si="4">DG9</f>
        <v>0.5</v>
      </c>
      <c r="AW5" s="165">
        <f t="shared" si="4"/>
        <v>0.5</v>
      </c>
      <c r="AX5" s="84">
        <f t="shared" si="4"/>
        <v>9</v>
      </c>
      <c r="AY5" s="1" t="s">
        <v>226</v>
      </c>
      <c r="AZ5" s="39" t="str">
        <f>CV10&amp;"|"&amp;CW10&amp;"|"&amp;CX10</f>
        <v>1|2|40000</v>
      </c>
      <c r="BA5" s="174" t="str">
        <f>CZ10&amp;"|"&amp;DA10&amp;"|"&amp;DB10</f>
        <v>1|2|8000</v>
      </c>
      <c r="BB5" s="165">
        <f>DC10</f>
        <v>42400</v>
      </c>
      <c r="BC5" s="165">
        <f>DE10</f>
        <v>40000</v>
      </c>
      <c r="BD5" s="1">
        <f>DF10</f>
        <v>0</v>
      </c>
      <c r="BE5" s="165">
        <f>DG10</f>
        <v>1</v>
      </c>
      <c r="BF5" s="165">
        <f>DH10</f>
        <v>0.3</v>
      </c>
      <c r="BG5" s="84">
        <f>DI10</f>
        <v>10</v>
      </c>
      <c r="BH5" s="1" t="s">
        <v>226</v>
      </c>
      <c r="BI5" s="39" t="str">
        <f>CV11&amp;"|"&amp;CW11&amp;"|"&amp;CX11</f>
        <v>1|2|60000</v>
      </c>
      <c r="BJ5" s="174" t="str">
        <f>CZ11&amp;"|"&amp;DA11&amp;"|"&amp;DB11</f>
        <v>1|2|250</v>
      </c>
      <c r="BK5" s="165">
        <f>DC11</f>
        <v>60000</v>
      </c>
      <c r="BL5" s="165">
        <f>DE11</f>
        <v>60000</v>
      </c>
      <c r="BM5" s="1">
        <f>DF11</f>
        <v>0</v>
      </c>
      <c r="BN5" s="165">
        <f>DG11</f>
        <v>0</v>
      </c>
      <c r="BO5" s="165">
        <f>DH11</f>
        <v>0</v>
      </c>
      <c r="BP5" s="84">
        <f>DI11</f>
        <v>8</v>
      </c>
      <c r="BQ5" s="1" t="s">
        <v>226</v>
      </c>
      <c r="BR5" s="39" t="str">
        <f>CV12&amp;"|"&amp;CW12&amp;"|"&amp;CX12</f>
        <v>1|2|80000</v>
      </c>
      <c r="BS5" s="174" t="str">
        <f>CZ12&amp;"|"&amp;DA12&amp;"|"&amp;DB12</f>
        <v>1|2|260</v>
      </c>
      <c r="BT5" s="165">
        <f>DC12</f>
        <v>80000</v>
      </c>
      <c r="BU5" s="165">
        <f>DE12</f>
        <v>80000</v>
      </c>
      <c r="BV5" s="1">
        <f>DF12</f>
        <v>0</v>
      </c>
      <c r="BW5" s="165">
        <f>DG12</f>
        <v>0</v>
      </c>
      <c r="BX5" s="165">
        <f>DH12</f>
        <v>0</v>
      </c>
      <c r="BY5" s="84">
        <f>DI12</f>
        <v>5</v>
      </c>
      <c r="BZ5" s="1" t="s">
        <v>226</v>
      </c>
      <c r="CA5" s="39" t="str">
        <f>CV13&amp;"|"&amp;CW13&amp;"|"&amp;CX13</f>
        <v>1|2|100000</v>
      </c>
      <c r="CB5" s="174" t="str">
        <f>CZ13&amp;"|"&amp;DA13&amp;"|"&amp;DB13</f>
        <v>1|2|270</v>
      </c>
      <c r="CC5" s="165">
        <f>DC13</f>
        <v>100000</v>
      </c>
      <c r="CD5" s="165">
        <f>DE13</f>
        <v>100000</v>
      </c>
      <c r="CE5" s="1">
        <f>DF13</f>
        <v>0</v>
      </c>
      <c r="CF5" s="165">
        <f>DG13</f>
        <v>0</v>
      </c>
      <c r="CG5" s="165">
        <f>DH13</f>
        <v>0</v>
      </c>
      <c r="CH5" s="84">
        <f>DI13</f>
        <v>3</v>
      </c>
      <c r="CI5" s="1" t="s">
        <v>226</v>
      </c>
      <c r="CJ5" s="39" t="str">
        <f>CV14&amp;"|"&amp;CW14&amp;"|"&amp;CX14</f>
        <v>2|1204|1000</v>
      </c>
      <c r="CK5" s="174" t="str">
        <f>CZ14&amp;"|"&amp;DA14&amp;"|"&amp;DB14</f>
        <v>2|1204|280</v>
      </c>
      <c r="CL5" s="165">
        <f>DC14</f>
        <v>150000</v>
      </c>
      <c r="CM5" s="165">
        <f>DE14</f>
        <v>150000</v>
      </c>
      <c r="CN5" s="1">
        <v>1</v>
      </c>
      <c r="CO5" s="165">
        <f>DG14</f>
        <v>0</v>
      </c>
      <c r="CP5" s="165">
        <f>DH14</f>
        <v>0</v>
      </c>
      <c r="CQ5" s="84">
        <f>DI14</f>
        <v>1</v>
      </c>
      <c r="CR5" s="1" t="s">
        <v>558</v>
      </c>
      <c r="CS5" s="6"/>
      <c r="CT5" s="358" t="str">
        <f>"抽奖
第1档
"&amp;D5&amp;"~
"&amp;E5</f>
        <v>抽奖
第1档
0~
100000</v>
      </c>
      <c r="CU5" s="190" t="s">
        <v>375</v>
      </c>
      <c r="CV5" s="191">
        <f t="shared" ref="CV5:CV36" si="5">VLOOKUP(CU5,DN:DR,4,0)</f>
        <v>1</v>
      </c>
      <c r="CW5" s="191">
        <f t="shared" ref="CW5:CW36" si="6">VLOOKUP(CU5,DN:DR,5,0)</f>
        <v>2</v>
      </c>
      <c r="CX5" s="192">
        <v>120000</v>
      </c>
      <c r="CY5" s="190" t="str">
        <f t="shared" ref="CY5:CY36" si="7">CU5</f>
        <v>金币</v>
      </c>
      <c r="CZ5" s="193">
        <f t="shared" ref="CZ5:CZ36" si="8">VLOOKUP(CY5,DN:DR,4,0)</f>
        <v>1</v>
      </c>
      <c r="DA5" s="193">
        <f t="shared" ref="DA5:DA36" si="9">VLOOKUP(CY5,DN:DR,5,0)</f>
        <v>2</v>
      </c>
      <c r="DB5" s="192">
        <f t="shared" ref="DB5:DB10" si="10">ROUNDUP(CX5/5,0)</f>
        <v>24000</v>
      </c>
      <c r="DC5" s="193">
        <f t="shared" ref="DC5:DC36" si="11">DD5*DH5+DE5</f>
        <v>127200</v>
      </c>
      <c r="DD5" s="193">
        <f t="shared" ref="DD5:DD36" si="12">VLOOKUP(CY5,DN:DR,3,0)/$DP$7*DB5*VLOOKUP(CY5,DN:DS,6,0)</f>
        <v>24000</v>
      </c>
      <c r="DE5" s="210">
        <f t="shared" ref="DE5:DE36" si="13">VLOOKUP(CU5,DN:DR,3,0)/$DP$7*CX5*VLOOKUP(CU5,DN:DS,6,0)</f>
        <v>120000</v>
      </c>
      <c r="DF5" s="211">
        <v>1</v>
      </c>
      <c r="DG5" s="212">
        <v>1</v>
      </c>
      <c r="DH5" s="212">
        <v>0.3</v>
      </c>
      <c r="DI5" s="120">
        <v>6</v>
      </c>
      <c r="DJ5" s="218"/>
      <c r="DK5" s="1">
        <f>CX5*VLOOKUP(CU5,DN:DS,6,0)</f>
        <v>120000</v>
      </c>
      <c r="DL5" s="1">
        <f>VLOOKUP(CU5,DN:DR,3,0)</f>
        <v>1E-4</v>
      </c>
      <c r="DN5" s="10" t="s">
        <v>559</v>
      </c>
      <c r="DO5" s="11">
        <v>1</v>
      </c>
      <c r="DP5" s="11">
        <v>20</v>
      </c>
      <c r="DQ5" s="11">
        <v>1</v>
      </c>
      <c r="DR5" s="19"/>
      <c r="DS5" s="223">
        <v>1</v>
      </c>
    </row>
    <row r="6" spans="1:124" x14ac:dyDescent="0.35">
      <c r="A6" s="1">
        <v>2</v>
      </c>
      <c r="B6" s="1" t="s">
        <v>556</v>
      </c>
      <c r="C6" s="56" t="s">
        <v>560</v>
      </c>
      <c r="D6" s="173">
        <v>100000</v>
      </c>
      <c r="E6" s="6">
        <f>D7</f>
        <v>500000</v>
      </c>
      <c r="F6" s="173">
        <v>100000</v>
      </c>
      <c r="G6" s="39" t="str">
        <f>CV15&amp;"|"&amp;CW15&amp;"|"&amp;CX15</f>
        <v>1|2|250000</v>
      </c>
      <c r="H6" s="174" t="str">
        <f>CZ15&amp;"|"&amp;DA15&amp;"|"&amp;DB15</f>
        <v>1|2|50000</v>
      </c>
      <c r="I6" s="165">
        <f>DC15</f>
        <v>265000</v>
      </c>
      <c r="J6" s="165">
        <f>DE15</f>
        <v>250000</v>
      </c>
      <c r="K6" s="1">
        <f>AC24</f>
        <v>0</v>
      </c>
      <c r="L6" s="165">
        <f t="shared" ref="L6:N6" si="14">DG15</f>
        <v>1</v>
      </c>
      <c r="M6" s="165">
        <f t="shared" si="14"/>
        <v>0.3</v>
      </c>
      <c r="N6" s="1">
        <f t="shared" si="14"/>
        <v>8</v>
      </c>
      <c r="O6" s="1" t="s">
        <v>226</v>
      </c>
      <c r="P6" s="39" t="str">
        <f>CV16&amp;"|"&amp;CW16&amp;"|"&amp;CX16</f>
        <v>2|1003|2</v>
      </c>
      <c r="Q6" s="174" t="str">
        <f>CZ16&amp;"|"&amp;DA16&amp;"|"&amp;DB16</f>
        <v>2|1003|1</v>
      </c>
      <c r="R6" s="165">
        <f>DC16</f>
        <v>275000</v>
      </c>
      <c r="S6" s="165">
        <f>DE16</f>
        <v>200000</v>
      </c>
      <c r="T6" s="1">
        <f>DF16</f>
        <v>0</v>
      </c>
      <c r="U6" s="165">
        <f t="shared" ref="U6:W6" si="15">DG16</f>
        <v>0.5</v>
      </c>
      <c r="V6" s="165">
        <f t="shared" si="15"/>
        <v>0.75</v>
      </c>
      <c r="W6" s="84">
        <f t="shared" si="15"/>
        <v>10</v>
      </c>
      <c r="X6" s="1" t="s">
        <v>226</v>
      </c>
      <c r="Y6" s="39" t="str">
        <f>CV17&amp;"|"&amp;CW17&amp;"|"&amp;CX17</f>
        <v>1|2|60000</v>
      </c>
      <c r="Z6" s="165" t="str">
        <f>CZ17&amp;"|"&amp;DA17&amp;"|"&amp;DB17</f>
        <v>1|2|12000</v>
      </c>
      <c r="AA6" s="165">
        <f>DC17</f>
        <v>69000</v>
      </c>
      <c r="AB6" s="165">
        <f>DE17</f>
        <v>60000</v>
      </c>
      <c r="AC6" s="1">
        <f>DF17</f>
        <v>0</v>
      </c>
      <c r="AD6" s="165">
        <f t="shared" ref="AD6:AF6" si="16">DG17</f>
        <v>1</v>
      </c>
      <c r="AE6" s="165">
        <f t="shared" si="16"/>
        <v>0.75</v>
      </c>
      <c r="AF6" s="84">
        <f t="shared" si="16"/>
        <v>2</v>
      </c>
      <c r="AG6" s="1" t="s">
        <v>226</v>
      </c>
      <c r="AH6" s="39" t="str">
        <f>CV18&amp;"|"&amp;CW18&amp;"|"&amp;CX18</f>
        <v>1|2|100000</v>
      </c>
      <c r="AI6" s="174" t="str">
        <f>CZ18&amp;"|"&amp;DA18&amp;"|"&amp;DB18</f>
        <v>1|2|20000</v>
      </c>
      <c r="AJ6" s="165">
        <f>DC18</f>
        <v>115000</v>
      </c>
      <c r="AK6" s="165">
        <f>DE18</f>
        <v>100000</v>
      </c>
      <c r="AL6" s="1">
        <f>DF18</f>
        <v>0</v>
      </c>
      <c r="AM6" s="165">
        <f t="shared" ref="AM6:AO6" si="17">DG18</f>
        <v>0.5</v>
      </c>
      <c r="AN6" s="165">
        <f t="shared" si="17"/>
        <v>0.75</v>
      </c>
      <c r="AO6" s="84">
        <f t="shared" si="17"/>
        <v>4</v>
      </c>
      <c r="AP6" s="1" t="s">
        <v>226</v>
      </c>
      <c r="AQ6" s="39" t="str">
        <f>CV19&amp;"|"&amp;CW19&amp;"|"&amp;CX19</f>
        <v>1|2|200000</v>
      </c>
      <c r="AR6" s="174" t="str">
        <f>CZ19&amp;"|"&amp;DA19&amp;"|"&amp;DB19</f>
        <v>1|2|40000</v>
      </c>
      <c r="AS6" s="165">
        <f>DC19</f>
        <v>220000</v>
      </c>
      <c r="AT6" s="165">
        <f>DE19</f>
        <v>200000</v>
      </c>
      <c r="AU6" s="1">
        <f>DF19</f>
        <v>0</v>
      </c>
      <c r="AV6" s="165">
        <f t="shared" ref="AV6:AX6" si="18">DG19</f>
        <v>0.5</v>
      </c>
      <c r="AW6" s="165">
        <f t="shared" si="18"/>
        <v>0.5</v>
      </c>
      <c r="AX6" s="84">
        <f t="shared" si="18"/>
        <v>7</v>
      </c>
      <c r="AY6" s="1" t="s">
        <v>226</v>
      </c>
      <c r="AZ6" s="39" t="str">
        <f>CV20&amp;"|"&amp;CW20&amp;"|"&amp;CX20</f>
        <v>1|2|350000</v>
      </c>
      <c r="BA6" s="174" t="str">
        <f>CZ20&amp;"|"&amp;DA20&amp;"|"&amp;DB20</f>
        <v>1|2|70000</v>
      </c>
      <c r="BB6" s="165">
        <f>DC20</f>
        <v>371000</v>
      </c>
      <c r="BC6" s="165">
        <f>DE20</f>
        <v>350000</v>
      </c>
      <c r="BD6" s="1">
        <f>DF20</f>
        <v>0</v>
      </c>
      <c r="BE6" s="165">
        <f t="shared" ref="BE6:BG6" si="19">DG20</f>
        <v>1</v>
      </c>
      <c r="BF6" s="165">
        <f t="shared" si="19"/>
        <v>0.3</v>
      </c>
      <c r="BG6" s="84">
        <f t="shared" si="19"/>
        <v>5</v>
      </c>
      <c r="BH6" s="1" t="s">
        <v>226</v>
      </c>
      <c r="BI6" s="39" t="str">
        <f>CV21&amp;"|"&amp;CW21&amp;"|"&amp;CX21</f>
        <v>1|2|500000</v>
      </c>
      <c r="BJ6" s="174" t="str">
        <f>CZ21&amp;"|"&amp;DA21&amp;"|"&amp;DB21</f>
        <v>1|2|100000</v>
      </c>
      <c r="BK6" s="165">
        <f>DC21</f>
        <v>500000</v>
      </c>
      <c r="BL6" s="165">
        <f>DE21</f>
        <v>500000</v>
      </c>
      <c r="BM6" s="1">
        <f>DF21</f>
        <v>0</v>
      </c>
      <c r="BN6" s="165">
        <f>DG21</f>
        <v>0</v>
      </c>
      <c r="BO6" s="165">
        <f>DH21</f>
        <v>0</v>
      </c>
      <c r="BP6" s="84">
        <f>DI21</f>
        <v>3</v>
      </c>
      <c r="BQ6" s="1" t="s">
        <v>226</v>
      </c>
      <c r="BR6" s="39" t="str">
        <f>CV22&amp;"|"&amp;CW22&amp;"|"&amp;CX22</f>
        <v>1|1|10</v>
      </c>
      <c r="BS6" s="174" t="str">
        <f>CZ22&amp;"|"&amp;DA22&amp;"|"&amp;DB22</f>
        <v>1|1|2</v>
      </c>
      <c r="BT6" s="165">
        <f>DC22</f>
        <v>200000</v>
      </c>
      <c r="BU6" s="165">
        <f>DE22</f>
        <v>200000</v>
      </c>
      <c r="BV6" s="1">
        <f>DF22</f>
        <v>0</v>
      </c>
      <c r="BW6" s="165">
        <f>DG22</f>
        <v>0</v>
      </c>
      <c r="BX6" s="165">
        <f>DH22</f>
        <v>0</v>
      </c>
      <c r="BY6" s="84">
        <f>DI22</f>
        <v>9</v>
      </c>
      <c r="BZ6" s="1" t="s">
        <v>226</v>
      </c>
      <c r="CA6" s="39" t="str">
        <f>CV23&amp;"|"&amp;CW23&amp;"|"&amp;CX23</f>
        <v>1|1|25</v>
      </c>
      <c r="CB6" s="174" t="str">
        <f>CZ23&amp;"|"&amp;DA23&amp;"|"&amp;DB23</f>
        <v>1|1|5</v>
      </c>
      <c r="CC6" s="165">
        <f>DC23</f>
        <v>500000</v>
      </c>
      <c r="CD6" s="165">
        <f>DE23</f>
        <v>500000</v>
      </c>
      <c r="CE6" s="1">
        <f>DF23</f>
        <v>0</v>
      </c>
      <c r="CF6" s="165">
        <f>DG23</f>
        <v>0</v>
      </c>
      <c r="CG6" s="165">
        <f>DH23</f>
        <v>0</v>
      </c>
      <c r="CH6" s="84">
        <f>DI23</f>
        <v>6</v>
      </c>
      <c r="CI6" s="1" t="s">
        <v>226</v>
      </c>
      <c r="CJ6" s="39" t="str">
        <f>CV24&amp;"|"&amp;CW24&amp;"|"&amp;CX24</f>
        <v>2|1204|5000</v>
      </c>
      <c r="CK6" s="174" t="str">
        <f>CZ24&amp;"|"&amp;DA24&amp;"|"&amp;DB24</f>
        <v>2|1204|1000</v>
      </c>
      <c r="CL6" s="165">
        <f>DC24</f>
        <v>750000</v>
      </c>
      <c r="CM6" s="165">
        <f>DE24</f>
        <v>750000</v>
      </c>
      <c r="CN6" s="1">
        <v>1</v>
      </c>
      <c r="CO6" s="165">
        <f>DG24</f>
        <v>0</v>
      </c>
      <c r="CP6" s="165">
        <f>DH24</f>
        <v>0</v>
      </c>
      <c r="CQ6" s="84">
        <f>DI24</f>
        <v>1</v>
      </c>
      <c r="CR6" s="1" t="s">
        <v>558</v>
      </c>
      <c r="CS6" s="6"/>
      <c r="CT6" s="359"/>
      <c r="CU6" s="194" t="s">
        <v>375</v>
      </c>
      <c r="CV6" s="70">
        <f t="shared" si="5"/>
        <v>1</v>
      </c>
      <c r="CW6" s="70">
        <f t="shared" si="6"/>
        <v>2</v>
      </c>
      <c r="CX6" s="195">
        <v>2000</v>
      </c>
      <c r="CY6" s="194" t="str">
        <f t="shared" si="7"/>
        <v>金币</v>
      </c>
      <c r="CZ6" s="196">
        <f t="shared" si="8"/>
        <v>1</v>
      </c>
      <c r="DA6" s="196">
        <f t="shared" si="9"/>
        <v>2</v>
      </c>
      <c r="DB6" s="195">
        <f t="shared" si="10"/>
        <v>400</v>
      </c>
      <c r="DC6" s="196">
        <f t="shared" si="11"/>
        <v>2300</v>
      </c>
      <c r="DD6" s="196">
        <f t="shared" si="12"/>
        <v>400</v>
      </c>
      <c r="DE6" s="70">
        <f t="shared" si="13"/>
        <v>2000</v>
      </c>
      <c r="DF6" s="70">
        <v>0</v>
      </c>
      <c r="DG6" s="213">
        <v>0.5</v>
      </c>
      <c r="DH6" s="213">
        <v>0.75</v>
      </c>
      <c r="DI6" s="11">
        <v>2</v>
      </c>
      <c r="DJ6" s="219"/>
      <c r="DL6" s="1">
        <f>200*50*6%*5</f>
        <v>3000</v>
      </c>
      <c r="DN6" s="10" t="s">
        <v>360</v>
      </c>
      <c r="DO6" s="11">
        <f>DO7*20000</f>
        <v>0.1</v>
      </c>
      <c r="DP6" s="11">
        <f>DP7*20000</f>
        <v>2</v>
      </c>
      <c r="DQ6" s="11">
        <v>1</v>
      </c>
      <c r="DR6" s="19">
        <v>1</v>
      </c>
      <c r="DS6" s="223">
        <v>1</v>
      </c>
    </row>
    <row r="7" spans="1:124" x14ac:dyDescent="0.35">
      <c r="A7" s="1">
        <v>3</v>
      </c>
      <c r="B7" s="1" t="s">
        <v>556</v>
      </c>
      <c r="C7" s="56" t="s">
        <v>561</v>
      </c>
      <c r="D7" s="173">
        <v>500000</v>
      </c>
      <c r="E7" s="6">
        <f>D8</f>
        <v>1000000</v>
      </c>
      <c r="F7" s="6">
        <v>-1</v>
      </c>
      <c r="G7" s="39" t="str">
        <f>CV25&amp;"|"&amp;CW25&amp;"|"&amp;CX25</f>
        <v>1|2|200000</v>
      </c>
      <c r="H7" s="174" t="str">
        <f t="shared" ref="H7" si="20">CZ7&amp;"|"&amp;DA7&amp;"|"&amp;DB7</f>
        <v>1|2|1000</v>
      </c>
      <c r="I7" s="165">
        <f>DC25</f>
        <v>212000</v>
      </c>
      <c r="J7" s="165">
        <f>DE25</f>
        <v>200000</v>
      </c>
      <c r="K7" s="1">
        <f>AC34</f>
        <v>0</v>
      </c>
      <c r="L7" s="165">
        <f t="shared" ref="L7:N7" si="21">DG25</f>
        <v>1</v>
      </c>
      <c r="M7" s="165">
        <f t="shared" si="21"/>
        <v>0.3</v>
      </c>
      <c r="N7" s="1">
        <f t="shared" si="21"/>
        <v>2</v>
      </c>
      <c r="O7" s="1" t="s">
        <v>226</v>
      </c>
      <c r="P7" s="39" t="str">
        <f>CV26&amp;"|"&amp;CW26&amp;"|"&amp;CX26</f>
        <v>2|1003|3</v>
      </c>
      <c r="Q7" s="174" t="str">
        <f>CZ26&amp;"|"&amp;DA26&amp;"|"&amp;DB26</f>
        <v>2|1003|1</v>
      </c>
      <c r="R7" s="165">
        <f>DC26</f>
        <v>375000</v>
      </c>
      <c r="S7" s="165">
        <f>DE26</f>
        <v>300000</v>
      </c>
      <c r="T7" s="1">
        <f>DF26</f>
        <v>0</v>
      </c>
      <c r="U7" s="165">
        <f t="shared" ref="U7:W7" si="22">DG26</f>
        <v>1</v>
      </c>
      <c r="V7" s="165">
        <f t="shared" si="22"/>
        <v>0.75</v>
      </c>
      <c r="W7" s="84">
        <f t="shared" si="22"/>
        <v>9</v>
      </c>
      <c r="X7" s="1" t="s">
        <v>226</v>
      </c>
      <c r="Y7" s="39" t="str">
        <f>CV27&amp;"|"&amp;CW27&amp;"|"&amp;CX27</f>
        <v>2|1003|4</v>
      </c>
      <c r="Z7" s="165" t="str">
        <f>CZ27&amp;"|"&amp;DA27&amp;"|"&amp;DB27</f>
        <v>2|1003|1</v>
      </c>
      <c r="AA7" s="165">
        <f>DC27</f>
        <v>475000</v>
      </c>
      <c r="AB7" s="165">
        <f>DE27</f>
        <v>400000</v>
      </c>
      <c r="AC7" s="1">
        <f>DF27</f>
        <v>0</v>
      </c>
      <c r="AD7" s="165">
        <f t="shared" ref="AD7:AF7" si="23">DG27</f>
        <v>0.5</v>
      </c>
      <c r="AE7" s="165">
        <f t="shared" si="23"/>
        <v>0.75</v>
      </c>
      <c r="AF7" s="84">
        <f t="shared" si="23"/>
        <v>4</v>
      </c>
      <c r="AG7" s="1" t="s">
        <v>226</v>
      </c>
      <c r="AH7" s="39" t="str">
        <f>CV28&amp;"|"&amp;CW28&amp;"|"&amp;CX28</f>
        <v>1|2|400000</v>
      </c>
      <c r="AI7" s="174" t="str">
        <f>CZ28&amp;"|"&amp;DA28&amp;"|"&amp;DB28</f>
        <v>1|2|80000</v>
      </c>
      <c r="AJ7" s="165">
        <f>DC28</f>
        <v>460000</v>
      </c>
      <c r="AK7" s="165">
        <f>DE28</f>
        <v>400000</v>
      </c>
      <c r="AL7" s="1">
        <f>DF28</f>
        <v>0</v>
      </c>
      <c r="AM7" s="165">
        <f t="shared" ref="AM7:AO7" si="24">DG28</f>
        <v>1</v>
      </c>
      <c r="AN7" s="165">
        <f t="shared" si="24"/>
        <v>0.75</v>
      </c>
      <c r="AO7" s="84">
        <f t="shared" si="24"/>
        <v>7</v>
      </c>
      <c r="AP7" s="1" t="s">
        <v>226</v>
      </c>
      <c r="AQ7" s="39" t="str">
        <f>CV29&amp;"|"&amp;CW29&amp;"|"&amp;CX29</f>
        <v>1|2|600000</v>
      </c>
      <c r="AR7" s="174" t="str">
        <f>CZ29&amp;"|"&amp;DA29&amp;"|"&amp;DB29</f>
        <v>1|2|120000</v>
      </c>
      <c r="AS7" s="165">
        <f>DC29</f>
        <v>660000</v>
      </c>
      <c r="AT7" s="165">
        <f>DE29</f>
        <v>600000</v>
      </c>
      <c r="AU7" s="1">
        <f>DF29</f>
        <v>0</v>
      </c>
      <c r="AV7" s="165">
        <f t="shared" ref="AV7:AX7" si="25">DG29</f>
        <v>1</v>
      </c>
      <c r="AW7" s="165">
        <f t="shared" si="25"/>
        <v>0.5</v>
      </c>
      <c r="AX7" s="84">
        <f t="shared" si="25"/>
        <v>10</v>
      </c>
      <c r="AY7" s="1" t="s">
        <v>226</v>
      </c>
      <c r="AZ7" s="39" t="str">
        <f>CV30&amp;"|"&amp;CW30&amp;"|"&amp;CX30</f>
        <v>1|2|800000</v>
      </c>
      <c r="BA7" s="174" t="str">
        <f>CZ30&amp;"|"&amp;DA30&amp;"|"&amp;DB30</f>
        <v>1|2|160000</v>
      </c>
      <c r="BB7" s="165">
        <f>DC30</f>
        <v>848000</v>
      </c>
      <c r="BC7" s="165">
        <f>DE30</f>
        <v>800000</v>
      </c>
      <c r="BD7" s="1">
        <f>DF30</f>
        <v>0</v>
      </c>
      <c r="BE7" s="165">
        <f t="shared" ref="BE7:BG7" si="26">DG30</f>
        <v>1</v>
      </c>
      <c r="BF7" s="165">
        <f t="shared" si="26"/>
        <v>0.3</v>
      </c>
      <c r="BG7" s="84">
        <f t="shared" si="26"/>
        <v>5</v>
      </c>
      <c r="BH7" s="1" t="s">
        <v>226</v>
      </c>
      <c r="BI7" s="39" t="str">
        <f>CV31&amp;"|"&amp;CW31&amp;"|"&amp;CX31</f>
        <v>1|2|1000000</v>
      </c>
      <c r="BJ7" s="174" t="str">
        <f>CZ31&amp;"|"&amp;DA31&amp;"|"&amp;DB31</f>
        <v>1|2|100</v>
      </c>
      <c r="BK7" s="165">
        <f>DC31</f>
        <v>1000000</v>
      </c>
      <c r="BL7" s="165">
        <f>DE31</f>
        <v>1000000</v>
      </c>
      <c r="BM7" s="1">
        <f>DF31</f>
        <v>0</v>
      </c>
      <c r="BN7" s="165">
        <f>DG31</f>
        <v>0</v>
      </c>
      <c r="BO7" s="165">
        <f>DH31</f>
        <v>0</v>
      </c>
      <c r="BP7" s="84">
        <f>DI31</f>
        <v>3</v>
      </c>
      <c r="BQ7" s="1" t="s">
        <v>226</v>
      </c>
      <c r="BR7" s="39" t="str">
        <f>CV32&amp;"|"&amp;CW32&amp;"|"&amp;CX32</f>
        <v>2|1204|10000</v>
      </c>
      <c r="BS7" s="174" t="str">
        <f>CZ32&amp;"|"&amp;DA32&amp;"|"&amp;DB32</f>
        <v>2|1204|101</v>
      </c>
      <c r="BT7" s="165">
        <f>DC32</f>
        <v>1500000</v>
      </c>
      <c r="BU7" s="165">
        <f>DE32</f>
        <v>1500000</v>
      </c>
      <c r="BV7" s="1">
        <f>DF32</f>
        <v>0</v>
      </c>
      <c r="BW7" s="165">
        <f>DG32</f>
        <v>0</v>
      </c>
      <c r="BX7" s="165">
        <f>DH32</f>
        <v>0</v>
      </c>
      <c r="BY7" s="84">
        <f>DI32</f>
        <v>1</v>
      </c>
      <c r="BZ7" s="1" t="s">
        <v>562</v>
      </c>
      <c r="CA7" s="39" t="str">
        <f>CV33&amp;"|"&amp;CW33&amp;"|"&amp;CX33</f>
        <v>1|1|40</v>
      </c>
      <c r="CB7" s="174" t="str">
        <f>CZ33&amp;"|"&amp;DA33&amp;"|"&amp;DB33</f>
        <v>1|1|102</v>
      </c>
      <c r="CC7" s="165">
        <f>DC33</f>
        <v>800000</v>
      </c>
      <c r="CD7" s="165">
        <f>DE33</f>
        <v>800000</v>
      </c>
      <c r="CE7" s="1">
        <f>DF33</f>
        <v>0</v>
      </c>
      <c r="CF7" s="165">
        <f>DG33</f>
        <v>0</v>
      </c>
      <c r="CG7" s="165">
        <f>DH33</f>
        <v>0</v>
      </c>
      <c r="CH7" s="84">
        <f>DI33</f>
        <v>8</v>
      </c>
      <c r="CI7" s="1" t="s">
        <v>226</v>
      </c>
      <c r="CJ7" s="39" t="str">
        <f>CV34&amp;"|"&amp;CW34&amp;"|"&amp;CX34</f>
        <v>2|1005|1</v>
      </c>
      <c r="CK7" s="174" t="str">
        <f>CZ34&amp;"|"&amp;DA34&amp;"|"&amp;DB34</f>
        <v>2|1005|103</v>
      </c>
      <c r="CL7" s="165">
        <f>DC34</f>
        <v>1000000</v>
      </c>
      <c r="CM7" s="165">
        <f>DE34</f>
        <v>1000000</v>
      </c>
      <c r="CN7" s="1">
        <v>1</v>
      </c>
      <c r="CO7" s="165">
        <f>DG34</f>
        <v>0</v>
      </c>
      <c r="CP7" s="165">
        <f>DH34</f>
        <v>0</v>
      </c>
      <c r="CQ7" s="84">
        <f>DI34</f>
        <v>6</v>
      </c>
      <c r="CR7" s="1" t="s">
        <v>558</v>
      </c>
      <c r="CS7" s="6"/>
      <c r="CT7" s="359"/>
      <c r="CU7" s="194" t="s">
        <v>375</v>
      </c>
      <c r="CV7" s="70">
        <f t="shared" si="5"/>
        <v>1</v>
      </c>
      <c r="CW7" s="70">
        <f t="shared" si="6"/>
        <v>2</v>
      </c>
      <c r="CX7" s="195">
        <v>5000</v>
      </c>
      <c r="CY7" s="194" t="str">
        <f t="shared" si="7"/>
        <v>金币</v>
      </c>
      <c r="CZ7" s="196">
        <f t="shared" si="8"/>
        <v>1</v>
      </c>
      <c r="DA7" s="196">
        <f t="shared" si="9"/>
        <v>2</v>
      </c>
      <c r="DB7" s="195">
        <f t="shared" si="10"/>
        <v>1000</v>
      </c>
      <c r="DC7" s="196">
        <f t="shared" si="11"/>
        <v>5750</v>
      </c>
      <c r="DD7" s="196">
        <f t="shared" si="12"/>
        <v>1000</v>
      </c>
      <c r="DE7" s="70">
        <f t="shared" si="13"/>
        <v>5000</v>
      </c>
      <c r="DF7" s="70">
        <v>0</v>
      </c>
      <c r="DG7" s="213">
        <v>1</v>
      </c>
      <c r="DH7" s="213">
        <v>0.75</v>
      </c>
      <c r="DI7" s="11">
        <v>4</v>
      </c>
      <c r="DJ7" s="219"/>
      <c r="DL7" s="1">
        <f>1000*170*6%*10</f>
        <v>102000</v>
      </c>
      <c r="DN7" s="10" t="s">
        <v>375</v>
      </c>
      <c r="DO7" s="11">
        <f>1/200000</f>
        <v>5.0000000000000004E-6</v>
      </c>
      <c r="DP7" s="11">
        <f>1/10000</f>
        <v>1E-4</v>
      </c>
      <c r="DQ7" s="11">
        <v>1</v>
      </c>
      <c r="DR7" s="19">
        <v>2</v>
      </c>
      <c r="DS7" s="223">
        <v>1</v>
      </c>
    </row>
    <row r="8" spans="1:124" x14ac:dyDescent="0.35">
      <c r="A8" s="1">
        <v>4</v>
      </c>
      <c r="B8" s="1" t="s">
        <v>556</v>
      </c>
      <c r="C8" s="56" t="s">
        <v>563</v>
      </c>
      <c r="D8" s="173">
        <v>1000000</v>
      </c>
      <c r="E8" s="6">
        <f>D9</f>
        <v>2000000</v>
      </c>
      <c r="F8" s="6">
        <v>-1</v>
      </c>
      <c r="G8" s="39" t="str">
        <f>CV35&amp;"|"&amp;CW35&amp;"|"&amp;CX35</f>
        <v>1|2|750000</v>
      </c>
      <c r="H8" s="174" t="str">
        <f>CZ35&amp;"|"&amp;DA35&amp;"|"&amp;DB35</f>
        <v>1|2|150000</v>
      </c>
      <c r="I8" s="165">
        <f>DC35</f>
        <v>795000</v>
      </c>
      <c r="J8" s="165">
        <f>DE35</f>
        <v>750000</v>
      </c>
      <c r="K8" s="1">
        <f>AC44</f>
        <v>0</v>
      </c>
      <c r="L8" s="165">
        <f t="shared" ref="L8:N8" si="27">DG35</f>
        <v>1</v>
      </c>
      <c r="M8" s="165">
        <f t="shared" si="27"/>
        <v>0.3</v>
      </c>
      <c r="N8" s="1">
        <f t="shared" si="27"/>
        <v>4</v>
      </c>
      <c r="O8" s="1" t="s">
        <v>226</v>
      </c>
      <c r="P8" s="39" t="str">
        <f>CV36&amp;"|"&amp;CW36&amp;"|"&amp;CX36</f>
        <v>2|1003|4</v>
      </c>
      <c r="Q8" s="174" t="str">
        <f>CZ36&amp;"|"&amp;DA36&amp;"|"&amp;DB36</f>
        <v>2|1003|1</v>
      </c>
      <c r="R8" s="165">
        <f>DC36</f>
        <v>475000</v>
      </c>
      <c r="S8" s="165">
        <f>DE36</f>
        <v>400000</v>
      </c>
      <c r="T8" s="1">
        <f>DF36</f>
        <v>0</v>
      </c>
      <c r="U8" s="165">
        <f t="shared" ref="U8:W8" si="28">DG36</f>
        <v>1</v>
      </c>
      <c r="V8" s="165">
        <f t="shared" si="28"/>
        <v>0.75</v>
      </c>
      <c r="W8" s="84">
        <f t="shared" si="28"/>
        <v>9</v>
      </c>
      <c r="X8" s="1" t="s">
        <v>226</v>
      </c>
      <c r="Y8" s="39" t="str">
        <f>CV37&amp;"|"&amp;CW37&amp;"|"&amp;CX37</f>
        <v>2|1003|6</v>
      </c>
      <c r="Z8" s="165" t="str">
        <f>CZ37&amp;"|"&amp;DA37&amp;"|"&amp;DB37</f>
        <v>2|1003|2</v>
      </c>
      <c r="AA8" s="165">
        <f>DC37</f>
        <v>750000</v>
      </c>
      <c r="AB8" s="165">
        <f>DE37</f>
        <v>600000</v>
      </c>
      <c r="AC8" s="1">
        <f>DF37</f>
        <v>0</v>
      </c>
      <c r="AD8" s="165">
        <f t="shared" ref="AD8:AF8" si="29">DG37</f>
        <v>0.5</v>
      </c>
      <c r="AE8" s="165">
        <f t="shared" si="29"/>
        <v>0.75</v>
      </c>
      <c r="AF8" s="84">
        <f t="shared" si="29"/>
        <v>7</v>
      </c>
      <c r="AG8" s="1" t="s">
        <v>226</v>
      </c>
      <c r="AH8" s="39" t="str">
        <f>CV38&amp;"|"&amp;CW38&amp;"|"&amp;CX38</f>
        <v>1|2|800000</v>
      </c>
      <c r="AI8" s="174" t="str">
        <f>CZ38&amp;"|"&amp;DA38&amp;"|"&amp;DB38</f>
        <v>1|2|160000</v>
      </c>
      <c r="AJ8" s="165">
        <f>DC38</f>
        <v>920000</v>
      </c>
      <c r="AK8" s="165">
        <f>DE38</f>
        <v>800000</v>
      </c>
      <c r="AL8" s="1">
        <f>DF38</f>
        <v>0</v>
      </c>
      <c r="AM8" s="165">
        <f t="shared" ref="AM8:AO8" si="30">DG38</f>
        <v>1</v>
      </c>
      <c r="AN8" s="165">
        <f t="shared" si="30"/>
        <v>0.75</v>
      </c>
      <c r="AO8" s="84">
        <f t="shared" si="30"/>
        <v>2</v>
      </c>
      <c r="AP8" s="1" t="s">
        <v>226</v>
      </c>
      <c r="AQ8" s="39" t="str">
        <f>CV39&amp;"|"&amp;CW39&amp;"|"&amp;CX39</f>
        <v>1|2|1000000</v>
      </c>
      <c r="AR8" s="174" t="str">
        <f>CZ39&amp;"|"&amp;DA39&amp;"|"&amp;DB39</f>
        <v>1|2|200000</v>
      </c>
      <c r="AS8" s="165">
        <f>DC39</f>
        <v>1100000</v>
      </c>
      <c r="AT8" s="165">
        <f>DE39</f>
        <v>1000000</v>
      </c>
      <c r="AU8" s="1">
        <f>DF39</f>
        <v>0</v>
      </c>
      <c r="AV8" s="165">
        <f t="shared" ref="AV8:AX8" si="31">DG39</f>
        <v>1</v>
      </c>
      <c r="AW8" s="165">
        <f t="shared" si="31"/>
        <v>0.5</v>
      </c>
      <c r="AX8" s="84">
        <f t="shared" si="31"/>
        <v>10</v>
      </c>
      <c r="AY8" s="1" t="s">
        <v>226</v>
      </c>
      <c r="AZ8" s="39" t="str">
        <f>CV40&amp;"|"&amp;CW40&amp;"|"&amp;CX40</f>
        <v>1|2|1500000</v>
      </c>
      <c r="BA8" s="174" t="str">
        <f>CZ40&amp;"|"&amp;DA40&amp;"|"&amp;DB40</f>
        <v>1|2|300000</v>
      </c>
      <c r="BB8" s="165">
        <f>DC40</f>
        <v>1590000</v>
      </c>
      <c r="BC8" s="165">
        <f>DE40</f>
        <v>1500000</v>
      </c>
      <c r="BD8" s="1">
        <f>DF40</f>
        <v>0</v>
      </c>
      <c r="BE8" s="165">
        <f t="shared" ref="BE8:BG8" si="32">DG40</f>
        <v>1</v>
      </c>
      <c r="BF8" s="165">
        <f t="shared" si="32"/>
        <v>0.3</v>
      </c>
      <c r="BG8" s="84">
        <f t="shared" si="32"/>
        <v>8</v>
      </c>
      <c r="BH8" s="1" t="s">
        <v>226</v>
      </c>
      <c r="BI8" s="39" t="str">
        <f>CV41&amp;"|"&amp;CW41&amp;"|"&amp;CX41</f>
        <v>2|1204|20000</v>
      </c>
      <c r="BJ8" s="174" t="str">
        <f>CZ41&amp;"|"&amp;DA41&amp;"|"&amp;DB41</f>
        <v>2|1204|4000</v>
      </c>
      <c r="BK8" s="165">
        <f>DC41</f>
        <v>3000000</v>
      </c>
      <c r="BL8" s="165">
        <f>DE41</f>
        <v>3000000</v>
      </c>
      <c r="BM8" s="1">
        <f>DF41</f>
        <v>0</v>
      </c>
      <c r="BN8" s="165">
        <f>DG41</f>
        <v>0</v>
      </c>
      <c r="BO8" s="165">
        <f>DH41</f>
        <v>0</v>
      </c>
      <c r="BP8" s="84">
        <f>DI41</f>
        <v>3</v>
      </c>
      <c r="BQ8" s="1" t="s">
        <v>226</v>
      </c>
      <c r="BR8" s="39" t="str">
        <f>CV42&amp;"|"&amp;CW42&amp;"|"&amp;CX42</f>
        <v>1|1|80</v>
      </c>
      <c r="BS8" s="174" t="str">
        <f>CZ42&amp;"|"&amp;DA42&amp;"|"&amp;DB42</f>
        <v>1|1|16</v>
      </c>
      <c r="BT8" s="165">
        <f>DC42</f>
        <v>1600000</v>
      </c>
      <c r="BU8" s="165">
        <f>DE42</f>
        <v>1600000</v>
      </c>
      <c r="BV8" s="1">
        <f>DF42</f>
        <v>0</v>
      </c>
      <c r="BW8" s="165">
        <f>DG42</f>
        <v>0</v>
      </c>
      <c r="BX8" s="165">
        <f>DH42</f>
        <v>0</v>
      </c>
      <c r="BY8" s="84">
        <f>DI42</f>
        <v>5</v>
      </c>
      <c r="BZ8" s="1" t="s">
        <v>226</v>
      </c>
      <c r="CA8" s="39" t="str">
        <f>CV43&amp;"|"&amp;CW43&amp;"|"&amp;CX43</f>
        <v>2|1005|2</v>
      </c>
      <c r="CB8" s="174" t="str">
        <f>CZ43&amp;"|"&amp;DA43&amp;"|"&amp;DB43</f>
        <v>2|1005|1</v>
      </c>
      <c r="CC8" s="165">
        <f>DC43</f>
        <v>2000000</v>
      </c>
      <c r="CD8" s="165">
        <f>DE43</f>
        <v>2000000</v>
      </c>
      <c r="CE8" s="1">
        <f>DF43</f>
        <v>0</v>
      </c>
      <c r="CF8" s="165">
        <f>DG43</f>
        <v>0</v>
      </c>
      <c r="CG8" s="165">
        <f>DH43</f>
        <v>0</v>
      </c>
      <c r="CH8" s="84">
        <f>DI43</f>
        <v>6</v>
      </c>
      <c r="CI8" s="1" t="s">
        <v>558</v>
      </c>
      <c r="CJ8" s="39" t="str">
        <f>CV44&amp;"|"&amp;CW44&amp;"|"&amp;CX44</f>
        <v>2|1005|3</v>
      </c>
      <c r="CK8" s="174" t="str">
        <f>CZ44&amp;"|"&amp;DA44&amp;"|"&amp;DB44</f>
        <v>2|1005|1</v>
      </c>
      <c r="CL8" s="165">
        <f>DC44</f>
        <v>3000000</v>
      </c>
      <c r="CM8" s="165">
        <f>DE44</f>
        <v>3000000</v>
      </c>
      <c r="CN8" s="1">
        <v>1</v>
      </c>
      <c r="CO8" s="165">
        <f>DG44</f>
        <v>0</v>
      </c>
      <c r="CP8" s="165">
        <f>DH44</f>
        <v>0</v>
      </c>
      <c r="CQ8" s="84">
        <f>DI44</f>
        <v>1</v>
      </c>
      <c r="CR8" s="1" t="s">
        <v>562</v>
      </c>
      <c r="CS8" s="6"/>
      <c r="CT8" s="359"/>
      <c r="CU8" s="194" t="s">
        <v>375</v>
      </c>
      <c r="CV8" s="70">
        <f t="shared" si="5"/>
        <v>1</v>
      </c>
      <c r="CW8" s="70">
        <f t="shared" si="6"/>
        <v>2</v>
      </c>
      <c r="CX8" s="195">
        <v>10000</v>
      </c>
      <c r="CY8" s="194" t="str">
        <f t="shared" si="7"/>
        <v>金币</v>
      </c>
      <c r="CZ8" s="196">
        <f t="shared" si="8"/>
        <v>1</v>
      </c>
      <c r="DA8" s="196">
        <f t="shared" si="9"/>
        <v>2</v>
      </c>
      <c r="DB8" s="195">
        <f t="shared" si="10"/>
        <v>2000</v>
      </c>
      <c r="DC8" s="196">
        <f t="shared" si="11"/>
        <v>11500</v>
      </c>
      <c r="DD8" s="196">
        <f t="shared" si="12"/>
        <v>2000</v>
      </c>
      <c r="DE8" s="70">
        <f t="shared" si="13"/>
        <v>10000</v>
      </c>
      <c r="DF8" s="70">
        <v>0</v>
      </c>
      <c r="DG8" s="213">
        <v>0.8</v>
      </c>
      <c r="DH8" s="213">
        <v>0.75</v>
      </c>
      <c r="DI8" s="11">
        <v>7</v>
      </c>
      <c r="DJ8" s="219"/>
      <c r="DN8" s="10" t="s">
        <v>397</v>
      </c>
      <c r="DO8" s="11">
        <f>DP8/20</f>
        <v>0.1</v>
      </c>
      <c r="DP8" s="11">
        <v>2</v>
      </c>
      <c r="DQ8" s="11">
        <v>2</v>
      </c>
      <c r="DR8" s="19">
        <v>1001</v>
      </c>
      <c r="DS8" s="223">
        <v>1</v>
      </c>
    </row>
    <row r="9" spans="1:124" x14ac:dyDescent="0.35">
      <c r="A9" s="1">
        <v>5</v>
      </c>
      <c r="B9" s="1" t="s">
        <v>556</v>
      </c>
      <c r="C9" s="56" t="s">
        <v>564</v>
      </c>
      <c r="D9" s="173">
        <v>2000000</v>
      </c>
      <c r="E9" s="6">
        <f>D10</f>
        <v>6000000</v>
      </c>
      <c r="F9" s="6">
        <v>-1</v>
      </c>
      <c r="G9" s="39" t="str">
        <f>CV45&amp;"|"&amp;CW45&amp;"|"&amp;CX45</f>
        <v>1|2|2000000</v>
      </c>
      <c r="H9" s="174" t="str">
        <f>CZ45&amp;"|"&amp;DA45&amp;"|"&amp;DB45</f>
        <v>1|2|400000</v>
      </c>
      <c r="I9" s="165">
        <f>DC45</f>
        <v>2120000</v>
      </c>
      <c r="J9" s="165">
        <f>DE45</f>
        <v>2000000</v>
      </c>
      <c r="K9" s="1">
        <f>AC54</f>
        <v>0</v>
      </c>
      <c r="L9" s="165">
        <f t="shared" ref="L9:N9" si="33">DG45</f>
        <v>1</v>
      </c>
      <c r="M9" s="165">
        <f t="shared" si="33"/>
        <v>0.3</v>
      </c>
      <c r="N9" s="1">
        <f t="shared" si="33"/>
        <v>7</v>
      </c>
      <c r="O9" s="1" t="s">
        <v>562</v>
      </c>
      <c r="P9" s="39" t="str">
        <f>CV46&amp;"|"&amp;CW46&amp;"|"&amp;CX46</f>
        <v>1|2|1000000</v>
      </c>
      <c r="Q9" s="174" t="str">
        <f>CZ46&amp;"|"&amp;DA46&amp;"|"&amp;DB46</f>
        <v>1|2|200000</v>
      </c>
      <c r="R9" s="165">
        <f>DC46</f>
        <v>1150000</v>
      </c>
      <c r="S9" s="165">
        <f>DE46</f>
        <v>1000000</v>
      </c>
      <c r="T9" s="1">
        <f>DF46</f>
        <v>0</v>
      </c>
      <c r="U9" s="165">
        <f t="shared" ref="U9:W9" si="34">DG46</f>
        <v>1</v>
      </c>
      <c r="V9" s="165">
        <f t="shared" si="34"/>
        <v>0.75</v>
      </c>
      <c r="W9" s="84">
        <f t="shared" si="34"/>
        <v>2</v>
      </c>
      <c r="X9" s="1" t="s">
        <v>226</v>
      </c>
      <c r="Y9" s="39" t="str">
        <f>CV47&amp;"|"&amp;CW47&amp;"|"&amp;CX47</f>
        <v>1|2|1500000</v>
      </c>
      <c r="Z9" s="165" t="str">
        <f>CZ47&amp;"|"&amp;DA47&amp;"|"&amp;DB47</f>
        <v>1|2|300000</v>
      </c>
      <c r="AA9" s="165">
        <f>DC47</f>
        <v>1725000</v>
      </c>
      <c r="AB9" s="165">
        <f>DE47</f>
        <v>1500000</v>
      </c>
      <c r="AC9" s="1">
        <f>DF47</f>
        <v>0</v>
      </c>
      <c r="AD9" s="165">
        <f t="shared" ref="AD9:AF9" si="35">DG47</f>
        <v>0.5</v>
      </c>
      <c r="AE9" s="165">
        <f t="shared" si="35"/>
        <v>0.75</v>
      </c>
      <c r="AF9" s="84">
        <f t="shared" si="35"/>
        <v>4</v>
      </c>
      <c r="AG9" s="1" t="s">
        <v>226</v>
      </c>
      <c r="AH9" s="39" t="str">
        <f>CV48&amp;"|"&amp;CW48&amp;"|"&amp;CX48</f>
        <v>1|2|2500000</v>
      </c>
      <c r="AI9" s="174" t="str">
        <f>CZ48&amp;"|"&amp;DA48&amp;"|"&amp;DB48</f>
        <v>1|2|500000</v>
      </c>
      <c r="AJ9" s="165">
        <f>DC48</f>
        <v>2875000</v>
      </c>
      <c r="AK9" s="165">
        <f>DE48</f>
        <v>2500000</v>
      </c>
      <c r="AL9" s="1">
        <f>DF48</f>
        <v>0</v>
      </c>
      <c r="AM9" s="165">
        <f t="shared" ref="AM9:AO9" si="36">DG48</f>
        <v>1</v>
      </c>
      <c r="AN9" s="165">
        <f t="shared" si="36"/>
        <v>0.75</v>
      </c>
      <c r="AO9" s="84">
        <f t="shared" si="36"/>
        <v>9</v>
      </c>
      <c r="AP9" s="1" t="s">
        <v>226</v>
      </c>
      <c r="AQ9" s="39" t="str">
        <f>CV49&amp;"|"&amp;CW49&amp;"|"&amp;CX49</f>
        <v>1|2|3500000</v>
      </c>
      <c r="AR9" s="174" t="str">
        <f>CZ49&amp;"|"&amp;DA49&amp;"|"&amp;DB49</f>
        <v>1|2|700000</v>
      </c>
      <c r="AS9" s="165">
        <f>DC49</f>
        <v>3850000</v>
      </c>
      <c r="AT9" s="165">
        <f>DE49</f>
        <v>3500000</v>
      </c>
      <c r="AU9" s="1">
        <f>DF49</f>
        <v>0</v>
      </c>
      <c r="AV9" s="165">
        <f t="shared" ref="AV9:AX9" si="37">DG49</f>
        <v>1</v>
      </c>
      <c r="AW9" s="165">
        <f t="shared" si="37"/>
        <v>0.5</v>
      </c>
      <c r="AX9" s="84">
        <f t="shared" si="37"/>
        <v>10</v>
      </c>
      <c r="AY9" s="1" t="s">
        <v>226</v>
      </c>
      <c r="AZ9" s="39" t="str">
        <f>CV50&amp;"|"&amp;CW50&amp;"|"&amp;CX50</f>
        <v>1|2|4500000</v>
      </c>
      <c r="BA9" s="174" t="str">
        <f>CZ50&amp;"|"&amp;DA50&amp;"|"&amp;DB50</f>
        <v>1|2|900000</v>
      </c>
      <c r="BB9" s="165">
        <f>DC50</f>
        <v>4770000</v>
      </c>
      <c r="BC9" s="165">
        <f>DE50</f>
        <v>4500000</v>
      </c>
      <c r="BD9" s="1">
        <f>DF50</f>
        <v>0</v>
      </c>
      <c r="BE9" s="165">
        <f t="shared" ref="BE9:BG9" si="38">DG50</f>
        <v>1</v>
      </c>
      <c r="BF9" s="165">
        <f t="shared" si="38"/>
        <v>0.3</v>
      </c>
      <c r="BG9" s="84">
        <f t="shared" si="38"/>
        <v>5</v>
      </c>
      <c r="BH9" s="1" t="s">
        <v>558</v>
      </c>
      <c r="BI9" s="39" t="str">
        <f>CV51&amp;"|"&amp;CW51&amp;"|"&amp;CX51</f>
        <v>2|1204|35000</v>
      </c>
      <c r="BJ9" s="174" t="str">
        <f>CZ51&amp;"|"&amp;DA51&amp;"|"&amp;DB51</f>
        <v>2|1204|7000</v>
      </c>
      <c r="BK9" s="165">
        <f>DC51</f>
        <v>5250000</v>
      </c>
      <c r="BL9" s="165">
        <f>DE51</f>
        <v>5250000</v>
      </c>
      <c r="BM9" s="1">
        <f>DF51</f>
        <v>0</v>
      </c>
      <c r="BN9" s="165">
        <f>DG51</f>
        <v>0</v>
      </c>
      <c r="BO9" s="165">
        <f>DH51</f>
        <v>0</v>
      </c>
      <c r="BP9" s="84">
        <f>DI51</f>
        <v>3</v>
      </c>
      <c r="BQ9" s="1" t="s">
        <v>558</v>
      </c>
      <c r="BR9" s="39" t="str">
        <f>CV52&amp;"|"&amp;CW52&amp;"|"&amp;CX52</f>
        <v>1|1|200</v>
      </c>
      <c r="BS9" s="174" t="str">
        <f>CZ52&amp;"|"&amp;DA52&amp;"|"&amp;DB52</f>
        <v>1|1|40</v>
      </c>
      <c r="BT9" s="165">
        <f>DC52</f>
        <v>4000000</v>
      </c>
      <c r="BU9" s="165">
        <f>DE52</f>
        <v>4000000</v>
      </c>
      <c r="BV9" s="1">
        <f>DF52</f>
        <v>0</v>
      </c>
      <c r="BW9" s="165">
        <f>DG52</f>
        <v>0</v>
      </c>
      <c r="BX9" s="165">
        <f>DH52</f>
        <v>0</v>
      </c>
      <c r="BY9" s="84">
        <f>DI52</f>
        <v>8</v>
      </c>
      <c r="BZ9" s="1" t="s">
        <v>558</v>
      </c>
      <c r="CA9" s="39" t="str">
        <f>CV53&amp;"|"&amp;CW53&amp;"|"&amp;CX53</f>
        <v>2|1006|3</v>
      </c>
      <c r="CB9" s="174" t="str">
        <f>CZ53&amp;"|"&amp;DA53&amp;"|"&amp;DB53</f>
        <v>2|1006|1</v>
      </c>
      <c r="CC9" s="165">
        <f>DC53</f>
        <v>6000000</v>
      </c>
      <c r="CD9" s="165">
        <f>DE53</f>
        <v>6000000</v>
      </c>
      <c r="CE9" s="1">
        <f>DF53</f>
        <v>0</v>
      </c>
      <c r="CF9" s="165">
        <f>DG53</f>
        <v>0</v>
      </c>
      <c r="CG9" s="165">
        <f>DH53</f>
        <v>0</v>
      </c>
      <c r="CH9" s="84">
        <f>DI53</f>
        <v>6</v>
      </c>
      <c r="CI9" s="1" t="s">
        <v>558</v>
      </c>
      <c r="CJ9" s="39" t="str">
        <f>CV54&amp;"|"&amp;CW54&amp;"|"&amp;CX54</f>
        <v>2|1007|2</v>
      </c>
      <c r="CK9" s="174" t="str">
        <f>CZ54&amp;"|"&amp;DA54&amp;"|"&amp;DB54</f>
        <v>2|1007|1</v>
      </c>
      <c r="CL9" s="165">
        <f>DC54</f>
        <v>10000000</v>
      </c>
      <c r="CM9" s="165">
        <f>DE54</f>
        <v>10000000</v>
      </c>
      <c r="CN9" s="1">
        <v>1</v>
      </c>
      <c r="CO9" s="165">
        <f>DG54</f>
        <v>0</v>
      </c>
      <c r="CP9" s="165">
        <f>DH54</f>
        <v>0</v>
      </c>
      <c r="CQ9" s="84">
        <f>DI54</f>
        <v>1</v>
      </c>
      <c r="CR9" s="59" t="s">
        <v>562</v>
      </c>
      <c r="CS9" s="6"/>
      <c r="CT9" s="359"/>
      <c r="CU9" s="194" t="s">
        <v>375</v>
      </c>
      <c r="CV9" s="70">
        <f t="shared" si="5"/>
        <v>1</v>
      </c>
      <c r="CW9" s="70">
        <f t="shared" si="6"/>
        <v>2</v>
      </c>
      <c r="CX9" s="195">
        <v>20000</v>
      </c>
      <c r="CY9" s="194" t="str">
        <f t="shared" si="7"/>
        <v>金币</v>
      </c>
      <c r="CZ9" s="196">
        <f t="shared" si="8"/>
        <v>1</v>
      </c>
      <c r="DA9" s="196">
        <f t="shared" si="9"/>
        <v>2</v>
      </c>
      <c r="DB9" s="195">
        <f t="shared" si="10"/>
        <v>4000</v>
      </c>
      <c r="DC9" s="196">
        <f t="shared" si="11"/>
        <v>22000</v>
      </c>
      <c r="DD9" s="196">
        <f t="shared" si="12"/>
        <v>4000</v>
      </c>
      <c r="DE9" s="70">
        <f t="shared" si="13"/>
        <v>20000</v>
      </c>
      <c r="DF9" s="70">
        <v>0</v>
      </c>
      <c r="DG9" s="213">
        <v>0.5</v>
      </c>
      <c r="DH9" s="214">
        <v>0.5</v>
      </c>
      <c r="DI9" s="11">
        <v>9</v>
      </c>
      <c r="DJ9" s="219"/>
      <c r="DN9" s="10" t="s">
        <v>398</v>
      </c>
      <c r="DO9" s="11">
        <f t="shared" ref="DO9:DO11" si="39">DP9/20</f>
        <v>0.25</v>
      </c>
      <c r="DP9" s="11">
        <v>5</v>
      </c>
      <c r="DQ9" s="11">
        <v>2</v>
      </c>
      <c r="DR9" s="19">
        <v>1002</v>
      </c>
      <c r="DS9" s="223">
        <v>1</v>
      </c>
    </row>
    <row r="10" spans="1:124" x14ac:dyDescent="0.35">
      <c r="A10" s="1">
        <v>6</v>
      </c>
      <c r="B10" s="1" t="s">
        <v>556</v>
      </c>
      <c r="C10" s="56" t="s">
        <v>565</v>
      </c>
      <c r="D10" s="173">
        <v>6000000</v>
      </c>
      <c r="E10" s="6">
        <f t="shared" ref="E10:E11" si="40">D11</f>
        <v>12000000</v>
      </c>
      <c r="F10" s="6">
        <v>-1</v>
      </c>
      <c r="G10" s="39" t="str">
        <f>CV55&amp;"|"&amp;CW55&amp;"|"&amp;CX55</f>
        <v>1|2|4500000</v>
      </c>
      <c r="H10" s="174" t="str">
        <f>CZ55&amp;"|"&amp;DA55&amp;"|"&amp;DB55</f>
        <v>1|2|900000</v>
      </c>
      <c r="I10" s="165">
        <f>DC55</f>
        <v>4770000</v>
      </c>
      <c r="J10" s="165">
        <f>DE55</f>
        <v>4500000</v>
      </c>
      <c r="K10" s="1">
        <f>AC64</f>
        <v>0</v>
      </c>
      <c r="L10" s="165">
        <f t="shared" ref="L10:N10" si="41">DG55</f>
        <v>1</v>
      </c>
      <c r="M10" s="165">
        <f t="shared" si="41"/>
        <v>0.3</v>
      </c>
      <c r="N10" s="1">
        <f t="shared" si="41"/>
        <v>4</v>
      </c>
      <c r="O10" s="1" t="s">
        <v>562</v>
      </c>
      <c r="P10" s="39" t="str">
        <f>CV56&amp;"|"&amp;CW56&amp;"|"&amp;CX56</f>
        <v>1|2|4000000</v>
      </c>
      <c r="Q10" s="174" t="str">
        <f>CZ56&amp;"|"&amp;DA56&amp;"|"&amp;DB56</f>
        <v>1|2|800000</v>
      </c>
      <c r="R10" s="165">
        <f>DC56</f>
        <v>4600000</v>
      </c>
      <c r="S10" s="165">
        <f>DE56</f>
        <v>4000000</v>
      </c>
      <c r="T10" s="1">
        <f>DF56</f>
        <v>0</v>
      </c>
      <c r="U10" s="165">
        <f t="shared" ref="U10:W10" si="42">DG56</f>
        <v>0.5</v>
      </c>
      <c r="V10" s="165">
        <f t="shared" si="42"/>
        <v>0.75</v>
      </c>
      <c r="W10" s="84">
        <f t="shared" si="42"/>
        <v>2</v>
      </c>
      <c r="X10" s="1" t="s">
        <v>226</v>
      </c>
      <c r="Y10" s="39" t="str">
        <f>CV57&amp;"|"&amp;CW57&amp;"|"&amp;CX57</f>
        <v>1|2|5000000</v>
      </c>
      <c r="Z10" s="165" t="str">
        <f>CZ57&amp;"|"&amp;DA57&amp;"|"&amp;DB57</f>
        <v>1|2|1000000</v>
      </c>
      <c r="AA10" s="165">
        <f>DC57</f>
        <v>5750000</v>
      </c>
      <c r="AB10" s="165">
        <f>DE57</f>
        <v>5000000</v>
      </c>
      <c r="AC10" s="1">
        <f>DF57</f>
        <v>0</v>
      </c>
      <c r="AD10" s="165">
        <f t="shared" ref="AD10:AF10" si="43">DG57</f>
        <v>1</v>
      </c>
      <c r="AE10" s="165">
        <f t="shared" si="43"/>
        <v>0.75</v>
      </c>
      <c r="AF10" s="84">
        <f t="shared" si="43"/>
        <v>7</v>
      </c>
      <c r="AG10" s="1" t="s">
        <v>226</v>
      </c>
      <c r="AH10" s="39" t="str">
        <f>CV58&amp;"|"&amp;CW58&amp;"|"&amp;CX58</f>
        <v>1|2|6000000</v>
      </c>
      <c r="AI10" s="174" t="str">
        <f>CZ58&amp;"|"&amp;DA58&amp;"|"&amp;DB58</f>
        <v>1|2|1200000</v>
      </c>
      <c r="AJ10" s="165">
        <f>DC58</f>
        <v>6900000</v>
      </c>
      <c r="AK10" s="165">
        <f>DE58</f>
        <v>6000000</v>
      </c>
      <c r="AL10" s="1">
        <f>DF58</f>
        <v>0</v>
      </c>
      <c r="AM10" s="165">
        <f t="shared" ref="AM10:AO10" si="44">DG58</f>
        <v>1</v>
      </c>
      <c r="AN10" s="165">
        <f t="shared" si="44"/>
        <v>0.75</v>
      </c>
      <c r="AO10" s="84">
        <f t="shared" si="44"/>
        <v>9</v>
      </c>
      <c r="AP10" s="59" t="s">
        <v>226</v>
      </c>
      <c r="AQ10" s="39" t="str">
        <f>CV59&amp;"|"&amp;CW59&amp;"|"&amp;CX59</f>
        <v>1|2|7000000</v>
      </c>
      <c r="AR10" s="174" t="str">
        <f>CZ59&amp;"|"&amp;DA59&amp;"|"&amp;DB59</f>
        <v>1|2|1400000</v>
      </c>
      <c r="AS10" s="165">
        <f>DC59</f>
        <v>7700000</v>
      </c>
      <c r="AT10" s="165">
        <f>DE59</f>
        <v>7000000</v>
      </c>
      <c r="AU10" s="1">
        <f>DF59</f>
        <v>0</v>
      </c>
      <c r="AV10" s="165">
        <f t="shared" ref="AV10:AX10" si="45">DG59</f>
        <v>1</v>
      </c>
      <c r="AW10" s="165">
        <f t="shared" si="45"/>
        <v>0.5</v>
      </c>
      <c r="AX10" s="84">
        <f t="shared" si="45"/>
        <v>10</v>
      </c>
      <c r="AY10" s="59" t="s">
        <v>226</v>
      </c>
      <c r="AZ10" s="39" t="str">
        <f>CV60&amp;"|"&amp;CW60&amp;"|"&amp;CX60</f>
        <v>1|2|8000000</v>
      </c>
      <c r="BA10" s="174" t="str">
        <f>CZ60&amp;"|"&amp;DA60&amp;"|"&amp;DB60</f>
        <v>1|2|1600000</v>
      </c>
      <c r="BB10" s="165">
        <f>DC60</f>
        <v>8480000</v>
      </c>
      <c r="BC10" s="165">
        <f>DE60</f>
        <v>8000000</v>
      </c>
      <c r="BD10" s="1">
        <f>DF60</f>
        <v>0</v>
      </c>
      <c r="BE10" s="165">
        <f t="shared" ref="BE10:BG10" si="46">DG60</f>
        <v>1</v>
      </c>
      <c r="BF10" s="165">
        <f t="shared" si="46"/>
        <v>0.3</v>
      </c>
      <c r="BG10" s="84">
        <f t="shared" si="46"/>
        <v>8</v>
      </c>
      <c r="BH10" s="59" t="s">
        <v>226</v>
      </c>
      <c r="BI10" s="39" t="str">
        <f>CV61&amp;"|"&amp;CW61&amp;"|"&amp;CX61</f>
        <v>2|1204|60000</v>
      </c>
      <c r="BJ10" s="174" t="str">
        <f>CZ61&amp;"|"&amp;DA61&amp;"|"&amp;DB61</f>
        <v>2|1204|12000</v>
      </c>
      <c r="BK10" s="165">
        <f>DC61</f>
        <v>9000000</v>
      </c>
      <c r="BL10" s="165">
        <f>DE61</f>
        <v>9000000</v>
      </c>
      <c r="BM10" s="1">
        <f>DF61</f>
        <v>0</v>
      </c>
      <c r="BN10" s="165">
        <f>DG61</f>
        <v>0</v>
      </c>
      <c r="BO10" s="165">
        <f>DH61</f>
        <v>0</v>
      </c>
      <c r="BP10" s="84">
        <f>DI61</f>
        <v>3</v>
      </c>
      <c r="BQ10" s="59" t="s">
        <v>558</v>
      </c>
      <c r="BR10" s="39" t="str">
        <f>CV62&amp;"|"&amp;CW62&amp;"|"&amp;CX62</f>
        <v>1|1|400</v>
      </c>
      <c r="BS10" s="174" t="str">
        <f>CZ62&amp;"|"&amp;DA62&amp;"|"&amp;DB62</f>
        <v>1|1|80</v>
      </c>
      <c r="BT10" s="165">
        <f>DC62</f>
        <v>8000000</v>
      </c>
      <c r="BU10" s="165">
        <f>DE62</f>
        <v>8000000</v>
      </c>
      <c r="BV10" s="1">
        <f>DF62</f>
        <v>0</v>
      </c>
      <c r="BW10" s="165">
        <f>DG62</f>
        <v>0</v>
      </c>
      <c r="BX10" s="165">
        <f>DH62</f>
        <v>0</v>
      </c>
      <c r="BY10" s="84">
        <f>DI62</f>
        <v>5</v>
      </c>
      <c r="BZ10" s="59" t="s">
        <v>558</v>
      </c>
      <c r="CA10" s="39" t="str">
        <f>CV63&amp;"|"&amp;CW63&amp;"|"&amp;CX63</f>
        <v>2|1007|2</v>
      </c>
      <c r="CB10" s="174" t="str">
        <f>CZ63&amp;"|"&amp;DA63&amp;"|"&amp;DB63</f>
        <v>2|1007|1</v>
      </c>
      <c r="CC10" s="165">
        <f>DC63</f>
        <v>10000000</v>
      </c>
      <c r="CD10" s="165">
        <f>DE63</f>
        <v>10000000</v>
      </c>
      <c r="CE10" s="1">
        <f>DF63</f>
        <v>0</v>
      </c>
      <c r="CF10" s="165">
        <f>DG63</f>
        <v>0</v>
      </c>
      <c r="CG10" s="165">
        <f>DH63</f>
        <v>0</v>
      </c>
      <c r="CH10" s="84">
        <f>DI63</f>
        <v>6</v>
      </c>
      <c r="CI10" s="1" t="s">
        <v>558</v>
      </c>
      <c r="CJ10" s="39" t="str">
        <f>CV64&amp;"|"&amp;CW64&amp;"|"&amp;CX64</f>
        <v>2|1008|2</v>
      </c>
      <c r="CK10" s="174" t="str">
        <f>CZ64&amp;"|"&amp;DA64&amp;"|"&amp;DB64</f>
        <v>2|1008|1</v>
      </c>
      <c r="CL10" s="165">
        <f>DC64</f>
        <v>20000000</v>
      </c>
      <c r="CM10" s="165">
        <f>DE64</f>
        <v>20000000</v>
      </c>
      <c r="CN10" s="1">
        <v>1</v>
      </c>
      <c r="CO10" s="165">
        <f>DG64</f>
        <v>0</v>
      </c>
      <c r="CP10" s="165">
        <f>DH64</f>
        <v>0</v>
      </c>
      <c r="CQ10" s="84">
        <f>DI64</f>
        <v>1</v>
      </c>
      <c r="CR10" s="59" t="s">
        <v>562</v>
      </c>
      <c r="CS10" s="6"/>
      <c r="CT10" s="359"/>
      <c r="CU10" s="194" t="s">
        <v>375</v>
      </c>
      <c r="CV10" s="70">
        <f t="shared" si="5"/>
        <v>1</v>
      </c>
      <c r="CW10" s="70">
        <f t="shared" si="6"/>
        <v>2</v>
      </c>
      <c r="CX10" s="195">
        <v>40000</v>
      </c>
      <c r="CY10" s="194" t="str">
        <f t="shared" si="7"/>
        <v>金币</v>
      </c>
      <c r="CZ10" s="196">
        <f t="shared" si="8"/>
        <v>1</v>
      </c>
      <c r="DA10" s="196">
        <f t="shared" si="9"/>
        <v>2</v>
      </c>
      <c r="DB10" s="195">
        <f t="shared" si="10"/>
        <v>8000</v>
      </c>
      <c r="DC10" s="196">
        <f t="shared" si="11"/>
        <v>42400</v>
      </c>
      <c r="DD10" s="196">
        <f t="shared" si="12"/>
        <v>8000</v>
      </c>
      <c r="DE10" s="70">
        <f t="shared" si="13"/>
        <v>40000</v>
      </c>
      <c r="DF10" s="70">
        <v>0</v>
      </c>
      <c r="DG10" s="213">
        <v>1</v>
      </c>
      <c r="DH10" s="214">
        <v>0.3</v>
      </c>
      <c r="DI10" s="11">
        <v>10</v>
      </c>
      <c r="DJ10" s="219"/>
      <c r="DN10" s="10" t="s">
        <v>402</v>
      </c>
      <c r="DO10" s="11">
        <f t="shared" si="39"/>
        <v>0.5</v>
      </c>
      <c r="DP10" s="11">
        <v>10</v>
      </c>
      <c r="DQ10" s="11">
        <v>2</v>
      </c>
      <c r="DR10" s="19">
        <v>1003</v>
      </c>
      <c r="DS10" s="223">
        <v>1</v>
      </c>
    </row>
    <row r="11" spans="1:124" ht="16.5" customHeight="1" x14ac:dyDescent="0.35">
      <c r="A11" s="1">
        <v>7</v>
      </c>
      <c r="B11" s="1" t="s">
        <v>566</v>
      </c>
      <c r="C11" s="56" t="s">
        <v>567</v>
      </c>
      <c r="D11" s="173">
        <v>12000000</v>
      </c>
      <c r="E11" s="6">
        <f t="shared" si="40"/>
        <v>24000000</v>
      </c>
      <c r="F11" s="6">
        <v>-1</v>
      </c>
      <c r="G11" s="39" t="str">
        <f>CV65&amp;"|"&amp;CW65&amp;"|"&amp;CX65</f>
        <v>2|1008|4</v>
      </c>
      <c r="H11" s="174" t="str">
        <f>CZ65&amp;"|"&amp;DA65&amp;"|"&amp;DB65</f>
        <v>2|1008|1</v>
      </c>
      <c r="I11" s="165">
        <f>DC65</f>
        <v>43000000</v>
      </c>
      <c r="J11" s="165">
        <f>DE65</f>
        <v>40000000</v>
      </c>
      <c r="K11" s="1">
        <v>1</v>
      </c>
      <c r="L11" s="165">
        <f>DG65</f>
        <v>1</v>
      </c>
      <c r="M11" s="165">
        <f>DH65</f>
        <v>0.3</v>
      </c>
      <c r="N11" s="1">
        <f>DI65</f>
        <v>1</v>
      </c>
      <c r="O11" s="1" t="s">
        <v>562</v>
      </c>
      <c r="P11" s="39" t="str">
        <f>CV66&amp;"|"&amp;CW66&amp;"|"&amp;CX66</f>
        <v>1|2|8000000</v>
      </c>
      <c r="Q11" s="174" t="str">
        <f>CZ66&amp;"|"&amp;DA66&amp;"|"&amp;DB66</f>
        <v>1|2|1600000</v>
      </c>
      <c r="R11" s="165">
        <f>DC66</f>
        <v>9200000</v>
      </c>
      <c r="S11" s="165">
        <f>DE66</f>
        <v>8000000</v>
      </c>
      <c r="T11" s="1">
        <f>DF66</f>
        <v>0</v>
      </c>
      <c r="U11" s="165">
        <f>DG66</f>
        <v>0.5</v>
      </c>
      <c r="V11" s="165">
        <f>DH66</f>
        <v>0.75</v>
      </c>
      <c r="W11" s="84">
        <f>DI66</f>
        <v>2</v>
      </c>
      <c r="X11" s="59" t="s">
        <v>558</v>
      </c>
      <c r="Y11" s="39" t="str">
        <f>CV67&amp;"|"&amp;CW67&amp;"|"&amp;CX67</f>
        <v>1|2|10000000</v>
      </c>
      <c r="Z11" s="165" t="str">
        <f>CZ67&amp;"|"&amp;DA67&amp;"|"&amp;DB67</f>
        <v>1|2|2000000</v>
      </c>
      <c r="AA11" s="165">
        <f>DC67</f>
        <v>11500000</v>
      </c>
      <c r="AB11" s="165">
        <f>DE67</f>
        <v>10000000</v>
      </c>
      <c r="AC11" s="1">
        <f>DF67</f>
        <v>0</v>
      </c>
      <c r="AD11" s="165">
        <f>DG67</f>
        <v>1</v>
      </c>
      <c r="AE11" s="165">
        <f>DH67</f>
        <v>0.75</v>
      </c>
      <c r="AF11" s="84">
        <f>DI67</f>
        <v>4</v>
      </c>
      <c r="AG11" s="59" t="s">
        <v>558</v>
      </c>
      <c r="AH11" s="39" t="str">
        <f>CV68&amp;"|"&amp;CW68&amp;"|"&amp;CX68</f>
        <v>1|2|12000000</v>
      </c>
      <c r="AI11" s="174" t="str">
        <f>CZ68&amp;"|"&amp;DA68&amp;"|"&amp;DB68</f>
        <v>1|2|2400000</v>
      </c>
      <c r="AJ11" s="165">
        <f>DC68</f>
        <v>13800000</v>
      </c>
      <c r="AK11" s="165">
        <f>DE68</f>
        <v>12000000</v>
      </c>
      <c r="AL11" s="1">
        <f>DF68</f>
        <v>0</v>
      </c>
      <c r="AM11" s="165">
        <f>DG68</f>
        <v>1</v>
      </c>
      <c r="AN11" s="165">
        <f>DH68</f>
        <v>0.75</v>
      </c>
      <c r="AO11" s="84">
        <f>DI68</f>
        <v>7</v>
      </c>
      <c r="AP11" s="59" t="s">
        <v>558</v>
      </c>
      <c r="AQ11" s="39" t="str">
        <f>CV69&amp;"|"&amp;CW69&amp;"|"&amp;CX69</f>
        <v>1|2|14000000</v>
      </c>
      <c r="AR11" s="174" t="str">
        <f>CZ69&amp;"|"&amp;DA69&amp;"|"&amp;DB69</f>
        <v>1|2|2800000</v>
      </c>
      <c r="AS11" s="165">
        <f>DC69</f>
        <v>15400000</v>
      </c>
      <c r="AT11" s="165">
        <f>DE69</f>
        <v>14000000</v>
      </c>
      <c r="AU11" s="1">
        <f>DF69</f>
        <v>0</v>
      </c>
      <c r="AV11" s="165">
        <f>DG69</f>
        <v>1</v>
      </c>
      <c r="AW11" s="165">
        <f>DH69</f>
        <v>0.5</v>
      </c>
      <c r="AX11" s="84">
        <f>DI69</f>
        <v>9</v>
      </c>
      <c r="AY11" s="59" t="s">
        <v>558</v>
      </c>
      <c r="AZ11" s="39" t="str">
        <f>CV70&amp;"|"&amp;CW70&amp;"|"&amp;CX70</f>
        <v>1|2|16000000</v>
      </c>
      <c r="BA11" s="174" t="str">
        <f>CZ70&amp;"|"&amp;DA70&amp;"|"&amp;DB70</f>
        <v>1|2|3200000</v>
      </c>
      <c r="BB11" s="165">
        <f>DC70</f>
        <v>16960000</v>
      </c>
      <c r="BC11" s="165">
        <f>DE70</f>
        <v>16000000</v>
      </c>
      <c r="BD11" s="1">
        <f>DF70</f>
        <v>0</v>
      </c>
      <c r="BE11" s="165">
        <f>DG70</f>
        <v>1</v>
      </c>
      <c r="BF11" s="165">
        <f>DH70</f>
        <v>0.3</v>
      </c>
      <c r="BG11" s="84">
        <f>DI70</f>
        <v>10</v>
      </c>
      <c r="BH11" s="59" t="s">
        <v>562</v>
      </c>
      <c r="BI11" s="39" t="str">
        <f>CV71&amp;"|"&amp;CW71&amp;"|"&amp;CX71</f>
        <v>1|2|18000000</v>
      </c>
      <c r="BJ11" s="174" t="str">
        <f>CZ71&amp;"|"&amp;DA71&amp;"|"&amp;DB71</f>
        <v>1|2|3600000</v>
      </c>
      <c r="BK11" s="165">
        <f>DC71</f>
        <v>18000000</v>
      </c>
      <c r="BL11" s="165">
        <f>DE71</f>
        <v>18000000</v>
      </c>
      <c r="BM11" s="1">
        <f>DF71</f>
        <v>0</v>
      </c>
      <c r="BN11" s="165">
        <f>DG71</f>
        <v>0</v>
      </c>
      <c r="BO11" s="165">
        <f>DH71</f>
        <v>0</v>
      </c>
      <c r="BP11" s="84">
        <f>DI71</f>
        <v>8</v>
      </c>
      <c r="BQ11" s="59" t="s">
        <v>562</v>
      </c>
      <c r="BR11" s="39" t="str">
        <f>CV72&amp;"|"&amp;CW72&amp;"|"&amp;CX72</f>
        <v>1|2|20000000</v>
      </c>
      <c r="BS11" s="174" t="str">
        <f>CZ72&amp;"|"&amp;DA72&amp;"|"&amp;DB72</f>
        <v>1|2|4000000</v>
      </c>
      <c r="BT11" s="165">
        <f>DC72</f>
        <v>20000000</v>
      </c>
      <c r="BU11" s="165">
        <f>DE72</f>
        <v>20000000</v>
      </c>
      <c r="BV11" s="1">
        <f>DF72</f>
        <v>0</v>
      </c>
      <c r="BW11" s="165">
        <f>DG72</f>
        <v>0</v>
      </c>
      <c r="BX11" s="165">
        <f>DH72</f>
        <v>0</v>
      </c>
      <c r="BY11" s="84">
        <f>DI72</f>
        <v>5</v>
      </c>
      <c r="BZ11" s="59" t="s">
        <v>562</v>
      </c>
      <c r="CA11" s="39" t="str">
        <f>CV73&amp;"|"&amp;CW73&amp;"|"&amp;CX73</f>
        <v>2|1007|4</v>
      </c>
      <c r="CB11" s="174" t="str">
        <f>CZ73&amp;"|"&amp;DA73&amp;"|"&amp;DB73</f>
        <v>2|1007|1</v>
      </c>
      <c r="CC11" s="165">
        <f>DC73</f>
        <v>20000000</v>
      </c>
      <c r="CD11" s="165">
        <f>DE73</f>
        <v>20000000</v>
      </c>
      <c r="CE11" s="1">
        <f>DF73</f>
        <v>0</v>
      </c>
      <c r="CF11" s="165">
        <f>DG73</f>
        <v>0</v>
      </c>
      <c r="CG11" s="165">
        <f>DH73</f>
        <v>0</v>
      </c>
      <c r="CH11" s="84">
        <f>DI73</f>
        <v>3</v>
      </c>
      <c r="CI11" s="1" t="s">
        <v>562</v>
      </c>
      <c r="CJ11" s="39" t="str">
        <f>CV74&amp;"|"&amp;CW74&amp;"|"&amp;CX74</f>
        <v>2|1008|3</v>
      </c>
      <c r="CK11" s="174" t="str">
        <f>CZ74&amp;"|"&amp;DA74&amp;"|"&amp;DB74</f>
        <v>2|1008|1</v>
      </c>
      <c r="CL11" s="165">
        <f>DC74</f>
        <v>30000000</v>
      </c>
      <c r="CM11" s="165">
        <f>DE74</f>
        <v>30000000</v>
      </c>
      <c r="CN11" s="1">
        <v>0</v>
      </c>
      <c r="CO11" s="165">
        <f>DG74</f>
        <v>0</v>
      </c>
      <c r="CP11" s="165">
        <f>DH74</f>
        <v>0</v>
      </c>
      <c r="CQ11" s="84">
        <f>DI74</f>
        <v>6</v>
      </c>
      <c r="CR11" s="59" t="s">
        <v>562</v>
      </c>
      <c r="CS11" s="6"/>
      <c r="CT11" s="359"/>
      <c r="CU11" s="194" t="s">
        <v>375</v>
      </c>
      <c r="CV11" s="70">
        <f t="shared" si="5"/>
        <v>1</v>
      </c>
      <c r="CW11" s="70">
        <f t="shared" si="6"/>
        <v>2</v>
      </c>
      <c r="CX11" s="195">
        <v>60000</v>
      </c>
      <c r="CY11" s="194" t="str">
        <f t="shared" si="7"/>
        <v>金币</v>
      </c>
      <c r="CZ11" s="196">
        <f t="shared" si="8"/>
        <v>1</v>
      </c>
      <c r="DA11" s="196">
        <f t="shared" si="9"/>
        <v>2</v>
      </c>
      <c r="DB11" s="195">
        <v>250</v>
      </c>
      <c r="DC11" s="196">
        <f t="shared" si="11"/>
        <v>60000</v>
      </c>
      <c r="DD11" s="196">
        <f t="shared" si="12"/>
        <v>250</v>
      </c>
      <c r="DE11" s="70">
        <f t="shared" si="13"/>
        <v>60000</v>
      </c>
      <c r="DF11" s="70">
        <v>0</v>
      </c>
      <c r="DG11" s="11"/>
      <c r="DH11" s="11"/>
      <c r="DI11" s="11">
        <v>8</v>
      </c>
      <c r="DJ11" s="219"/>
      <c r="DN11" s="10" t="s">
        <v>401</v>
      </c>
      <c r="DO11" s="11">
        <f t="shared" si="39"/>
        <v>0.1</v>
      </c>
      <c r="DP11" s="11">
        <v>2</v>
      </c>
      <c r="DQ11" s="11">
        <v>2</v>
      </c>
      <c r="DR11" s="19">
        <v>1004</v>
      </c>
      <c r="DS11" s="223">
        <v>1</v>
      </c>
    </row>
    <row r="12" spans="1:124" ht="16.5" customHeight="1" x14ac:dyDescent="0.35">
      <c r="A12" s="1">
        <v>8</v>
      </c>
      <c r="B12" s="1" t="s">
        <v>568</v>
      </c>
      <c r="C12" s="56" t="s">
        <v>569</v>
      </c>
      <c r="D12" s="173">
        <v>24000000</v>
      </c>
      <c r="E12" s="6">
        <v>999999999</v>
      </c>
      <c r="F12" s="6">
        <v>-1</v>
      </c>
      <c r="G12" s="39" t="str">
        <f>CV75&amp;"|"&amp;CW75&amp;"|"&amp;CX75</f>
        <v>2|1008|6</v>
      </c>
      <c r="H12" s="174" t="str">
        <f>CZ75&amp;"|"&amp;DA75&amp;"|"&amp;DB75</f>
        <v>2|1008|2</v>
      </c>
      <c r="I12" s="165">
        <f>DC75</f>
        <v>66000000</v>
      </c>
      <c r="J12" s="165">
        <f>DE75</f>
        <v>60000000</v>
      </c>
      <c r="K12" s="1">
        <v>1</v>
      </c>
      <c r="L12" s="165">
        <f>DG75</f>
        <v>1</v>
      </c>
      <c r="M12" s="165">
        <f>DH75</f>
        <v>0.3</v>
      </c>
      <c r="N12" s="1">
        <f>DI75</f>
        <v>1</v>
      </c>
      <c r="O12" s="1" t="s">
        <v>562</v>
      </c>
      <c r="P12" s="39" t="str">
        <f>CV76&amp;"|"&amp;CW76&amp;"|"&amp;CX76</f>
        <v>1|2|20000000</v>
      </c>
      <c r="Q12" s="174" t="str">
        <f>CZ76&amp;"|"&amp;DA76&amp;"|"&amp;DB76</f>
        <v>1|2|4000000</v>
      </c>
      <c r="R12" s="165">
        <f>DC76</f>
        <v>23000000</v>
      </c>
      <c r="S12" s="165">
        <f>DE76</f>
        <v>20000000</v>
      </c>
      <c r="T12" s="1">
        <f>DF76</f>
        <v>0</v>
      </c>
      <c r="U12" s="165">
        <f>DG76</f>
        <v>0.5</v>
      </c>
      <c r="V12" s="165">
        <f>DH76</f>
        <v>0.75</v>
      </c>
      <c r="W12" s="84">
        <f>DI76</f>
        <v>9</v>
      </c>
      <c r="X12" s="59" t="s">
        <v>562</v>
      </c>
      <c r="Y12" s="39" t="str">
        <f>CV77&amp;"|"&amp;CW77&amp;"|"&amp;CX77</f>
        <v>1|2|25000000</v>
      </c>
      <c r="Z12" s="165" t="str">
        <f>CZ77&amp;"|"&amp;DA77&amp;"|"&amp;DB77</f>
        <v>1|2|5000000</v>
      </c>
      <c r="AA12" s="165">
        <f>DC77</f>
        <v>28750000</v>
      </c>
      <c r="AB12" s="165">
        <f>DE77</f>
        <v>25000000</v>
      </c>
      <c r="AC12" s="1">
        <f>DF77</f>
        <v>0</v>
      </c>
      <c r="AD12" s="165">
        <f>DG77</f>
        <v>1</v>
      </c>
      <c r="AE12" s="165">
        <f>DH77</f>
        <v>0.75</v>
      </c>
      <c r="AF12" s="84">
        <f>DI77</f>
        <v>7</v>
      </c>
      <c r="AG12" s="59" t="s">
        <v>562</v>
      </c>
      <c r="AH12" s="39" t="str">
        <f>CV78&amp;"|"&amp;CW78&amp;"|"&amp;CX78</f>
        <v>1|2|30000000</v>
      </c>
      <c r="AI12" s="174" t="str">
        <f>CZ78&amp;"|"&amp;DA78&amp;"|"&amp;DB78</f>
        <v>1|2|6000000</v>
      </c>
      <c r="AJ12" s="165">
        <f>DC78</f>
        <v>34500000</v>
      </c>
      <c r="AK12" s="165">
        <f>DE78</f>
        <v>30000000</v>
      </c>
      <c r="AL12" s="1">
        <f>DF78</f>
        <v>0</v>
      </c>
      <c r="AM12" s="165">
        <f>DG78</f>
        <v>1</v>
      </c>
      <c r="AN12" s="165">
        <f>DH78</f>
        <v>0.75</v>
      </c>
      <c r="AO12" s="84">
        <f>DI78</f>
        <v>4</v>
      </c>
      <c r="AP12" s="59" t="s">
        <v>562</v>
      </c>
      <c r="AQ12" s="39" t="str">
        <f>CV79&amp;"|"&amp;CW79&amp;"|"&amp;CX79</f>
        <v>1|2|35000000</v>
      </c>
      <c r="AR12" s="174" t="str">
        <f>CZ79&amp;"|"&amp;DA79&amp;"|"&amp;DB79</f>
        <v>1|2|7000000</v>
      </c>
      <c r="AS12" s="165">
        <f>DC79</f>
        <v>38500000</v>
      </c>
      <c r="AT12" s="165">
        <f>DE79</f>
        <v>35000000</v>
      </c>
      <c r="AU12" s="1">
        <f>DF79</f>
        <v>0</v>
      </c>
      <c r="AV12" s="165">
        <f>DG79</f>
        <v>1</v>
      </c>
      <c r="AW12" s="165">
        <f>DH79</f>
        <v>0.5</v>
      </c>
      <c r="AX12" s="84">
        <f>DI79</f>
        <v>2</v>
      </c>
      <c r="AY12" s="59" t="s">
        <v>562</v>
      </c>
      <c r="AZ12" s="39" t="str">
        <f>CV80&amp;"|"&amp;CW80&amp;"|"&amp;CX80</f>
        <v>1|2|40000000</v>
      </c>
      <c r="BA12" s="174" t="str">
        <f>CZ80&amp;"|"&amp;DA80&amp;"|"&amp;DB80</f>
        <v>1|2|8000000</v>
      </c>
      <c r="BB12" s="165">
        <f>DC80</f>
        <v>42400000</v>
      </c>
      <c r="BC12" s="165">
        <f>DE80</f>
        <v>40000000</v>
      </c>
      <c r="BD12" s="1">
        <f>DF80</f>
        <v>0</v>
      </c>
      <c r="BE12" s="165">
        <f>DG80</f>
        <v>1</v>
      </c>
      <c r="BF12" s="165">
        <f>DH80</f>
        <v>0.3</v>
      </c>
      <c r="BG12" s="84">
        <f>DI80</f>
        <v>10</v>
      </c>
      <c r="BH12" s="59" t="s">
        <v>562</v>
      </c>
      <c r="BI12" s="39" t="str">
        <f>CV81&amp;"|"&amp;CW81&amp;"|"&amp;CX81</f>
        <v>1|2|45000000</v>
      </c>
      <c r="BJ12" s="174" t="str">
        <f>CZ81&amp;"|"&amp;DA81&amp;"|"&amp;DB81</f>
        <v>1|2|9000000</v>
      </c>
      <c r="BK12" s="165">
        <f>DC81</f>
        <v>45000000</v>
      </c>
      <c r="BL12" s="165">
        <f>DE81</f>
        <v>45000000</v>
      </c>
      <c r="BM12" s="1">
        <f>DF81</f>
        <v>0</v>
      </c>
      <c r="BN12" s="165">
        <f>DG81</f>
        <v>0</v>
      </c>
      <c r="BO12" s="165">
        <f>DH81</f>
        <v>0</v>
      </c>
      <c r="BP12" s="84">
        <f>DI81</f>
        <v>8</v>
      </c>
      <c r="BQ12" s="59" t="s">
        <v>562</v>
      </c>
      <c r="BR12" s="39" t="str">
        <f>CV82&amp;"|"&amp;CW82&amp;"|"&amp;CX82</f>
        <v>2|1007|7</v>
      </c>
      <c r="BS12" s="174" t="str">
        <f>CZ82&amp;"|"&amp;DA82&amp;"|"&amp;DB82</f>
        <v>2|1007|2</v>
      </c>
      <c r="BT12" s="165">
        <f>DC82</f>
        <v>35000000</v>
      </c>
      <c r="BU12" s="165">
        <f>DE82</f>
        <v>35000000</v>
      </c>
      <c r="BV12" s="1">
        <f>DF82</f>
        <v>0</v>
      </c>
      <c r="BW12" s="165">
        <f>DG82</f>
        <v>0</v>
      </c>
      <c r="BX12" s="165">
        <f>DH82</f>
        <v>0</v>
      </c>
      <c r="BY12" s="84">
        <f>DI82</f>
        <v>5</v>
      </c>
      <c r="BZ12" s="59" t="s">
        <v>562</v>
      </c>
      <c r="CA12" s="39" t="str">
        <f>CV83&amp;"|"&amp;CW83&amp;"|"&amp;CX83</f>
        <v>2|1007|8</v>
      </c>
      <c r="CB12" s="174" t="str">
        <f>CZ83&amp;"|"&amp;DA83&amp;"|"&amp;DB83</f>
        <v>2|1007|2</v>
      </c>
      <c r="CC12" s="165">
        <f>DC83</f>
        <v>40000000</v>
      </c>
      <c r="CD12" s="165">
        <f>DE83</f>
        <v>40000000</v>
      </c>
      <c r="CE12" s="1">
        <f>DF83</f>
        <v>0</v>
      </c>
      <c r="CF12" s="165">
        <f>DG83</f>
        <v>0</v>
      </c>
      <c r="CG12" s="165">
        <f>DH83</f>
        <v>0</v>
      </c>
      <c r="CH12" s="84">
        <f>DI83</f>
        <v>3</v>
      </c>
      <c r="CI12" s="1" t="s">
        <v>562</v>
      </c>
      <c r="CJ12" s="39" t="str">
        <f>CV84&amp;"|"&amp;CW84&amp;"|"&amp;CX84</f>
        <v>2|1008|5</v>
      </c>
      <c r="CK12" s="174" t="str">
        <f>CZ84&amp;"|"&amp;DA84&amp;"|"&amp;DB84</f>
        <v>2|1008|1</v>
      </c>
      <c r="CL12" s="165">
        <f>DC84</f>
        <v>50000000</v>
      </c>
      <c r="CM12" s="165">
        <f>DE84</f>
        <v>50000000</v>
      </c>
      <c r="CN12" s="1">
        <v>0</v>
      </c>
      <c r="CO12" s="165">
        <f>DG84</f>
        <v>0</v>
      </c>
      <c r="CP12" s="165">
        <f>DH84</f>
        <v>0</v>
      </c>
      <c r="CQ12" s="84">
        <f>DI84</f>
        <v>6</v>
      </c>
      <c r="CR12" s="59" t="s">
        <v>562</v>
      </c>
      <c r="CS12" s="6"/>
      <c r="CT12" s="359"/>
      <c r="CU12" s="194" t="s">
        <v>375</v>
      </c>
      <c r="CV12" s="70">
        <f t="shared" si="5"/>
        <v>1</v>
      </c>
      <c r="CW12" s="70">
        <f t="shared" si="6"/>
        <v>2</v>
      </c>
      <c r="CX12" s="195">
        <v>80000</v>
      </c>
      <c r="CY12" s="194" t="str">
        <f t="shared" si="7"/>
        <v>金币</v>
      </c>
      <c r="CZ12" s="196">
        <f t="shared" si="8"/>
        <v>1</v>
      </c>
      <c r="DA12" s="196">
        <f t="shared" si="9"/>
        <v>2</v>
      </c>
      <c r="DB12" s="195">
        <v>260</v>
      </c>
      <c r="DC12" s="196">
        <f t="shared" si="11"/>
        <v>80000</v>
      </c>
      <c r="DD12" s="196">
        <f t="shared" si="12"/>
        <v>260</v>
      </c>
      <c r="DE12" s="70">
        <f t="shared" si="13"/>
        <v>80000</v>
      </c>
      <c r="DF12" s="70">
        <v>0</v>
      </c>
      <c r="DG12" s="11"/>
      <c r="DH12" s="11"/>
      <c r="DI12" s="11">
        <v>5</v>
      </c>
      <c r="DJ12" s="219"/>
      <c r="DM12"/>
      <c r="DN12" s="10" t="s">
        <v>364</v>
      </c>
      <c r="DO12" s="11">
        <f>DO7*150</f>
        <v>7.5000000000000002E-4</v>
      </c>
      <c r="DP12" s="11">
        <f>DP7*150</f>
        <v>1.5000000000000001E-2</v>
      </c>
      <c r="DQ12" s="11">
        <v>2</v>
      </c>
      <c r="DR12" s="19">
        <v>1204</v>
      </c>
      <c r="DS12" s="223">
        <v>1</v>
      </c>
      <c r="DT12" s="11">
        <f>DP7*5000</f>
        <v>0.5</v>
      </c>
    </row>
    <row r="13" spans="1:124" ht="16.5" customHeight="1" x14ac:dyDescent="0.25">
      <c r="CS13" s="6"/>
      <c r="CT13" s="359"/>
      <c r="CU13" s="194" t="s">
        <v>375</v>
      </c>
      <c r="CV13" s="70">
        <f t="shared" si="5"/>
        <v>1</v>
      </c>
      <c r="CW13" s="70">
        <f t="shared" si="6"/>
        <v>2</v>
      </c>
      <c r="CX13" s="195">
        <v>100000</v>
      </c>
      <c r="CY13" s="194" t="str">
        <f t="shared" si="7"/>
        <v>金币</v>
      </c>
      <c r="CZ13" s="196">
        <f t="shared" si="8"/>
        <v>1</v>
      </c>
      <c r="DA13" s="196">
        <f t="shared" si="9"/>
        <v>2</v>
      </c>
      <c r="DB13" s="195">
        <v>270</v>
      </c>
      <c r="DC13" s="196">
        <f t="shared" si="11"/>
        <v>100000</v>
      </c>
      <c r="DD13" s="196">
        <f t="shared" si="12"/>
        <v>270</v>
      </c>
      <c r="DE13" s="70">
        <f t="shared" si="13"/>
        <v>100000</v>
      </c>
      <c r="DF13" s="70">
        <v>0</v>
      </c>
      <c r="DG13" s="11"/>
      <c r="DH13" s="11"/>
      <c r="DI13" s="11">
        <v>3</v>
      </c>
      <c r="DJ13" s="219"/>
      <c r="DN13" s="10" t="s">
        <v>570</v>
      </c>
      <c r="DO13" s="11">
        <f>DP13/20</f>
        <v>5</v>
      </c>
      <c r="DP13" s="11">
        <f>DP7*1000000</f>
        <v>100</v>
      </c>
      <c r="DQ13" s="11">
        <v>2</v>
      </c>
      <c r="DR13" s="19">
        <v>1005</v>
      </c>
      <c r="DS13" s="223">
        <v>1</v>
      </c>
    </row>
    <row r="14" spans="1:124" ht="16.5" customHeight="1" x14ac:dyDescent="0.25">
      <c r="CS14" s="6">
        <f>100000/5*6</f>
        <v>120000</v>
      </c>
      <c r="CT14" s="360"/>
      <c r="CU14" s="197" t="s">
        <v>364</v>
      </c>
      <c r="CV14" s="198">
        <f t="shared" si="5"/>
        <v>2</v>
      </c>
      <c r="CW14" s="198">
        <f t="shared" si="6"/>
        <v>1204</v>
      </c>
      <c r="CX14" s="195">
        <v>1000</v>
      </c>
      <c r="CY14" s="197" t="str">
        <f t="shared" si="7"/>
        <v>福卡</v>
      </c>
      <c r="CZ14" s="199">
        <f t="shared" si="8"/>
        <v>2</v>
      </c>
      <c r="DA14" s="199">
        <f t="shared" si="9"/>
        <v>1204</v>
      </c>
      <c r="DB14" s="195">
        <v>280</v>
      </c>
      <c r="DC14" s="199">
        <f t="shared" si="11"/>
        <v>150000</v>
      </c>
      <c r="DD14" s="199">
        <f t="shared" si="12"/>
        <v>42000</v>
      </c>
      <c r="DE14" s="198">
        <f t="shared" si="13"/>
        <v>150000</v>
      </c>
      <c r="DF14" s="198">
        <v>0</v>
      </c>
      <c r="DG14" s="128"/>
      <c r="DH14" s="128"/>
      <c r="DI14" s="128">
        <v>1</v>
      </c>
      <c r="DJ14" s="220"/>
      <c r="DN14" s="10" t="s">
        <v>363</v>
      </c>
      <c r="DO14" s="11">
        <f t="shared" ref="DO14:DO16" si="47">DP14/20</f>
        <v>10</v>
      </c>
      <c r="DP14" s="11">
        <f>DP7*2000000</f>
        <v>200</v>
      </c>
      <c r="DQ14" s="11">
        <v>2</v>
      </c>
      <c r="DR14" s="19">
        <v>1006</v>
      </c>
      <c r="DS14" s="223">
        <v>1</v>
      </c>
    </row>
    <row r="15" spans="1:124" ht="16.5" customHeight="1" x14ac:dyDescent="0.25">
      <c r="CS15" s="6"/>
      <c r="CT15" s="358" t="str">
        <f>"抽奖
第2档
"&amp;D6&amp;"~
"&amp;E6</f>
        <v>抽奖
第2档
100000~
500000</v>
      </c>
      <c r="CU15" s="190" t="s">
        <v>375</v>
      </c>
      <c r="CV15" s="191">
        <f t="shared" si="5"/>
        <v>1</v>
      </c>
      <c r="CW15" s="191">
        <f t="shared" si="6"/>
        <v>2</v>
      </c>
      <c r="CX15" s="192">
        <v>250000</v>
      </c>
      <c r="CY15" s="190" t="str">
        <f t="shared" si="7"/>
        <v>金币</v>
      </c>
      <c r="CZ15" s="193">
        <f t="shared" si="8"/>
        <v>1</v>
      </c>
      <c r="DA15" s="193">
        <f t="shared" si="9"/>
        <v>2</v>
      </c>
      <c r="DB15" s="192">
        <f t="shared" ref="DB15:DB28" si="48">ROUNDUP(CX15/5,0)</f>
        <v>50000</v>
      </c>
      <c r="DC15" s="193">
        <f t="shared" si="11"/>
        <v>265000</v>
      </c>
      <c r="DD15" s="193">
        <f t="shared" si="12"/>
        <v>50000</v>
      </c>
      <c r="DE15" s="215">
        <f t="shared" si="13"/>
        <v>250000</v>
      </c>
      <c r="DF15" s="191">
        <v>1</v>
      </c>
      <c r="DG15" s="212">
        <v>1</v>
      </c>
      <c r="DH15" s="212">
        <v>0.3</v>
      </c>
      <c r="DI15" s="120">
        <v>8</v>
      </c>
      <c r="DJ15" s="218"/>
      <c r="DN15" s="10" t="s">
        <v>374</v>
      </c>
      <c r="DO15" s="11">
        <f t="shared" si="47"/>
        <v>25</v>
      </c>
      <c r="DP15" s="11">
        <f>DP7*5000000</f>
        <v>500</v>
      </c>
      <c r="DQ15" s="11">
        <v>2</v>
      </c>
      <c r="DR15" s="19">
        <v>1007</v>
      </c>
      <c r="DS15" s="223">
        <v>1</v>
      </c>
    </row>
    <row r="16" spans="1:124" x14ac:dyDescent="0.25">
      <c r="CS16" s="6"/>
      <c r="CT16" s="359"/>
      <c r="CU16" s="194" t="s">
        <v>402</v>
      </c>
      <c r="CV16" s="70">
        <f t="shared" si="5"/>
        <v>2</v>
      </c>
      <c r="CW16" s="70">
        <f t="shared" si="6"/>
        <v>1003</v>
      </c>
      <c r="CX16" s="195">
        <v>2</v>
      </c>
      <c r="CY16" s="194" t="str">
        <f t="shared" si="7"/>
        <v>狂暴</v>
      </c>
      <c r="CZ16" s="196">
        <f t="shared" si="8"/>
        <v>2</v>
      </c>
      <c r="DA16" s="196">
        <f t="shared" si="9"/>
        <v>1003</v>
      </c>
      <c r="DB16" s="195">
        <f t="shared" si="48"/>
        <v>1</v>
      </c>
      <c r="DC16" s="196">
        <f t="shared" si="11"/>
        <v>275000</v>
      </c>
      <c r="DD16" s="196">
        <f t="shared" si="12"/>
        <v>100000</v>
      </c>
      <c r="DE16" s="70">
        <f t="shared" si="13"/>
        <v>200000</v>
      </c>
      <c r="DF16" s="70">
        <v>0</v>
      </c>
      <c r="DG16" s="213">
        <v>0.5</v>
      </c>
      <c r="DH16" s="213">
        <v>0.75</v>
      </c>
      <c r="DI16" s="11">
        <v>10</v>
      </c>
      <c r="DJ16" s="219"/>
      <c r="DN16" s="10" t="s">
        <v>361</v>
      </c>
      <c r="DO16" s="11">
        <f t="shared" si="47"/>
        <v>50</v>
      </c>
      <c r="DP16" s="11">
        <f>DP7*10000000</f>
        <v>1000</v>
      </c>
      <c r="DQ16" s="11">
        <v>2</v>
      </c>
      <c r="DR16" s="19">
        <v>1008</v>
      </c>
      <c r="DS16" s="223">
        <v>1</v>
      </c>
    </row>
    <row r="17" spans="97:130" ht="16.5" customHeight="1" x14ac:dyDescent="0.25">
      <c r="CS17" s="6"/>
      <c r="CT17" s="359"/>
      <c r="CU17" s="194" t="s">
        <v>375</v>
      </c>
      <c r="CV17" s="70">
        <f t="shared" si="5"/>
        <v>1</v>
      </c>
      <c r="CW17" s="70">
        <f t="shared" si="6"/>
        <v>2</v>
      </c>
      <c r="CX17" s="195">
        <v>60000</v>
      </c>
      <c r="CY17" s="194" t="str">
        <f t="shared" si="7"/>
        <v>金币</v>
      </c>
      <c r="CZ17" s="196">
        <f t="shared" si="8"/>
        <v>1</v>
      </c>
      <c r="DA17" s="196">
        <f t="shared" si="9"/>
        <v>2</v>
      </c>
      <c r="DB17" s="195">
        <f t="shared" si="48"/>
        <v>12000</v>
      </c>
      <c r="DC17" s="196">
        <f t="shared" si="11"/>
        <v>69000</v>
      </c>
      <c r="DD17" s="196">
        <f t="shared" si="12"/>
        <v>12000</v>
      </c>
      <c r="DE17" s="70">
        <f t="shared" si="13"/>
        <v>60000</v>
      </c>
      <c r="DF17" s="70">
        <v>0</v>
      </c>
      <c r="DG17" s="213">
        <v>1</v>
      </c>
      <c r="DH17" s="213">
        <v>0.75</v>
      </c>
      <c r="DI17" s="11">
        <v>2</v>
      </c>
      <c r="DJ17" s="219"/>
      <c r="DN17" s="10" t="s">
        <v>571</v>
      </c>
      <c r="DO17" s="11">
        <v>5</v>
      </c>
      <c r="DP17" s="11">
        <f>DO17*20</f>
        <v>100</v>
      </c>
      <c r="DQ17" s="11">
        <v>2</v>
      </c>
      <c r="DR17" s="19">
        <v>1206</v>
      </c>
      <c r="DS17" s="223">
        <v>1</v>
      </c>
    </row>
    <row r="18" spans="97:130" ht="16.5" customHeight="1" x14ac:dyDescent="0.25">
      <c r="CS18" s="6"/>
      <c r="CT18" s="359"/>
      <c r="CU18" s="194" t="s">
        <v>375</v>
      </c>
      <c r="CV18" s="70">
        <f t="shared" si="5"/>
        <v>1</v>
      </c>
      <c r="CW18" s="70">
        <f t="shared" si="6"/>
        <v>2</v>
      </c>
      <c r="CX18" s="195">
        <v>100000</v>
      </c>
      <c r="CY18" s="194" t="str">
        <f t="shared" si="7"/>
        <v>金币</v>
      </c>
      <c r="CZ18" s="196">
        <f t="shared" si="8"/>
        <v>1</v>
      </c>
      <c r="DA18" s="196">
        <f t="shared" si="9"/>
        <v>2</v>
      </c>
      <c r="DB18" s="195">
        <f t="shared" si="48"/>
        <v>20000</v>
      </c>
      <c r="DC18" s="196">
        <f t="shared" si="11"/>
        <v>115000</v>
      </c>
      <c r="DD18" s="196">
        <f t="shared" si="12"/>
        <v>20000</v>
      </c>
      <c r="DE18" s="70">
        <f t="shared" si="13"/>
        <v>100000</v>
      </c>
      <c r="DF18" s="70">
        <v>0</v>
      </c>
      <c r="DG18" s="213">
        <v>0.5</v>
      </c>
      <c r="DH18" s="213">
        <v>0.75</v>
      </c>
      <c r="DI18" s="11">
        <v>4</v>
      </c>
      <c r="DJ18" s="219"/>
      <c r="DN18" s="10" t="s">
        <v>572</v>
      </c>
      <c r="DO18" s="11">
        <v>2</v>
      </c>
      <c r="DP18" s="11">
        <f>DO18*20</f>
        <v>40</v>
      </c>
      <c r="DQ18" s="11">
        <v>2</v>
      </c>
      <c r="DR18" s="19">
        <v>1205</v>
      </c>
      <c r="DS18" s="223">
        <v>1</v>
      </c>
    </row>
    <row r="19" spans="97:130" ht="16.5" customHeight="1" x14ac:dyDescent="0.25">
      <c r="CS19" s="6"/>
      <c r="CT19" s="359"/>
      <c r="CU19" s="194" t="s">
        <v>375</v>
      </c>
      <c r="CV19" s="70">
        <f t="shared" si="5"/>
        <v>1</v>
      </c>
      <c r="CW19" s="70">
        <f t="shared" si="6"/>
        <v>2</v>
      </c>
      <c r="CX19" s="195">
        <v>200000</v>
      </c>
      <c r="CY19" s="194" t="str">
        <f t="shared" si="7"/>
        <v>金币</v>
      </c>
      <c r="CZ19" s="196">
        <f t="shared" si="8"/>
        <v>1</v>
      </c>
      <c r="DA19" s="196">
        <f t="shared" si="9"/>
        <v>2</v>
      </c>
      <c r="DB19" s="195">
        <f t="shared" si="48"/>
        <v>40000</v>
      </c>
      <c r="DC19" s="196">
        <f t="shared" si="11"/>
        <v>220000</v>
      </c>
      <c r="DD19" s="196">
        <f t="shared" si="12"/>
        <v>40000</v>
      </c>
      <c r="DE19" s="70">
        <f t="shared" si="13"/>
        <v>200000</v>
      </c>
      <c r="DF19" s="70">
        <v>0</v>
      </c>
      <c r="DG19" s="213">
        <v>0.5</v>
      </c>
      <c r="DH19" s="214">
        <v>0.5</v>
      </c>
      <c r="DI19" s="11">
        <v>7</v>
      </c>
      <c r="DJ19" s="219"/>
      <c r="DN19" s="13" t="s">
        <v>573</v>
      </c>
      <c r="DO19" s="14">
        <v>200</v>
      </c>
      <c r="DP19" s="11">
        <f>DO19*20</f>
        <v>4000</v>
      </c>
      <c r="DQ19" s="14">
        <v>2</v>
      </c>
      <c r="DR19" s="21">
        <v>1208</v>
      </c>
      <c r="DS19" s="223">
        <v>1</v>
      </c>
    </row>
    <row r="20" spans="97:130" ht="16.5" customHeight="1" x14ac:dyDescent="0.25">
      <c r="CS20" s="6"/>
      <c r="CT20" s="359"/>
      <c r="CU20" s="194" t="s">
        <v>375</v>
      </c>
      <c r="CV20" s="70">
        <f t="shared" si="5"/>
        <v>1</v>
      </c>
      <c r="CW20" s="70">
        <f t="shared" si="6"/>
        <v>2</v>
      </c>
      <c r="CX20" s="195">
        <v>350000</v>
      </c>
      <c r="CY20" s="194" t="str">
        <f t="shared" si="7"/>
        <v>金币</v>
      </c>
      <c r="CZ20" s="196">
        <f t="shared" si="8"/>
        <v>1</v>
      </c>
      <c r="DA20" s="196">
        <f t="shared" si="9"/>
        <v>2</v>
      </c>
      <c r="DB20" s="195">
        <f t="shared" si="48"/>
        <v>70000</v>
      </c>
      <c r="DC20" s="196">
        <f t="shared" si="11"/>
        <v>371000</v>
      </c>
      <c r="DD20" s="196">
        <f t="shared" si="12"/>
        <v>70000</v>
      </c>
      <c r="DE20" s="70">
        <f t="shared" si="13"/>
        <v>350000</v>
      </c>
      <c r="DF20" s="70">
        <v>0</v>
      </c>
      <c r="DG20" s="213">
        <v>1</v>
      </c>
      <c r="DH20" s="214">
        <v>0.3</v>
      </c>
      <c r="DI20" s="11">
        <v>5</v>
      </c>
      <c r="DJ20" s="219"/>
      <c r="DN20" s="10" t="s">
        <v>574</v>
      </c>
      <c r="DO20" s="11">
        <v>30</v>
      </c>
      <c r="DP20" s="11">
        <f>DO20*20</f>
        <v>600</v>
      </c>
      <c r="DQ20" s="1">
        <v>2</v>
      </c>
      <c r="DR20" s="1">
        <v>1209</v>
      </c>
      <c r="DS20" s="223">
        <v>1</v>
      </c>
    </row>
    <row r="21" spans="97:130" ht="16.5" customHeight="1" x14ac:dyDescent="0.25">
      <c r="CS21" s="6"/>
      <c r="CT21" s="359"/>
      <c r="CU21" s="194" t="s">
        <v>375</v>
      </c>
      <c r="CV21" s="70">
        <f t="shared" si="5"/>
        <v>1</v>
      </c>
      <c r="CW21" s="70">
        <f t="shared" si="6"/>
        <v>2</v>
      </c>
      <c r="CX21" s="195">
        <v>500000</v>
      </c>
      <c r="CY21" s="194" t="str">
        <f t="shared" si="7"/>
        <v>金币</v>
      </c>
      <c r="CZ21" s="196">
        <f t="shared" si="8"/>
        <v>1</v>
      </c>
      <c r="DA21" s="196">
        <f t="shared" si="9"/>
        <v>2</v>
      </c>
      <c r="DB21" s="195">
        <f t="shared" si="48"/>
        <v>100000</v>
      </c>
      <c r="DC21" s="196">
        <f t="shared" si="11"/>
        <v>500000</v>
      </c>
      <c r="DD21" s="196">
        <f t="shared" si="12"/>
        <v>100000</v>
      </c>
      <c r="DE21" s="70">
        <f t="shared" si="13"/>
        <v>500000</v>
      </c>
      <c r="DF21" s="70">
        <v>0</v>
      </c>
      <c r="DG21" s="11"/>
      <c r="DH21" s="11"/>
      <c r="DI21" s="11">
        <v>3</v>
      </c>
      <c r="DJ21" s="219"/>
      <c r="DN21" s="10" t="s">
        <v>575</v>
      </c>
      <c r="DO21" s="1">
        <v>50</v>
      </c>
      <c r="DP21" s="11">
        <f>DO21*20</f>
        <v>1000</v>
      </c>
      <c r="DQ21" s="1">
        <v>2</v>
      </c>
      <c r="DR21" s="1">
        <v>1210</v>
      </c>
      <c r="DS21" s="223">
        <v>1</v>
      </c>
    </row>
    <row r="22" spans="97:130" x14ac:dyDescent="0.25">
      <c r="CS22" s="6"/>
      <c r="CT22" s="359"/>
      <c r="CU22" s="194" t="s">
        <v>360</v>
      </c>
      <c r="CV22" s="70">
        <f t="shared" si="5"/>
        <v>1</v>
      </c>
      <c r="CW22" s="70">
        <f t="shared" si="6"/>
        <v>1</v>
      </c>
      <c r="CX22" s="195">
        <v>10</v>
      </c>
      <c r="CY22" s="194" t="str">
        <f t="shared" si="7"/>
        <v>钻石</v>
      </c>
      <c r="CZ22" s="196">
        <f t="shared" si="8"/>
        <v>1</v>
      </c>
      <c r="DA22" s="196">
        <f t="shared" si="9"/>
        <v>1</v>
      </c>
      <c r="DB22" s="195">
        <f t="shared" si="48"/>
        <v>2</v>
      </c>
      <c r="DC22" s="196">
        <f t="shared" si="11"/>
        <v>200000</v>
      </c>
      <c r="DD22" s="196">
        <f t="shared" si="12"/>
        <v>40000</v>
      </c>
      <c r="DE22" s="70">
        <f t="shared" si="13"/>
        <v>200000</v>
      </c>
      <c r="DF22" s="70">
        <v>0</v>
      </c>
      <c r="DG22" s="11"/>
      <c r="DH22" s="11"/>
      <c r="DI22" s="11">
        <v>9</v>
      </c>
      <c r="DJ22" s="219"/>
      <c r="DK22" s="1">
        <v>200000</v>
      </c>
      <c r="DN22" s="1" t="s">
        <v>576</v>
      </c>
      <c r="DO22" s="1">
        <v>1</v>
      </c>
      <c r="DP22" s="11">
        <f t="shared" ref="DP22:DP30" si="49">DO22*20</f>
        <v>20</v>
      </c>
      <c r="DQ22" s="1">
        <v>1</v>
      </c>
      <c r="DR22" s="1">
        <v>6</v>
      </c>
      <c r="DS22" s="223">
        <v>1</v>
      </c>
    </row>
    <row r="23" spans="97:130" ht="16.5" customHeight="1" x14ac:dyDescent="0.25">
      <c r="CS23" s="6"/>
      <c r="CT23" s="359"/>
      <c r="CU23" s="194" t="s">
        <v>360</v>
      </c>
      <c r="CV23" s="70">
        <f t="shared" si="5"/>
        <v>1</v>
      </c>
      <c r="CW23" s="70">
        <f t="shared" si="6"/>
        <v>1</v>
      </c>
      <c r="CX23" s="195">
        <v>25</v>
      </c>
      <c r="CY23" s="194" t="str">
        <f t="shared" si="7"/>
        <v>钻石</v>
      </c>
      <c r="CZ23" s="196">
        <f t="shared" si="8"/>
        <v>1</v>
      </c>
      <c r="DA23" s="196">
        <f t="shared" si="9"/>
        <v>1</v>
      </c>
      <c r="DB23" s="195">
        <f t="shared" si="48"/>
        <v>5</v>
      </c>
      <c r="DC23" s="196">
        <f t="shared" si="11"/>
        <v>500000</v>
      </c>
      <c r="DD23" s="196">
        <f t="shared" si="12"/>
        <v>100000</v>
      </c>
      <c r="DE23" s="70">
        <f t="shared" si="13"/>
        <v>500000</v>
      </c>
      <c r="DF23" s="70">
        <v>0</v>
      </c>
      <c r="DG23" s="11"/>
      <c r="DH23" s="11"/>
      <c r="DI23" s="11">
        <v>6</v>
      </c>
      <c r="DJ23" s="219"/>
      <c r="DK23" s="1">
        <v>500000</v>
      </c>
      <c r="DN23" s="1" t="s">
        <v>577</v>
      </c>
      <c r="DO23" s="1">
        <v>1</v>
      </c>
      <c r="DP23" s="11">
        <f t="shared" si="49"/>
        <v>20</v>
      </c>
      <c r="DQ23" s="1">
        <v>2</v>
      </c>
      <c r="DR23" s="1">
        <v>1301</v>
      </c>
      <c r="DS23" s="223">
        <v>1</v>
      </c>
    </row>
    <row r="24" spans="97:130" ht="16.5" customHeight="1" x14ac:dyDescent="0.25">
      <c r="CS24" s="6">
        <f>500000/5*6</f>
        <v>600000</v>
      </c>
      <c r="CT24" s="360"/>
      <c r="CU24" s="197" t="s">
        <v>364</v>
      </c>
      <c r="CV24" s="198">
        <f t="shared" si="5"/>
        <v>2</v>
      </c>
      <c r="CW24" s="198">
        <f t="shared" si="6"/>
        <v>1204</v>
      </c>
      <c r="CX24" s="195">
        <v>5000</v>
      </c>
      <c r="CY24" s="197" t="str">
        <f t="shared" si="7"/>
        <v>福卡</v>
      </c>
      <c r="CZ24" s="199">
        <f t="shared" si="8"/>
        <v>2</v>
      </c>
      <c r="DA24" s="199">
        <f t="shared" si="9"/>
        <v>1204</v>
      </c>
      <c r="DB24" s="201">
        <f t="shared" si="48"/>
        <v>1000</v>
      </c>
      <c r="DC24" s="199">
        <f t="shared" si="11"/>
        <v>750000</v>
      </c>
      <c r="DD24" s="199">
        <f t="shared" si="12"/>
        <v>150000</v>
      </c>
      <c r="DE24" s="198">
        <f t="shared" si="13"/>
        <v>750000</v>
      </c>
      <c r="DF24" s="198">
        <v>0</v>
      </c>
      <c r="DG24" s="128"/>
      <c r="DH24" s="128"/>
      <c r="DI24" s="128">
        <v>1</v>
      </c>
      <c r="DJ24" s="220"/>
      <c r="DN24" s="1" t="s">
        <v>578</v>
      </c>
      <c r="DO24" s="1">
        <v>1</v>
      </c>
      <c r="DP24" s="11">
        <f t="shared" si="49"/>
        <v>20</v>
      </c>
      <c r="DQ24" s="1">
        <v>2</v>
      </c>
      <c r="DR24" s="1">
        <v>1302</v>
      </c>
      <c r="DS24" s="223">
        <v>1</v>
      </c>
    </row>
    <row r="25" spans="97:130" ht="16.5" customHeight="1" x14ac:dyDescent="0.25">
      <c r="CS25" s="6"/>
      <c r="CT25" s="358" t="str">
        <f>"抽奖
第3档
"&amp;D7&amp;"~
"&amp;E7</f>
        <v>抽奖
第3档
500000~
1000000</v>
      </c>
      <c r="CU25" s="190" t="s">
        <v>375</v>
      </c>
      <c r="CV25" s="191">
        <f t="shared" si="5"/>
        <v>1</v>
      </c>
      <c r="CW25" s="191">
        <f t="shared" si="6"/>
        <v>2</v>
      </c>
      <c r="CX25" s="192">
        <v>200000</v>
      </c>
      <c r="CY25" s="190" t="str">
        <f t="shared" si="7"/>
        <v>金币</v>
      </c>
      <c r="CZ25" s="193">
        <f t="shared" si="8"/>
        <v>1</v>
      </c>
      <c r="DA25" s="193">
        <f t="shared" si="9"/>
        <v>2</v>
      </c>
      <c r="DB25" s="192">
        <f t="shared" si="48"/>
        <v>40000</v>
      </c>
      <c r="DC25" s="193">
        <f t="shared" si="11"/>
        <v>212000</v>
      </c>
      <c r="DD25" s="193">
        <f t="shared" si="12"/>
        <v>40000</v>
      </c>
      <c r="DE25" s="215">
        <f t="shared" si="13"/>
        <v>200000</v>
      </c>
      <c r="DF25" s="191">
        <v>1</v>
      </c>
      <c r="DG25" s="212">
        <v>1</v>
      </c>
      <c r="DH25" s="212">
        <v>0.3</v>
      </c>
      <c r="DI25" s="120">
        <v>2</v>
      </c>
      <c r="DJ25" s="218"/>
      <c r="DN25" s="1" t="s">
        <v>579</v>
      </c>
      <c r="DO25" s="1">
        <v>1</v>
      </c>
      <c r="DP25" s="11">
        <f t="shared" si="49"/>
        <v>20</v>
      </c>
      <c r="DQ25" s="1">
        <v>2</v>
      </c>
      <c r="DR25" s="1">
        <v>1303</v>
      </c>
      <c r="DS25" s="223">
        <v>1</v>
      </c>
      <c r="DU25" s="1" t="s">
        <v>580</v>
      </c>
      <c r="DV25" s="1">
        <v>40</v>
      </c>
      <c r="DW25" s="1">
        <f>'抽奖|MoonBless'!HP25</f>
        <v>0</v>
      </c>
      <c r="DX25" s="1">
        <v>2</v>
      </c>
      <c r="DY25" s="1">
        <v>1500</v>
      </c>
      <c r="DZ25" s="110">
        <v>1</v>
      </c>
    </row>
    <row r="26" spans="97:130" ht="16.5" customHeight="1" x14ac:dyDescent="0.25">
      <c r="CS26" s="6"/>
      <c r="CT26" s="359"/>
      <c r="CU26" s="194" t="s">
        <v>402</v>
      </c>
      <c r="CV26" s="70">
        <f t="shared" si="5"/>
        <v>2</v>
      </c>
      <c r="CW26" s="70">
        <f t="shared" si="6"/>
        <v>1003</v>
      </c>
      <c r="CX26" s="200">
        <v>3</v>
      </c>
      <c r="CY26" s="194" t="str">
        <f t="shared" si="7"/>
        <v>狂暴</v>
      </c>
      <c r="CZ26" s="196">
        <f t="shared" si="8"/>
        <v>2</v>
      </c>
      <c r="DA26" s="196">
        <f t="shared" si="9"/>
        <v>1003</v>
      </c>
      <c r="DB26" s="195">
        <f t="shared" si="48"/>
        <v>1</v>
      </c>
      <c r="DC26" s="196">
        <f t="shared" si="11"/>
        <v>375000</v>
      </c>
      <c r="DD26" s="196">
        <f t="shared" si="12"/>
        <v>100000</v>
      </c>
      <c r="DE26" s="70">
        <f t="shared" si="13"/>
        <v>300000</v>
      </c>
      <c r="DF26" s="70">
        <v>0</v>
      </c>
      <c r="DG26" s="213">
        <v>1</v>
      </c>
      <c r="DH26" s="213">
        <v>0.75</v>
      </c>
      <c r="DI26" s="11">
        <v>9</v>
      </c>
      <c r="DJ26" s="219"/>
      <c r="DN26" s="1" t="s">
        <v>581</v>
      </c>
      <c r="DO26" s="1">
        <v>1</v>
      </c>
      <c r="DP26" s="11">
        <f t="shared" si="49"/>
        <v>20</v>
      </c>
      <c r="DQ26" s="1">
        <v>2</v>
      </c>
      <c r="DR26" s="1">
        <v>1304</v>
      </c>
      <c r="DS26" s="223">
        <v>1</v>
      </c>
      <c r="DU26" s="1" t="s">
        <v>582</v>
      </c>
      <c r="DV26" s="1">
        <v>80</v>
      </c>
      <c r="DW26" s="1">
        <v>0</v>
      </c>
      <c r="DX26" s="1">
        <v>2</v>
      </c>
      <c r="DY26" s="1">
        <v>1503</v>
      </c>
      <c r="DZ26" s="110">
        <v>1</v>
      </c>
    </row>
    <row r="27" spans="97:130" ht="16.5" customHeight="1" x14ac:dyDescent="0.25">
      <c r="CS27" s="6"/>
      <c r="CT27" s="359"/>
      <c r="CU27" s="194" t="s">
        <v>402</v>
      </c>
      <c r="CV27" s="70">
        <f t="shared" si="5"/>
        <v>2</v>
      </c>
      <c r="CW27" s="70">
        <f t="shared" si="6"/>
        <v>1003</v>
      </c>
      <c r="CX27" s="200">
        <v>4</v>
      </c>
      <c r="CY27" s="194" t="str">
        <f t="shared" si="7"/>
        <v>狂暴</v>
      </c>
      <c r="CZ27" s="196">
        <f t="shared" si="8"/>
        <v>2</v>
      </c>
      <c r="DA27" s="196">
        <f t="shared" si="9"/>
        <v>1003</v>
      </c>
      <c r="DB27" s="195">
        <f t="shared" si="48"/>
        <v>1</v>
      </c>
      <c r="DC27" s="196">
        <f t="shared" si="11"/>
        <v>475000</v>
      </c>
      <c r="DD27" s="196">
        <f t="shared" si="12"/>
        <v>100000</v>
      </c>
      <c r="DE27" s="70">
        <f t="shared" si="13"/>
        <v>400000</v>
      </c>
      <c r="DF27" s="70">
        <v>0</v>
      </c>
      <c r="DG27" s="213">
        <v>0.5</v>
      </c>
      <c r="DH27" s="213">
        <v>0.75</v>
      </c>
      <c r="DI27" s="11">
        <v>4</v>
      </c>
      <c r="DJ27" s="219"/>
      <c r="DN27" s="1" t="s">
        <v>580</v>
      </c>
      <c r="DO27" s="1">
        <f>DO12*1000*40</f>
        <v>30</v>
      </c>
      <c r="DP27" s="11">
        <f t="shared" si="49"/>
        <v>600</v>
      </c>
      <c r="DQ27" s="1">
        <v>2</v>
      </c>
      <c r="DR27" s="1">
        <v>1500</v>
      </c>
      <c r="DS27" s="110">
        <v>1</v>
      </c>
      <c r="DU27" s="1" t="s">
        <v>583</v>
      </c>
      <c r="DV27" s="1">
        <v>110</v>
      </c>
      <c r="DW27" s="1">
        <v>0</v>
      </c>
      <c r="DX27" s="1">
        <v>2</v>
      </c>
      <c r="DY27" s="1">
        <v>1504</v>
      </c>
      <c r="DZ27" s="110">
        <v>1</v>
      </c>
    </row>
    <row r="28" spans="97:130" x14ac:dyDescent="0.25">
      <c r="CS28" s="6"/>
      <c r="CT28" s="359"/>
      <c r="CU28" s="194" t="s">
        <v>375</v>
      </c>
      <c r="CV28" s="70">
        <f t="shared" si="5"/>
        <v>1</v>
      </c>
      <c r="CW28" s="70">
        <f t="shared" si="6"/>
        <v>2</v>
      </c>
      <c r="CX28" s="195">
        <v>400000</v>
      </c>
      <c r="CY28" s="194" t="str">
        <f t="shared" si="7"/>
        <v>金币</v>
      </c>
      <c r="CZ28" s="196">
        <f t="shared" si="8"/>
        <v>1</v>
      </c>
      <c r="DA28" s="196">
        <f t="shared" si="9"/>
        <v>2</v>
      </c>
      <c r="DB28" s="195">
        <f t="shared" si="48"/>
        <v>80000</v>
      </c>
      <c r="DC28" s="196">
        <f t="shared" si="11"/>
        <v>460000</v>
      </c>
      <c r="DD28" s="196">
        <f t="shared" si="12"/>
        <v>80000</v>
      </c>
      <c r="DE28" s="70">
        <f t="shared" si="13"/>
        <v>400000</v>
      </c>
      <c r="DF28" s="70">
        <v>0</v>
      </c>
      <c r="DG28" s="213">
        <v>1</v>
      </c>
      <c r="DH28" s="213">
        <v>0.75</v>
      </c>
      <c r="DI28" s="11">
        <v>7</v>
      </c>
      <c r="DJ28" s="219"/>
      <c r="DN28" s="1" t="s">
        <v>582</v>
      </c>
      <c r="DO28" s="1">
        <f>DO12*1000*80</f>
        <v>60</v>
      </c>
      <c r="DP28" s="11">
        <f t="shared" si="49"/>
        <v>1200</v>
      </c>
      <c r="DQ28" s="1">
        <v>2</v>
      </c>
      <c r="DR28" s="1">
        <v>1503</v>
      </c>
      <c r="DS28" s="110">
        <v>1</v>
      </c>
      <c r="DU28" s="1" t="s">
        <v>584</v>
      </c>
      <c r="DV28" s="1">
        <v>1</v>
      </c>
      <c r="DW28" s="1">
        <v>10</v>
      </c>
      <c r="DX28" s="1">
        <v>2</v>
      </c>
      <c r="DY28" s="1">
        <v>1213</v>
      </c>
      <c r="DZ28" s="110">
        <v>1</v>
      </c>
    </row>
    <row r="29" spans="97:130" ht="16.5" customHeight="1" x14ac:dyDescent="0.25">
      <c r="CS29" s="6"/>
      <c r="CT29" s="359"/>
      <c r="CU29" s="194" t="s">
        <v>375</v>
      </c>
      <c r="CV29" s="70">
        <f t="shared" si="5"/>
        <v>1</v>
      </c>
      <c r="CW29" s="70">
        <f t="shared" si="6"/>
        <v>2</v>
      </c>
      <c r="CX29" s="195">
        <v>600000</v>
      </c>
      <c r="CY29" s="194" t="str">
        <f t="shared" si="7"/>
        <v>金币</v>
      </c>
      <c r="CZ29" s="196">
        <f t="shared" si="8"/>
        <v>1</v>
      </c>
      <c r="DA29" s="196">
        <f t="shared" si="9"/>
        <v>2</v>
      </c>
      <c r="DB29" s="195">
        <f>ROUNDUP(DE29/5,0)</f>
        <v>120000</v>
      </c>
      <c r="DC29" s="196">
        <f t="shared" si="11"/>
        <v>660000</v>
      </c>
      <c r="DD29" s="196">
        <f t="shared" si="12"/>
        <v>120000</v>
      </c>
      <c r="DE29" s="70">
        <f t="shared" si="13"/>
        <v>600000</v>
      </c>
      <c r="DF29" s="70">
        <v>0</v>
      </c>
      <c r="DG29" s="213">
        <v>1</v>
      </c>
      <c r="DH29" s="214">
        <v>0.5</v>
      </c>
      <c r="DI29" s="11">
        <v>10</v>
      </c>
      <c r="DJ29" s="219"/>
      <c r="DN29" s="1" t="s">
        <v>583</v>
      </c>
      <c r="DO29" s="1">
        <f>DO12*1000*110</f>
        <v>82.5</v>
      </c>
      <c r="DP29" s="11">
        <f t="shared" si="49"/>
        <v>1650</v>
      </c>
      <c r="DQ29" s="1">
        <v>2</v>
      </c>
      <c r="DR29" s="1">
        <v>1504</v>
      </c>
      <c r="DS29" s="110">
        <v>1</v>
      </c>
    </row>
    <row r="30" spans="97:130" ht="16.5" customHeight="1" x14ac:dyDescent="0.25">
      <c r="CS30" s="6"/>
      <c r="CT30" s="359"/>
      <c r="CU30" s="194" t="s">
        <v>375</v>
      </c>
      <c r="CV30" s="70">
        <f t="shared" si="5"/>
        <v>1</v>
      </c>
      <c r="CW30" s="70">
        <f t="shared" si="6"/>
        <v>2</v>
      </c>
      <c r="CX30" s="195">
        <v>800000</v>
      </c>
      <c r="CY30" s="194" t="str">
        <f t="shared" si="7"/>
        <v>金币</v>
      </c>
      <c r="CZ30" s="196">
        <f t="shared" si="8"/>
        <v>1</v>
      </c>
      <c r="DA30" s="196">
        <f t="shared" si="9"/>
        <v>2</v>
      </c>
      <c r="DB30" s="195">
        <f>ROUNDUP(DE30/5,0)</f>
        <v>160000</v>
      </c>
      <c r="DC30" s="196">
        <f t="shared" si="11"/>
        <v>848000</v>
      </c>
      <c r="DD30" s="196">
        <f t="shared" si="12"/>
        <v>160000</v>
      </c>
      <c r="DE30" s="70">
        <f t="shared" si="13"/>
        <v>800000</v>
      </c>
      <c r="DF30" s="70">
        <v>0</v>
      </c>
      <c r="DG30" s="213">
        <v>1</v>
      </c>
      <c r="DH30" s="214">
        <v>0.3</v>
      </c>
      <c r="DI30" s="11">
        <v>5</v>
      </c>
      <c r="DJ30" s="219"/>
      <c r="DN30" s="1" t="s">
        <v>584</v>
      </c>
      <c r="DO30" s="1">
        <f>DO12*1000*1</f>
        <v>0.75</v>
      </c>
      <c r="DP30" s="11">
        <f t="shared" si="49"/>
        <v>15</v>
      </c>
      <c r="DQ30" s="1">
        <v>2</v>
      </c>
      <c r="DR30" s="1">
        <v>1213</v>
      </c>
      <c r="DS30" s="110">
        <v>1</v>
      </c>
    </row>
    <row r="31" spans="97:130" ht="16.5" customHeight="1" x14ac:dyDescent="0.25">
      <c r="CS31" s="6"/>
      <c r="CT31" s="359"/>
      <c r="CU31" s="194" t="s">
        <v>375</v>
      </c>
      <c r="CV31" s="70">
        <f t="shared" si="5"/>
        <v>1</v>
      </c>
      <c r="CW31" s="70">
        <f t="shared" si="6"/>
        <v>2</v>
      </c>
      <c r="CX31" s="195">
        <v>1000000</v>
      </c>
      <c r="CY31" s="194" t="str">
        <f t="shared" si="7"/>
        <v>金币</v>
      </c>
      <c r="CZ31" s="196">
        <f t="shared" si="8"/>
        <v>1</v>
      </c>
      <c r="DA31" s="196">
        <f t="shared" si="9"/>
        <v>2</v>
      </c>
      <c r="DB31" s="195">
        <v>100</v>
      </c>
      <c r="DC31" s="196">
        <f t="shared" si="11"/>
        <v>1000000</v>
      </c>
      <c r="DD31" s="196">
        <f t="shared" si="12"/>
        <v>100</v>
      </c>
      <c r="DE31" s="70">
        <f t="shared" si="13"/>
        <v>1000000</v>
      </c>
      <c r="DF31" s="70">
        <v>0</v>
      </c>
      <c r="DG31" s="11"/>
      <c r="DH31" s="11"/>
      <c r="DI31" s="11">
        <v>3</v>
      </c>
      <c r="DJ31" s="219"/>
      <c r="DN31" s="10" t="s">
        <v>585</v>
      </c>
      <c r="DO31" s="11">
        <f>DP31/20</f>
        <v>0.25</v>
      </c>
      <c r="DP31" s="11">
        <f>DP13/20</f>
        <v>5</v>
      </c>
      <c r="DQ31" s="11">
        <v>2</v>
      </c>
      <c r="DR31" s="19">
        <v>1015</v>
      </c>
      <c r="DS31" s="223">
        <v>1</v>
      </c>
    </row>
    <row r="32" spans="97:130" ht="16.5" customHeight="1" x14ac:dyDescent="0.25">
      <c r="CS32" s="6"/>
      <c r="CT32" s="359"/>
      <c r="CU32" s="194" t="s">
        <v>364</v>
      </c>
      <c r="CV32" s="70">
        <f t="shared" si="5"/>
        <v>2</v>
      </c>
      <c r="CW32" s="70">
        <f t="shared" si="6"/>
        <v>1204</v>
      </c>
      <c r="CX32" s="195">
        <v>10000</v>
      </c>
      <c r="CY32" s="194" t="str">
        <f t="shared" si="7"/>
        <v>福卡</v>
      </c>
      <c r="CZ32" s="196">
        <f t="shared" si="8"/>
        <v>2</v>
      </c>
      <c r="DA32" s="196">
        <f t="shared" si="9"/>
        <v>1204</v>
      </c>
      <c r="DB32" s="195">
        <v>101</v>
      </c>
      <c r="DC32" s="196">
        <f t="shared" si="11"/>
        <v>1500000</v>
      </c>
      <c r="DD32" s="196">
        <f t="shared" si="12"/>
        <v>15150</v>
      </c>
      <c r="DE32" s="70">
        <f t="shared" si="13"/>
        <v>1500000</v>
      </c>
      <c r="DF32" s="70">
        <v>0</v>
      </c>
      <c r="DG32" s="11"/>
      <c r="DH32" s="11"/>
      <c r="DI32" s="11">
        <v>1</v>
      </c>
      <c r="DJ32" s="219"/>
      <c r="DN32" s="10" t="s">
        <v>586</v>
      </c>
      <c r="DO32" s="11">
        <f t="shared" ref="DO32:DO34" si="50">DP32/20</f>
        <v>0.5</v>
      </c>
      <c r="DP32" s="11">
        <f t="shared" ref="DP32:DP34" si="51">DP14/20</f>
        <v>10</v>
      </c>
      <c r="DQ32" s="11">
        <v>2</v>
      </c>
      <c r="DR32" s="19">
        <v>1016</v>
      </c>
      <c r="DS32" s="223">
        <v>1</v>
      </c>
    </row>
    <row r="33" spans="97:123" ht="16.5" customHeight="1" x14ac:dyDescent="0.25">
      <c r="CS33" s="6"/>
      <c r="CT33" s="359"/>
      <c r="CU33" s="194" t="s">
        <v>360</v>
      </c>
      <c r="CV33" s="70">
        <f t="shared" si="5"/>
        <v>1</v>
      </c>
      <c r="CW33" s="70">
        <f t="shared" si="6"/>
        <v>1</v>
      </c>
      <c r="CX33" s="195">
        <v>40</v>
      </c>
      <c r="CY33" s="194" t="str">
        <f t="shared" si="7"/>
        <v>钻石</v>
      </c>
      <c r="CZ33" s="196">
        <f t="shared" si="8"/>
        <v>1</v>
      </c>
      <c r="DA33" s="196">
        <f t="shared" si="9"/>
        <v>1</v>
      </c>
      <c r="DB33" s="195">
        <v>102</v>
      </c>
      <c r="DC33" s="196">
        <f t="shared" si="11"/>
        <v>800000</v>
      </c>
      <c r="DD33" s="196">
        <f t="shared" si="12"/>
        <v>2040000</v>
      </c>
      <c r="DE33" s="70">
        <f t="shared" si="13"/>
        <v>800000</v>
      </c>
      <c r="DF33" s="70">
        <v>0</v>
      </c>
      <c r="DG33" s="11"/>
      <c r="DH33" s="11"/>
      <c r="DI33" s="11">
        <v>8</v>
      </c>
      <c r="DJ33" s="219"/>
      <c r="DN33" s="10" t="s">
        <v>587</v>
      </c>
      <c r="DO33" s="11">
        <f t="shared" si="50"/>
        <v>1.25</v>
      </c>
      <c r="DP33" s="11">
        <f t="shared" si="51"/>
        <v>25</v>
      </c>
      <c r="DQ33" s="11">
        <v>2</v>
      </c>
      <c r="DR33" s="19">
        <v>1017</v>
      </c>
      <c r="DS33" s="223">
        <v>1</v>
      </c>
    </row>
    <row r="34" spans="97:123" x14ac:dyDescent="0.25">
      <c r="CS34" s="6">
        <f>1000000/5*6</f>
        <v>1200000</v>
      </c>
      <c r="CT34" s="360"/>
      <c r="CU34" s="197" t="s">
        <v>570</v>
      </c>
      <c r="CV34" s="198">
        <f t="shared" si="5"/>
        <v>2</v>
      </c>
      <c r="CW34" s="198">
        <f t="shared" si="6"/>
        <v>1005</v>
      </c>
      <c r="CX34" s="201">
        <v>1</v>
      </c>
      <c r="CY34" s="197" t="str">
        <f t="shared" si="7"/>
        <v>超级武器1</v>
      </c>
      <c r="CZ34" s="199">
        <f t="shared" si="8"/>
        <v>2</v>
      </c>
      <c r="DA34" s="199">
        <f t="shared" si="9"/>
        <v>1005</v>
      </c>
      <c r="DB34" s="201">
        <v>103</v>
      </c>
      <c r="DC34" s="199">
        <f t="shared" si="11"/>
        <v>1000000</v>
      </c>
      <c r="DD34" s="199">
        <f t="shared" si="12"/>
        <v>103000000</v>
      </c>
      <c r="DE34" s="198">
        <f t="shared" si="13"/>
        <v>1000000</v>
      </c>
      <c r="DF34" s="198">
        <v>0</v>
      </c>
      <c r="DG34" s="128"/>
      <c r="DH34" s="128"/>
      <c r="DI34" s="128">
        <v>6</v>
      </c>
      <c r="DJ34" s="220"/>
      <c r="DN34" s="10" t="s">
        <v>588</v>
      </c>
      <c r="DO34" s="11">
        <f t="shared" si="50"/>
        <v>2.5</v>
      </c>
      <c r="DP34" s="11">
        <f t="shared" si="51"/>
        <v>50</v>
      </c>
      <c r="DQ34" s="11">
        <v>2</v>
      </c>
      <c r="DR34" s="19">
        <v>1018</v>
      </c>
      <c r="DS34" s="223">
        <v>1</v>
      </c>
    </row>
    <row r="35" spans="97:123" ht="16.5" customHeight="1" x14ac:dyDescent="0.25">
      <c r="CS35" s="6"/>
      <c r="CT35" s="358" t="str">
        <f>"抽奖
第4档
"&amp;D8&amp;"~
"&amp;E8</f>
        <v>抽奖
第4档
1000000~
2000000</v>
      </c>
      <c r="CU35" s="190" t="s">
        <v>375</v>
      </c>
      <c r="CV35" s="191">
        <f t="shared" si="5"/>
        <v>1</v>
      </c>
      <c r="CW35" s="191">
        <f t="shared" si="6"/>
        <v>2</v>
      </c>
      <c r="CX35" s="192">
        <v>750000</v>
      </c>
      <c r="CY35" s="190" t="str">
        <f t="shared" si="7"/>
        <v>金币</v>
      </c>
      <c r="CZ35" s="193">
        <f t="shared" si="8"/>
        <v>1</v>
      </c>
      <c r="DA35" s="193">
        <f t="shared" si="9"/>
        <v>2</v>
      </c>
      <c r="DB35" s="192">
        <f t="shared" ref="DB35:DB66" si="52">ROUNDUP(CX35/5,0)</f>
        <v>150000</v>
      </c>
      <c r="DC35" s="193">
        <f t="shared" si="11"/>
        <v>795000</v>
      </c>
      <c r="DD35" s="193">
        <f t="shared" si="12"/>
        <v>150000</v>
      </c>
      <c r="DE35" s="215">
        <f t="shared" si="13"/>
        <v>750000</v>
      </c>
      <c r="DF35" s="191">
        <v>1</v>
      </c>
      <c r="DG35" s="212">
        <v>1</v>
      </c>
      <c r="DH35" s="212">
        <v>0.3</v>
      </c>
      <c r="DI35" s="120">
        <v>4</v>
      </c>
      <c r="DJ35" s="218"/>
    </row>
    <row r="36" spans="97:123" ht="16.5" customHeight="1" x14ac:dyDescent="0.25">
      <c r="CS36" s="6"/>
      <c r="CT36" s="359"/>
      <c r="CU36" s="194" t="s">
        <v>402</v>
      </c>
      <c r="CV36" s="70">
        <f t="shared" si="5"/>
        <v>2</v>
      </c>
      <c r="CW36" s="70">
        <f t="shared" si="6"/>
        <v>1003</v>
      </c>
      <c r="CX36" s="200">
        <v>4</v>
      </c>
      <c r="CY36" s="194" t="str">
        <f t="shared" si="7"/>
        <v>狂暴</v>
      </c>
      <c r="CZ36" s="196">
        <f t="shared" si="8"/>
        <v>2</v>
      </c>
      <c r="DA36" s="196">
        <f t="shared" si="9"/>
        <v>1003</v>
      </c>
      <c r="DB36" s="195">
        <f t="shared" si="52"/>
        <v>1</v>
      </c>
      <c r="DC36" s="196">
        <f t="shared" si="11"/>
        <v>475000</v>
      </c>
      <c r="DD36" s="196">
        <f t="shared" si="12"/>
        <v>100000</v>
      </c>
      <c r="DE36" s="70">
        <f t="shared" si="13"/>
        <v>400000</v>
      </c>
      <c r="DF36" s="70">
        <v>0</v>
      </c>
      <c r="DG36" s="213">
        <v>1</v>
      </c>
      <c r="DH36" s="213">
        <v>0.75</v>
      </c>
      <c r="DI36" s="11">
        <v>9</v>
      </c>
      <c r="DJ36" s="219"/>
    </row>
    <row r="37" spans="97:123" ht="16.5" customHeight="1" x14ac:dyDescent="0.25">
      <c r="CS37" s="6"/>
      <c r="CT37" s="359"/>
      <c r="CU37" s="194" t="s">
        <v>402</v>
      </c>
      <c r="CV37" s="70">
        <f t="shared" ref="CV37:CV68" si="53">VLOOKUP(CU37,DN:DR,4,0)</f>
        <v>2</v>
      </c>
      <c r="CW37" s="70">
        <f t="shared" ref="CW37:CW68" si="54">VLOOKUP(CU37,DN:DR,5,0)</f>
        <v>1003</v>
      </c>
      <c r="CX37" s="200">
        <v>6</v>
      </c>
      <c r="CY37" s="194" t="str">
        <f t="shared" ref="CY37:CY68" si="55">CU37</f>
        <v>狂暴</v>
      </c>
      <c r="CZ37" s="196">
        <f t="shared" ref="CZ37:CZ68" si="56">VLOOKUP(CY37,DN:DR,4,0)</f>
        <v>2</v>
      </c>
      <c r="DA37" s="196">
        <f t="shared" ref="DA37:DA68" si="57">VLOOKUP(CY37,DN:DR,5,0)</f>
        <v>1003</v>
      </c>
      <c r="DB37" s="195">
        <f t="shared" si="52"/>
        <v>2</v>
      </c>
      <c r="DC37" s="196">
        <f t="shared" ref="DC37:DC68" si="58">DD37*DH37+DE37</f>
        <v>750000</v>
      </c>
      <c r="DD37" s="196">
        <f t="shared" ref="DD37:DD68" si="59">VLOOKUP(CY37,DN:DR,3,0)/$DP$7*DB37*VLOOKUP(CY37,DN:DS,6,0)</f>
        <v>200000</v>
      </c>
      <c r="DE37" s="70">
        <f t="shared" ref="DE37:DE68" si="60">VLOOKUP(CU37,DN:DR,3,0)/$DP$7*CX37*VLOOKUP(CU37,DN:DS,6,0)</f>
        <v>600000</v>
      </c>
      <c r="DF37" s="70">
        <v>0</v>
      </c>
      <c r="DG37" s="213">
        <v>0.5</v>
      </c>
      <c r="DH37" s="213">
        <v>0.75</v>
      </c>
      <c r="DI37" s="11">
        <v>7</v>
      </c>
      <c r="DJ37" s="219"/>
    </row>
    <row r="38" spans="97:123" ht="16.5" customHeight="1" x14ac:dyDescent="0.25">
      <c r="CS38" s="6"/>
      <c r="CT38" s="359"/>
      <c r="CU38" s="194" t="s">
        <v>375</v>
      </c>
      <c r="CV38" s="70">
        <f t="shared" si="53"/>
        <v>1</v>
      </c>
      <c r="CW38" s="70">
        <f t="shared" si="54"/>
        <v>2</v>
      </c>
      <c r="CX38" s="195">
        <v>800000</v>
      </c>
      <c r="CY38" s="194" t="str">
        <f t="shared" si="55"/>
        <v>金币</v>
      </c>
      <c r="CZ38" s="196">
        <f t="shared" si="56"/>
        <v>1</v>
      </c>
      <c r="DA38" s="196">
        <f t="shared" si="57"/>
        <v>2</v>
      </c>
      <c r="DB38" s="195">
        <f t="shared" si="52"/>
        <v>160000</v>
      </c>
      <c r="DC38" s="196">
        <f t="shared" si="58"/>
        <v>920000</v>
      </c>
      <c r="DD38" s="196">
        <f t="shared" si="59"/>
        <v>160000</v>
      </c>
      <c r="DE38" s="70">
        <f t="shared" si="60"/>
        <v>800000</v>
      </c>
      <c r="DF38" s="70">
        <v>0</v>
      </c>
      <c r="DG38" s="213">
        <v>1</v>
      </c>
      <c r="DH38" s="213">
        <v>0.75</v>
      </c>
      <c r="DI38" s="11">
        <v>2</v>
      </c>
      <c r="DJ38" s="219"/>
    </row>
    <row r="39" spans="97:123" ht="16.5" customHeight="1" x14ac:dyDescent="0.25">
      <c r="CS39" s="6"/>
      <c r="CT39" s="359"/>
      <c r="CU39" s="194" t="s">
        <v>375</v>
      </c>
      <c r="CV39" s="70">
        <f t="shared" si="53"/>
        <v>1</v>
      </c>
      <c r="CW39" s="70">
        <f t="shared" si="54"/>
        <v>2</v>
      </c>
      <c r="CX39" s="195">
        <v>1000000</v>
      </c>
      <c r="CY39" s="194" t="str">
        <f t="shared" si="55"/>
        <v>金币</v>
      </c>
      <c r="CZ39" s="196">
        <f t="shared" si="56"/>
        <v>1</v>
      </c>
      <c r="DA39" s="196">
        <f t="shared" si="57"/>
        <v>2</v>
      </c>
      <c r="DB39" s="195">
        <f t="shared" si="52"/>
        <v>200000</v>
      </c>
      <c r="DC39" s="196">
        <f t="shared" si="58"/>
        <v>1100000</v>
      </c>
      <c r="DD39" s="196">
        <f t="shared" si="59"/>
        <v>200000</v>
      </c>
      <c r="DE39" s="70">
        <f t="shared" si="60"/>
        <v>1000000</v>
      </c>
      <c r="DF39" s="70">
        <v>0</v>
      </c>
      <c r="DG39" s="213">
        <v>1</v>
      </c>
      <c r="DH39" s="214">
        <v>0.5</v>
      </c>
      <c r="DI39" s="11">
        <v>10</v>
      </c>
      <c r="DJ39" s="219"/>
    </row>
    <row r="40" spans="97:123" x14ac:dyDescent="0.25">
      <c r="CS40" s="6"/>
      <c r="CT40" s="359"/>
      <c r="CU40" s="194" t="s">
        <v>375</v>
      </c>
      <c r="CV40" s="70">
        <f t="shared" si="53"/>
        <v>1</v>
      </c>
      <c r="CW40" s="70">
        <f t="shared" si="54"/>
        <v>2</v>
      </c>
      <c r="CX40" s="195">
        <v>1500000</v>
      </c>
      <c r="CY40" s="194" t="str">
        <f t="shared" si="55"/>
        <v>金币</v>
      </c>
      <c r="CZ40" s="196">
        <f t="shared" si="56"/>
        <v>1</v>
      </c>
      <c r="DA40" s="196">
        <f t="shared" si="57"/>
        <v>2</v>
      </c>
      <c r="DB40" s="195">
        <f t="shared" si="52"/>
        <v>300000</v>
      </c>
      <c r="DC40" s="196">
        <f t="shared" si="58"/>
        <v>1590000</v>
      </c>
      <c r="DD40" s="196">
        <f t="shared" si="59"/>
        <v>300000</v>
      </c>
      <c r="DE40" s="70">
        <f t="shared" si="60"/>
        <v>1500000</v>
      </c>
      <c r="DF40" s="70">
        <v>0</v>
      </c>
      <c r="DG40" s="213">
        <v>1</v>
      </c>
      <c r="DH40" s="214">
        <v>0.3</v>
      </c>
      <c r="DI40" s="11">
        <v>8</v>
      </c>
      <c r="DJ40" s="219"/>
    </row>
    <row r="41" spans="97:123" x14ac:dyDescent="0.25">
      <c r="CS41" s="6"/>
      <c r="CT41" s="359"/>
      <c r="CU41" s="194" t="s">
        <v>364</v>
      </c>
      <c r="CV41" s="70">
        <f t="shared" si="53"/>
        <v>2</v>
      </c>
      <c r="CW41" s="70">
        <f t="shared" si="54"/>
        <v>1204</v>
      </c>
      <c r="CX41" s="202">
        <v>20000</v>
      </c>
      <c r="CY41" s="194" t="str">
        <f t="shared" si="55"/>
        <v>福卡</v>
      </c>
      <c r="CZ41" s="196">
        <f t="shared" si="56"/>
        <v>2</v>
      </c>
      <c r="DA41" s="196">
        <f t="shared" si="57"/>
        <v>1204</v>
      </c>
      <c r="DB41" s="195">
        <f t="shared" si="52"/>
        <v>4000</v>
      </c>
      <c r="DC41" s="196">
        <f t="shared" si="58"/>
        <v>3000000</v>
      </c>
      <c r="DD41" s="196">
        <f t="shared" si="59"/>
        <v>600000</v>
      </c>
      <c r="DE41" s="70">
        <f t="shared" si="60"/>
        <v>3000000</v>
      </c>
      <c r="DF41" s="70">
        <v>0</v>
      </c>
      <c r="DG41" s="11"/>
      <c r="DH41" s="11"/>
      <c r="DI41" s="11">
        <v>3</v>
      </c>
      <c r="DJ41" s="219"/>
    </row>
    <row r="42" spans="97:123" x14ac:dyDescent="0.25">
      <c r="CS42" s="6"/>
      <c r="CT42" s="359"/>
      <c r="CU42" s="194" t="s">
        <v>360</v>
      </c>
      <c r="CV42" s="70">
        <f t="shared" si="53"/>
        <v>1</v>
      </c>
      <c r="CW42" s="70">
        <f t="shared" si="54"/>
        <v>1</v>
      </c>
      <c r="CX42" s="195">
        <v>80</v>
      </c>
      <c r="CY42" s="194" t="str">
        <f t="shared" si="55"/>
        <v>钻石</v>
      </c>
      <c r="CZ42" s="196">
        <f t="shared" si="56"/>
        <v>1</v>
      </c>
      <c r="DA42" s="196">
        <f t="shared" si="57"/>
        <v>1</v>
      </c>
      <c r="DB42" s="195">
        <f t="shared" si="52"/>
        <v>16</v>
      </c>
      <c r="DC42" s="196">
        <f t="shared" si="58"/>
        <v>1600000</v>
      </c>
      <c r="DD42" s="196">
        <f t="shared" si="59"/>
        <v>320000</v>
      </c>
      <c r="DE42" s="70">
        <f t="shared" si="60"/>
        <v>1600000</v>
      </c>
      <c r="DF42" s="70">
        <v>0</v>
      </c>
      <c r="DG42" s="11"/>
      <c r="DH42" s="11"/>
      <c r="DI42" s="11">
        <v>5</v>
      </c>
      <c r="DJ42" s="219"/>
      <c r="DK42" s="1">
        <v>1600000</v>
      </c>
    </row>
    <row r="43" spans="97:123" x14ac:dyDescent="0.25">
      <c r="CS43" s="6"/>
      <c r="CT43" s="359"/>
      <c r="CU43" s="194" t="s">
        <v>570</v>
      </c>
      <c r="CV43" s="70">
        <f t="shared" si="53"/>
        <v>2</v>
      </c>
      <c r="CW43" s="70">
        <f t="shared" si="54"/>
        <v>1005</v>
      </c>
      <c r="CX43" s="195">
        <v>2</v>
      </c>
      <c r="CY43" s="194" t="str">
        <f t="shared" si="55"/>
        <v>超级武器1</v>
      </c>
      <c r="CZ43" s="196">
        <f t="shared" si="56"/>
        <v>2</v>
      </c>
      <c r="DA43" s="196">
        <f t="shared" si="57"/>
        <v>1005</v>
      </c>
      <c r="DB43" s="195">
        <f t="shared" si="52"/>
        <v>1</v>
      </c>
      <c r="DC43" s="196">
        <f t="shared" si="58"/>
        <v>2000000</v>
      </c>
      <c r="DD43" s="196">
        <f t="shared" si="59"/>
        <v>1000000</v>
      </c>
      <c r="DE43" s="70">
        <f t="shared" si="60"/>
        <v>2000000</v>
      </c>
      <c r="DF43" s="70">
        <v>0</v>
      </c>
      <c r="DG43" s="11"/>
      <c r="DH43" s="11"/>
      <c r="DI43" s="11">
        <v>6</v>
      </c>
      <c r="DJ43" s="219"/>
    </row>
    <row r="44" spans="97:123" x14ac:dyDescent="0.25">
      <c r="CS44" s="6">
        <f>2000000/5*6</f>
        <v>2400000</v>
      </c>
      <c r="CT44" s="360"/>
      <c r="CU44" s="197" t="s">
        <v>570</v>
      </c>
      <c r="CV44" s="198">
        <f t="shared" si="53"/>
        <v>2</v>
      </c>
      <c r="CW44" s="198">
        <f t="shared" si="54"/>
        <v>1005</v>
      </c>
      <c r="CX44" s="203">
        <v>3</v>
      </c>
      <c r="CY44" s="197" t="str">
        <f t="shared" si="55"/>
        <v>超级武器1</v>
      </c>
      <c r="CZ44" s="199">
        <f t="shared" si="56"/>
        <v>2</v>
      </c>
      <c r="DA44" s="199">
        <f t="shared" si="57"/>
        <v>1005</v>
      </c>
      <c r="DB44" s="201">
        <f t="shared" si="52"/>
        <v>1</v>
      </c>
      <c r="DC44" s="199">
        <f t="shared" si="58"/>
        <v>3000000</v>
      </c>
      <c r="DD44" s="199">
        <f t="shared" si="59"/>
        <v>1000000</v>
      </c>
      <c r="DE44" s="198">
        <f t="shared" si="60"/>
        <v>3000000</v>
      </c>
      <c r="DF44" s="198">
        <v>0</v>
      </c>
      <c r="DG44" s="128"/>
      <c r="DH44" s="128"/>
      <c r="DI44" s="128">
        <v>1</v>
      </c>
      <c r="DJ44" s="220"/>
    </row>
    <row r="45" spans="97:123" x14ac:dyDescent="0.25">
      <c r="CS45" s="6"/>
      <c r="CT45" s="358" t="str">
        <f>"抽奖
第5档
"&amp;D9&amp;"~
"&amp;E9</f>
        <v>抽奖
第5档
2000000~
6000000</v>
      </c>
      <c r="CU45" s="190" t="s">
        <v>375</v>
      </c>
      <c r="CV45" s="191">
        <f t="shared" si="53"/>
        <v>1</v>
      </c>
      <c r="CW45" s="191">
        <f t="shared" si="54"/>
        <v>2</v>
      </c>
      <c r="CX45" s="192">
        <v>2000000</v>
      </c>
      <c r="CY45" s="190" t="str">
        <f t="shared" si="55"/>
        <v>金币</v>
      </c>
      <c r="CZ45" s="193">
        <f t="shared" si="56"/>
        <v>1</v>
      </c>
      <c r="DA45" s="193">
        <f t="shared" si="57"/>
        <v>2</v>
      </c>
      <c r="DB45" s="192">
        <f t="shared" si="52"/>
        <v>400000</v>
      </c>
      <c r="DC45" s="193">
        <f t="shared" si="58"/>
        <v>2120000</v>
      </c>
      <c r="DD45" s="193">
        <f t="shared" si="59"/>
        <v>400000</v>
      </c>
      <c r="DE45" s="215">
        <f t="shared" si="60"/>
        <v>2000000</v>
      </c>
      <c r="DF45" s="191">
        <v>1</v>
      </c>
      <c r="DG45" s="212">
        <v>1</v>
      </c>
      <c r="DH45" s="212">
        <v>0.3</v>
      </c>
      <c r="DI45" s="120">
        <v>7</v>
      </c>
      <c r="DJ45" s="218"/>
    </row>
    <row r="46" spans="97:123" x14ac:dyDescent="0.25">
      <c r="CS46" s="6"/>
      <c r="CT46" s="359"/>
      <c r="CU46" s="194" t="s">
        <v>375</v>
      </c>
      <c r="CV46" s="70">
        <f t="shared" si="53"/>
        <v>1</v>
      </c>
      <c r="CW46" s="70">
        <f t="shared" si="54"/>
        <v>2</v>
      </c>
      <c r="CX46" s="195">
        <v>1000000</v>
      </c>
      <c r="CY46" s="194" t="str">
        <f t="shared" si="55"/>
        <v>金币</v>
      </c>
      <c r="CZ46" s="196">
        <f t="shared" si="56"/>
        <v>1</v>
      </c>
      <c r="DA46" s="196">
        <f t="shared" si="57"/>
        <v>2</v>
      </c>
      <c r="DB46" s="195">
        <f t="shared" si="52"/>
        <v>200000</v>
      </c>
      <c r="DC46" s="196">
        <f t="shared" si="58"/>
        <v>1150000</v>
      </c>
      <c r="DD46" s="196">
        <f t="shared" si="59"/>
        <v>200000</v>
      </c>
      <c r="DE46" s="70">
        <f t="shared" si="60"/>
        <v>1000000</v>
      </c>
      <c r="DF46" s="70">
        <v>0</v>
      </c>
      <c r="DG46" s="213">
        <v>1</v>
      </c>
      <c r="DH46" s="213">
        <v>0.75</v>
      </c>
      <c r="DI46" s="11">
        <v>2</v>
      </c>
      <c r="DJ46" s="219"/>
    </row>
    <row r="47" spans="97:123" x14ac:dyDescent="0.25">
      <c r="CS47" s="6"/>
      <c r="CT47" s="359"/>
      <c r="CU47" s="194" t="s">
        <v>375</v>
      </c>
      <c r="CV47" s="70">
        <f t="shared" si="53"/>
        <v>1</v>
      </c>
      <c r="CW47" s="70">
        <f t="shared" si="54"/>
        <v>2</v>
      </c>
      <c r="CX47" s="195">
        <v>1500000</v>
      </c>
      <c r="CY47" s="194" t="str">
        <f t="shared" si="55"/>
        <v>金币</v>
      </c>
      <c r="CZ47" s="196">
        <f t="shared" si="56"/>
        <v>1</v>
      </c>
      <c r="DA47" s="196">
        <f t="shared" si="57"/>
        <v>2</v>
      </c>
      <c r="DB47" s="195">
        <f t="shared" si="52"/>
        <v>300000</v>
      </c>
      <c r="DC47" s="196">
        <f t="shared" si="58"/>
        <v>1725000</v>
      </c>
      <c r="DD47" s="196">
        <f t="shared" si="59"/>
        <v>300000</v>
      </c>
      <c r="DE47" s="70">
        <f t="shared" si="60"/>
        <v>1500000</v>
      </c>
      <c r="DF47" s="70">
        <v>0</v>
      </c>
      <c r="DG47" s="213">
        <v>0.5</v>
      </c>
      <c r="DH47" s="213">
        <v>0.75</v>
      </c>
      <c r="DI47" s="11">
        <v>4</v>
      </c>
      <c r="DJ47" s="219"/>
    </row>
    <row r="48" spans="97:123" x14ac:dyDescent="0.25">
      <c r="CS48" s="6"/>
      <c r="CT48" s="359"/>
      <c r="CU48" s="194" t="s">
        <v>375</v>
      </c>
      <c r="CV48" s="70">
        <f t="shared" si="53"/>
        <v>1</v>
      </c>
      <c r="CW48" s="70">
        <f t="shared" si="54"/>
        <v>2</v>
      </c>
      <c r="CX48" s="195">
        <v>2500000</v>
      </c>
      <c r="CY48" s="194" t="str">
        <f t="shared" si="55"/>
        <v>金币</v>
      </c>
      <c r="CZ48" s="196">
        <f t="shared" si="56"/>
        <v>1</v>
      </c>
      <c r="DA48" s="196">
        <f t="shared" si="57"/>
        <v>2</v>
      </c>
      <c r="DB48" s="195">
        <f t="shared" si="52"/>
        <v>500000</v>
      </c>
      <c r="DC48" s="196">
        <f t="shared" si="58"/>
        <v>2875000</v>
      </c>
      <c r="DD48" s="196">
        <f t="shared" si="59"/>
        <v>500000</v>
      </c>
      <c r="DE48" s="70">
        <f t="shared" si="60"/>
        <v>2500000</v>
      </c>
      <c r="DF48" s="70">
        <v>0</v>
      </c>
      <c r="DG48" s="213">
        <v>1</v>
      </c>
      <c r="DH48" s="213">
        <v>0.75</v>
      </c>
      <c r="DI48" s="11">
        <v>9</v>
      </c>
      <c r="DJ48" s="219"/>
    </row>
    <row r="49" spans="97:115" x14ac:dyDescent="0.25">
      <c r="CS49" s="6"/>
      <c r="CT49" s="359"/>
      <c r="CU49" s="194" t="s">
        <v>375</v>
      </c>
      <c r="CV49" s="70">
        <f t="shared" si="53"/>
        <v>1</v>
      </c>
      <c r="CW49" s="70">
        <f t="shared" si="54"/>
        <v>2</v>
      </c>
      <c r="CX49" s="195">
        <v>3500000</v>
      </c>
      <c r="CY49" s="194" t="str">
        <f t="shared" si="55"/>
        <v>金币</v>
      </c>
      <c r="CZ49" s="196">
        <f t="shared" si="56"/>
        <v>1</v>
      </c>
      <c r="DA49" s="196">
        <f t="shared" si="57"/>
        <v>2</v>
      </c>
      <c r="DB49" s="195">
        <f t="shared" si="52"/>
        <v>700000</v>
      </c>
      <c r="DC49" s="196">
        <f t="shared" si="58"/>
        <v>3850000</v>
      </c>
      <c r="DD49" s="196">
        <f t="shared" si="59"/>
        <v>700000</v>
      </c>
      <c r="DE49" s="70">
        <f t="shared" si="60"/>
        <v>3500000</v>
      </c>
      <c r="DF49" s="70">
        <v>0</v>
      </c>
      <c r="DG49" s="213">
        <v>1</v>
      </c>
      <c r="DH49" s="214">
        <v>0.5</v>
      </c>
      <c r="DI49" s="11">
        <v>10</v>
      </c>
      <c r="DJ49" s="219"/>
    </row>
    <row r="50" spans="97:115" x14ac:dyDescent="0.25">
      <c r="CS50" s="6"/>
      <c r="CT50" s="359"/>
      <c r="CU50" s="194" t="s">
        <v>375</v>
      </c>
      <c r="CV50" s="70">
        <f t="shared" si="53"/>
        <v>1</v>
      </c>
      <c r="CW50" s="70">
        <f t="shared" si="54"/>
        <v>2</v>
      </c>
      <c r="CX50" s="195">
        <v>4500000</v>
      </c>
      <c r="CY50" s="194" t="str">
        <f t="shared" si="55"/>
        <v>金币</v>
      </c>
      <c r="CZ50" s="196">
        <f t="shared" si="56"/>
        <v>1</v>
      </c>
      <c r="DA50" s="196">
        <f t="shared" si="57"/>
        <v>2</v>
      </c>
      <c r="DB50" s="195">
        <f t="shared" si="52"/>
        <v>900000</v>
      </c>
      <c r="DC50" s="196">
        <f t="shared" si="58"/>
        <v>4770000</v>
      </c>
      <c r="DD50" s="196">
        <f t="shared" si="59"/>
        <v>900000</v>
      </c>
      <c r="DE50" s="70">
        <f t="shared" si="60"/>
        <v>4500000</v>
      </c>
      <c r="DF50" s="70">
        <v>0</v>
      </c>
      <c r="DG50" s="213">
        <v>1</v>
      </c>
      <c r="DH50" s="214">
        <v>0.3</v>
      </c>
      <c r="DI50" s="11">
        <v>5</v>
      </c>
      <c r="DJ50" s="219"/>
    </row>
    <row r="51" spans="97:115" x14ac:dyDescent="0.25">
      <c r="CS51" s="6"/>
      <c r="CT51" s="359"/>
      <c r="CU51" s="194" t="s">
        <v>364</v>
      </c>
      <c r="CV51" s="70">
        <f t="shared" si="53"/>
        <v>2</v>
      </c>
      <c r="CW51" s="70">
        <f t="shared" si="54"/>
        <v>1204</v>
      </c>
      <c r="CX51" s="195">
        <v>35000</v>
      </c>
      <c r="CY51" s="194" t="str">
        <f t="shared" si="55"/>
        <v>福卡</v>
      </c>
      <c r="CZ51" s="196">
        <f t="shared" si="56"/>
        <v>2</v>
      </c>
      <c r="DA51" s="196">
        <f t="shared" si="57"/>
        <v>1204</v>
      </c>
      <c r="DB51" s="195">
        <f t="shared" si="52"/>
        <v>7000</v>
      </c>
      <c r="DC51" s="196">
        <f t="shared" si="58"/>
        <v>5250000</v>
      </c>
      <c r="DD51" s="196">
        <f t="shared" si="59"/>
        <v>1050000</v>
      </c>
      <c r="DE51" s="70">
        <f t="shared" si="60"/>
        <v>5250000</v>
      </c>
      <c r="DF51" s="70">
        <v>0</v>
      </c>
      <c r="DG51" s="11"/>
      <c r="DH51" s="11"/>
      <c r="DI51" s="11">
        <v>3</v>
      </c>
      <c r="DJ51" s="219"/>
    </row>
    <row r="52" spans="97:115" x14ac:dyDescent="0.25">
      <c r="CS52" s="6"/>
      <c r="CT52" s="359"/>
      <c r="CU52" s="194" t="s">
        <v>360</v>
      </c>
      <c r="CV52" s="70">
        <f t="shared" si="53"/>
        <v>1</v>
      </c>
      <c r="CW52" s="70">
        <f t="shared" si="54"/>
        <v>1</v>
      </c>
      <c r="CX52" s="195">
        <v>200</v>
      </c>
      <c r="CY52" s="194" t="str">
        <f t="shared" si="55"/>
        <v>钻石</v>
      </c>
      <c r="CZ52" s="196">
        <f t="shared" si="56"/>
        <v>1</v>
      </c>
      <c r="DA52" s="196">
        <f t="shared" si="57"/>
        <v>1</v>
      </c>
      <c r="DB52" s="195">
        <f t="shared" si="52"/>
        <v>40</v>
      </c>
      <c r="DC52" s="196">
        <f t="shared" si="58"/>
        <v>4000000</v>
      </c>
      <c r="DD52" s="196">
        <f t="shared" si="59"/>
        <v>800000</v>
      </c>
      <c r="DE52" s="70">
        <f t="shared" si="60"/>
        <v>4000000</v>
      </c>
      <c r="DF52" s="70">
        <v>0</v>
      </c>
      <c r="DG52" s="11"/>
      <c r="DH52" s="11"/>
      <c r="DI52" s="11">
        <v>8</v>
      </c>
      <c r="DJ52" s="219"/>
    </row>
    <row r="53" spans="97:115" x14ac:dyDescent="0.25">
      <c r="CS53" s="6"/>
      <c r="CT53" s="359"/>
      <c r="CU53" s="194" t="s">
        <v>363</v>
      </c>
      <c r="CV53" s="70">
        <f t="shared" si="53"/>
        <v>2</v>
      </c>
      <c r="CW53" s="70">
        <f t="shared" si="54"/>
        <v>1006</v>
      </c>
      <c r="CX53" s="195">
        <v>3</v>
      </c>
      <c r="CY53" s="194" t="str">
        <f t="shared" si="55"/>
        <v>超级武器2</v>
      </c>
      <c r="CZ53" s="196">
        <f t="shared" si="56"/>
        <v>2</v>
      </c>
      <c r="DA53" s="196">
        <f t="shared" si="57"/>
        <v>1006</v>
      </c>
      <c r="DB53" s="195">
        <f t="shared" si="52"/>
        <v>1</v>
      </c>
      <c r="DC53" s="196">
        <f t="shared" si="58"/>
        <v>6000000</v>
      </c>
      <c r="DD53" s="196">
        <f t="shared" si="59"/>
        <v>2000000</v>
      </c>
      <c r="DE53" s="70">
        <f t="shared" si="60"/>
        <v>6000000</v>
      </c>
      <c r="DF53" s="70">
        <v>0</v>
      </c>
      <c r="DG53" s="11"/>
      <c r="DH53" s="11"/>
      <c r="DI53" s="11">
        <v>6</v>
      </c>
      <c r="DJ53" s="219"/>
    </row>
    <row r="54" spans="97:115" x14ac:dyDescent="0.25">
      <c r="CS54" s="6">
        <f>6000000/5*6</f>
        <v>7200000</v>
      </c>
      <c r="CT54" s="360"/>
      <c r="CU54" s="197" t="s">
        <v>374</v>
      </c>
      <c r="CV54" s="198">
        <f t="shared" si="53"/>
        <v>2</v>
      </c>
      <c r="CW54" s="198">
        <f t="shared" si="54"/>
        <v>1007</v>
      </c>
      <c r="CX54" s="201">
        <v>2</v>
      </c>
      <c r="CY54" s="197" t="str">
        <f t="shared" si="55"/>
        <v>超级武器3</v>
      </c>
      <c r="CZ54" s="199">
        <f t="shared" si="56"/>
        <v>2</v>
      </c>
      <c r="DA54" s="199">
        <f t="shared" si="57"/>
        <v>1007</v>
      </c>
      <c r="DB54" s="201">
        <f t="shared" si="52"/>
        <v>1</v>
      </c>
      <c r="DC54" s="199">
        <f t="shared" si="58"/>
        <v>10000000</v>
      </c>
      <c r="DD54" s="199">
        <f t="shared" si="59"/>
        <v>5000000</v>
      </c>
      <c r="DE54" s="198">
        <f t="shared" si="60"/>
        <v>10000000</v>
      </c>
      <c r="DF54" s="198">
        <v>0</v>
      </c>
      <c r="DG54" s="128"/>
      <c r="DH54" s="128"/>
      <c r="DI54" s="128">
        <v>1</v>
      </c>
      <c r="DJ54" s="220"/>
    </row>
    <row r="55" spans="97:115" x14ac:dyDescent="0.25">
      <c r="CS55" s="6"/>
      <c r="CT55" s="358" t="str">
        <f>"抽奖
第6档
"&amp;D10&amp;"~
"&amp;E10</f>
        <v>抽奖
第6档
6000000~
12000000</v>
      </c>
      <c r="CU55" s="190" t="s">
        <v>375</v>
      </c>
      <c r="CV55" s="191">
        <f t="shared" si="53"/>
        <v>1</v>
      </c>
      <c r="CW55" s="191">
        <f t="shared" si="54"/>
        <v>2</v>
      </c>
      <c r="CX55" s="192">
        <v>4500000</v>
      </c>
      <c r="CY55" s="190" t="str">
        <f t="shared" si="55"/>
        <v>金币</v>
      </c>
      <c r="CZ55" s="193">
        <f t="shared" si="56"/>
        <v>1</v>
      </c>
      <c r="DA55" s="193">
        <f t="shared" si="57"/>
        <v>2</v>
      </c>
      <c r="DB55" s="192">
        <f t="shared" si="52"/>
        <v>900000</v>
      </c>
      <c r="DC55" s="193">
        <f t="shared" si="58"/>
        <v>4770000</v>
      </c>
      <c r="DD55" s="193">
        <f t="shared" si="59"/>
        <v>900000</v>
      </c>
      <c r="DE55" s="215">
        <f t="shared" si="60"/>
        <v>4500000</v>
      </c>
      <c r="DF55" s="191">
        <v>1</v>
      </c>
      <c r="DG55" s="212">
        <v>1</v>
      </c>
      <c r="DH55" s="212">
        <v>0.3</v>
      </c>
      <c r="DI55" s="120">
        <v>4</v>
      </c>
      <c r="DJ55" s="221"/>
    </row>
    <row r="56" spans="97:115" x14ac:dyDescent="0.25">
      <c r="CS56" s="6"/>
      <c r="CT56" s="359"/>
      <c r="CU56" s="194" t="s">
        <v>375</v>
      </c>
      <c r="CV56" s="70">
        <f t="shared" si="53"/>
        <v>1</v>
      </c>
      <c r="CW56" s="70">
        <f t="shared" si="54"/>
        <v>2</v>
      </c>
      <c r="CX56" s="195">
        <v>4000000</v>
      </c>
      <c r="CY56" s="194" t="str">
        <f t="shared" si="55"/>
        <v>金币</v>
      </c>
      <c r="CZ56" s="196">
        <f t="shared" si="56"/>
        <v>1</v>
      </c>
      <c r="DA56" s="196">
        <f t="shared" si="57"/>
        <v>2</v>
      </c>
      <c r="DB56" s="195">
        <f t="shared" si="52"/>
        <v>800000</v>
      </c>
      <c r="DC56" s="196">
        <f t="shared" si="58"/>
        <v>4600000</v>
      </c>
      <c r="DD56" s="196">
        <f t="shared" si="59"/>
        <v>800000</v>
      </c>
      <c r="DE56" s="70">
        <f t="shared" si="60"/>
        <v>4000000</v>
      </c>
      <c r="DF56" s="70">
        <v>0</v>
      </c>
      <c r="DG56" s="213">
        <v>0.5</v>
      </c>
      <c r="DH56" s="214">
        <v>0.75</v>
      </c>
      <c r="DI56" s="11">
        <v>2</v>
      </c>
      <c r="DJ56" s="219"/>
    </row>
    <row r="57" spans="97:115" x14ac:dyDescent="0.25">
      <c r="CS57" s="6"/>
      <c r="CT57" s="359"/>
      <c r="CU57" s="194" t="s">
        <v>375</v>
      </c>
      <c r="CV57" s="70">
        <f t="shared" si="53"/>
        <v>1</v>
      </c>
      <c r="CW57" s="70">
        <f t="shared" si="54"/>
        <v>2</v>
      </c>
      <c r="CX57" s="195">
        <v>5000000</v>
      </c>
      <c r="CY57" s="194" t="str">
        <f t="shared" si="55"/>
        <v>金币</v>
      </c>
      <c r="CZ57" s="196">
        <f t="shared" si="56"/>
        <v>1</v>
      </c>
      <c r="DA57" s="196">
        <f t="shared" si="57"/>
        <v>2</v>
      </c>
      <c r="DB57" s="195">
        <f t="shared" si="52"/>
        <v>1000000</v>
      </c>
      <c r="DC57" s="196">
        <f t="shared" si="58"/>
        <v>5750000</v>
      </c>
      <c r="DD57" s="196">
        <f t="shared" si="59"/>
        <v>1000000</v>
      </c>
      <c r="DE57" s="70">
        <f t="shared" si="60"/>
        <v>5000000</v>
      </c>
      <c r="DF57" s="70">
        <v>0</v>
      </c>
      <c r="DG57" s="213">
        <v>1</v>
      </c>
      <c r="DH57" s="214">
        <v>0.75</v>
      </c>
      <c r="DI57" s="11">
        <v>7</v>
      </c>
      <c r="DJ57" s="219"/>
    </row>
    <row r="58" spans="97:115" x14ac:dyDescent="0.25">
      <c r="CS58" s="6"/>
      <c r="CT58" s="359"/>
      <c r="CU58" s="194" t="s">
        <v>375</v>
      </c>
      <c r="CV58" s="70">
        <f t="shared" si="53"/>
        <v>1</v>
      </c>
      <c r="CW58" s="70">
        <f t="shared" si="54"/>
        <v>2</v>
      </c>
      <c r="CX58" s="195">
        <v>6000000</v>
      </c>
      <c r="CY58" s="194" t="str">
        <f t="shared" si="55"/>
        <v>金币</v>
      </c>
      <c r="CZ58" s="196">
        <f t="shared" si="56"/>
        <v>1</v>
      </c>
      <c r="DA58" s="196">
        <f t="shared" si="57"/>
        <v>2</v>
      </c>
      <c r="DB58" s="195">
        <f t="shared" si="52"/>
        <v>1200000</v>
      </c>
      <c r="DC58" s="196">
        <f t="shared" si="58"/>
        <v>6900000</v>
      </c>
      <c r="DD58" s="196">
        <f t="shared" si="59"/>
        <v>1200000</v>
      </c>
      <c r="DE58" s="70">
        <f t="shared" si="60"/>
        <v>6000000</v>
      </c>
      <c r="DF58" s="70">
        <v>0</v>
      </c>
      <c r="DG58" s="213">
        <v>1</v>
      </c>
      <c r="DH58" s="213">
        <v>0.75</v>
      </c>
      <c r="DI58" s="11">
        <v>9</v>
      </c>
      <c r="DJ58" s="219"/>
    </row>
    <row r="59" spans="97:115" x14ac:dyDescent="0.25">
      <c r="CS59" s="6"/>
      <c r="CT59" s="359"/>
      <c r="CU59" s="194" t="s">
        <v>375</v>
      </c>
      <c r="CV59" s="70">
        <f t="shared" si="53"/>
        <v>1</v>
      </c>
      <c r="CW59" s="70">
        <f t="shared" si="54"/>
        <v>2</v>
      </c>
      <c r="CX59" s="195">
        <v>7000000</v>
      </c>
      <c r="CY59" s="194" t="str">
        <f t="shared" si="55"/>
        <v>金币</v>
      </c>
      <c r="CZ59" s="196">
        <f t="shared" si="56"/>
        <v>1</v>
      </c>
      <c r="DA59" s="196">
        <f t="shared" si="57"/>
        <v>2</v>
      </c>
      <c r="DB59" s="195">
        <f t="shared" si="52"/>
        <v>1400000</v>
      </c>
      <c r="DC59" s="196">
        <f t="shared" si="58"/>
        <v>7700000</v>
      </c>
      <c r="DD59" s="196">
        <f t="shared" si="59"/>
        <v>1400000</v>
      </c>
      <c r="DE59" s="70">
        <f t="shared" si="60"/>
        <v>7000000</v>
      </c>
      <c r="DF59" s="70">
        <v>0</v>
      </c>
      <c r="DG59" s="213">
        <v>1</v>
      </c>
      <c r="DH59" s="214">
        <v>0.5</v>
      </c>
      <c r="DI59" s="11">
        <v>10</v>
      </c>
      <c r="DJ59" s="219"/>
    </row>
    <row r="60" spans="97:115" x14ac:dyDescent="0.25">
      <c r="CS60" s="6"/>
      <c r="CT60" s="359"/>
      <c r="CU60" s="194" t="s">
        <v>375</v>
      </c>
      <c r="CV60" s="70">
        <f t="shared" si="53"/>
        <v>1</v>
      </c>
      <c r="CW60" s="70">
        <f t="shared" si="54"/>
        <v>2</v>
      </c>
      <c r="CX60" s="195">
        <v>8000000</v>
      </c>
      <c r="CY60" s="194" t="str">
        <f t="shared" si="55"/>
        <v>金币</v>
      </c>
      <c r="CZ60" s="196">
        <f t="shared" si="56"/>
        <v>1</v>
      </c>
      <c r="DA60" s="196">
        <f t="shared" si="57"/>
        <v>2</v>
      </c>
      <c r="DB60" s="195">
        <f t="shared" si="52"/>
        <v>1600000</v>
      </c>
      <c r="DC60" s="196">
        <f t="shared" si="58"/>
        <v>8480000</v>
      </c>
      <c r="DD60" s="196">
        <f t="shared" si="59"/>
        <v>1600000</v>
      </c>
      <c r="DE60" s="70">
        <f t="shared" si="60"/>
        <v>8000000</v>
      </c>
      <c r="DF60" s="70">
        <v>0</v>
      </c>
      <c r="DG60" s="213">
        <v>1</v>
      </c>
      <c r="DH60" s="213">
        <v>0.3</v>
      </c>
      <c r="DI60" s="11">
        <v>8</v>
      </c>
      <c r="DJ60" s="219"/>
    </row>
    <row r="61" spans="97:115" x14ac:dyDescent="0.25">
      <c r="CS61" s="6"/>
      <c r="CT61" s="359"/>
      <c r="CU61" s="194" t="s">
        <v>364</v>
      </c>
      <c r="CV61" s="70">
        <f t="shared" si="53"/>
        <v>2</v>
      </c>
      <c r="CW61" s="70">
        <f t="shared" si="54"/>
        <v>1204</v>
      </c>
      <c r="CX61" s="195">
        <v>60000</v>
      </c>
      <c r="CY61" s="194" t="str">
        <f t="shared" si="55"/>
        <v>福卡</v>
      </c>
      <c r="CZ61" s="196">
        <f t="shared" si="56"/>
        <v>2</v>
      </c>
      <c r="DA61" s="196">
        <f t="shared" si="57"/>
        <v>1204</v>
      </c>
      <c r="DB61" s="195">
        <f t="shared" si="52"/>
        <v>12000</v>
      </c>
      <c r="DC61" s="196">
        <f t="shared" si="58"/>
        <v>9000000</v>
      </c>
      <c r="DD61" s="196">
        <f t="shared" si="59"/>
        <v>1800000</v>
      </c>
      <c r="DE61" s="70">
        <f t="shared" si="60"/>
        <v>9000000</v>
      </c>
      <c r="DF61" s="70">
        <v>0</v>
      </c>
      <c r="DG61" s="11"/>
      <c r="DH61" s="11"/>
      <c r="DI61" s="11">
        <v>3</v>
      </c>
      <c r="DJ61" s="219"/>
    </row>
    <row r="62" spans="97:115" x14ac:dyDescent="0.25">
      <c r="CS62" s="6"/>
      <c r="CT62" s="359"/>
      <c r="CU62" s="194" t="s">
        <v>360</v>
      </c>
      <c r="CV62" s="70">
        <f t="shared" si="53"/>
        <v>1</v>
      </c>
      <c r="CW62" s="70">
        <f t="shared" si="54"/>
        <v>1</v>
      </c>
      <c r="CX62" s="195">
        <v>400</v>
      </c>
      <c r="CY62" s="194" t="str">
        <f t="shared" si="55"/>
        <v>钻石</v>
      </c>
      <c r="CZ62" s="196">
        <f t="shared" si="56"/>
        <v>1</v>
      </c>
      <c r="DA62" s="196">
        <f t="shared" si="57"/>
        <v>1</v>
      </c>
      <c r="DB62" s="195">
        <f t="shared" si="52"/>
        <v>80</v>
      </c>
      <c r="DC62" s="196">
        <f t="shared" si="58"/>
        <v>8000000</v>
      </c>
      <c r="DD62" s="196">
        <f t="shared" si="59"/>
        <v>1600000</v>
      </c>
      <c r="DE62" s="70">
        <f t="shared" si="60"/>
        <v>8000000</v>
      </c>
      <c r="DF62" s="70">
        <v>0</v>
      </c>
      <c r="DG62" s="11"/>
      <c r="DH62" s="11"/>
      <c r="DI62" s="11">
        <v>5</v>
      </c>
      <c r="DJ62" s="219"/>
      <c r="DK62" s="1">
        <v>8000000</v>
      </c>
    </row>
    <row r="63" spans="97:115" x14ac:dyDescent="0.25">
      <c r="CS63" s="6"/>
      <c r="CT63" s="359"/>
      <c r="CU63" s="194" t="s">
        <v>374</v>
      </c>
      <c r="CV63" s="70">
        <f t="shared" si="53"/>
        <v>2</v>
      </c>
      <c r="CW63" s="70">
        <f t="shared" si="54"/>
        <v>1007</v>
      </c>
      <c r="CX63" s="195">
        <v>2</v>
      </c>
      <c r="CY63" s="194" t="str">
        <f t="shared" si="55"/>
        <v>超级武器3</v>
      </c>
      <c r="CZ63" s="196">
        <f t="shared" si="56"/>
        <v>2</v>
      </c>
      <c r="DA63" s="196">
        <f t="shared" si="57"/>
        <v>1007</v>
      </c>
      <c r="DB63" s="195">
        <f t="shared" si="52"/>
        <v>1</v>
      </c>
      <c r="DC63" s="196">
        <f t="shared" si="58"/>
        <v>10000000</v>
      </c>
      <c r="DD63" s="196">
        <f t="shared" si="59"/>
        <v>5000000</v>
      </c>
      <c r="DE63" s="70">
        <f t="shared" si="60"/>
        <v>10000000</v>
      </c>
      <c r="DF63" s="70">
        <v>0</v>
      </c>
      <c r="DG63" s="11"/>
      <c r="DH63" s="11"/>
      <c r="DI63" s="11">
        <v>6</v>
      </c>
      <c r="DJ63" s="219"/>
    </row>
    <row r="64" spans="97:115" x14ac:dyDescent="0.25">
      <c r="CS64" s="6">
        <f>12000000/5*6</f>
        <v>14400000</v>
      </c>
      <c r="CT64" s="360"/>
      <c r="CU64" s="197" t="s">
        <v>361</v>
      </c>
      <c r="CV64" s="198">
        <f t="shared" si="53"/>
        <v>2</v>
      </c>
      <c r="CW64" s="198">
        <f t="shared" si="54"/>
        <v>1008</v>
      </c>
      <c r="CX64" s="195">
        <v>2</v>
      </c>
      <c r="CY64" s="197" t="str">
        <f t="shared" si="55"/>
        <v>超级武器4</v>
      </c>
      <c r="CZ64" s="199">
        <f t="shared" si="56"/>
        <v>2</v>
      </c>
      <c r="DA64" s="199">
        <f t="shared" si="57"/>
        <v>1008</v>
      </c>
      <c r="DB64" s="201">
        <f t="shared" si="52"/>
        <v>1</v>
      </c>
      <c r="DC64" s="199">
        <f t="shared" si="58"/>
        <v>20000000</v>
      </c>
      <c r="DD64" s="199">
        <f t="shared" si="59"/>
        <v>10000000</v>
      </c>
      <c r="DE64" s="198">
        <f t="shared" si="60"/>
        <v>20000000</v>
      </c>
      <c r="DF64" s="198">
        <v>0</v>
      </c>
      <c r="DG64" s="128"/>
      <c r="DH64" s="128"/>
      <c r="DI64" s="128">
        <v>1</v>
      </c>
      <c r="DJ64" s="220"/>
    </row>
    <row r="65" spans="97:114" x14ac:dyDescent="0.25">
      <c r="CS65" s="6"/>
      <c r="CT65" s="358" t="str">
        <f>"抽奖
第7档
"&amp;D11&amp;"~
"&amp;E11</f>
        <v>抽奖
第7档
12000000~
24000000</v>
      </c>
      <c r="CU65" s="190" t="s">
        <v>361</v>
      </c>
      <c r="CV65" s="191">
        <f t="shared" si="53"/>
        <v>2</v>
      </c>
      <c r="CW65" s="191">
        <f t="shared" si="54"/>
        <v>1008</v>
      </c>
      <c r="CX65" s="192">
        <v>4</v>
      </c>
      <c r="CY65" s="190" t="str">
        <f t="shared" si="55"/>
        <v>超级武器4</v>
      </c>
      <c r="CZ65" s="193">
        <f t="shared" si="56"/>
        <v>2</v>
      </c>
      <c r="DA65" s="193">
        <f t="shared" si="57"/>
        <v>1008</v>
      </c>
      <c r="DB65" s="192">
        <f t="shared" si="52"/>
        <v>1</v>
      </c>
      <c r="DC65" s="193">
        <f t="shared" si="58"/>
        <v>43000000</v>
      </c>
      <c r="DD65" s="193">
        <f t="shared" si="59"/>
        <v>10000000</v>
      </c>
      <c r="DE65" s="224">
        <f t="shared" si="60"/>
        <v>40000000</v>
      </c>
      <c r="DF65" s="191">
        <v>1</v>
      </c>
      <c r="DG65" s="212">
        <v>1</v>
      </c>
      <c r="DH65" s="212">
        <v>0.3</v>
      </c>
      <c r="DI65" s="120">
        <v>1</v>
      </c>
      <c r="DJ65" s="221"/>
    </row>
    <row r="66" spans="97:114" x14ac:dyDescent="0.25">
      <c r="CS66" s="6"/>
      <c r="CT66" s="359"/>
      <c r="CU66" s="194" t="s">
        <v>375</v>
      </c>
      <c r="CV66" s="70">
        <f t="shared" si="53"/>
        <v>1</v>
      </c>
      <c r="CW66" s="70">
        <f t="shared" si="54"/>
        <v>2</v>
      </c>
      <c r="CX66" s="195">
        <v>8000000</v>
      </c>
      <c r="CY66" s="194" t="str">
        <f t="shared" si="55"/>
        <v>金币</v>
      </c>
      <c r="CZ66" s="196">
        <f t="shared" si="56"/>
        <v>1</v>
      </c>
      <c r="DA66" s="196">
        <f t="shared" si="57"/>
        <v>2</v>
      </c>
      <c r="DB66" s="195">
        <f t="shared" si="52"/>
        <v>1600000</v>
      </c>
      <c r="DC66" s="196">
        <f t="shared" si="58"/>
        <v>9200000</v>
      </c>
      <c r="DD66" s="196">
        <f t="shared" si="59"/>
        <v>1600000</v>
      </c>
      <c r="DE66" s="70">
        <f t="shared" si="60"/>
        <v>8000000</v>
      </c>
      <c r="DF66" s="70">
        <v>0</v>
      </c>
      <c r="DG66" s="213">
        <v>0.5</v>
      </c>
      <c r="DH66" s="214">
        <v>0.75</v>
      </c>
      <c r="DI66" s="11">
        <v>2</v>
      </c>
      <c r="DJ66" s="219"/>
    </row>
    <row r="67" spans="97:114" x14ac:dyDescent="0.25">
      <c r="CS67" s="6"/>
      <c r="CT67" s="359"/>
      <c r="CU67" s="194" t="s">
        <v>375</v>
      </c>
      <c r="CV67" s="70">
        <f t="shared" si="53"/>
        <v>1</v>
      </c>
      <c r="CW67" s="70">
        <f t="shared" si="54"/>
        <v>2</v>
      </c>
      <c r="CX67" s="195">
        <v>10000000</v>
      </c>
      <c r="CY67" s="194" t="str">
        <f t="shared" si="55"/>
        <v>金币</v>
      </c>
      <c r="CZ67" s="196">
        <f t="shared" si="56"/>
        <v>1</v>
      </c>
      <c r="DA67" s="196">
        <f t="shared" si="57"/>
        <v>2</v>
      </c>
      <c r="DB67" s="195">
        <f t="shared" ref="DB67:DB84" si="61">ROUNDUP(CX67/5,0)</f>
        <v>2000000</v>
      </c>
      <c r="DC67" s="196">
        <f t="shared" si="58"/>
        <v>11500000</v>
      </c>
      <c r="DD67" s="196">
        <f t="shared" si="59"/>
        <v>2000000</v>
      </c>
      <c r="DE67" s="70">
        <f t="shared" si="60"/>
        <v>10000000</v>
      </c>
      <c r="DF67" s="70">
        <v>0</v>
      </c>
      <c r="DG67" s="213">
        <v>1</v>
      </c>
      <c r="DH67" s="214">
        <v>0.75</v>
      </c>
      <c r="DI67" s="11">
        <v>4</v>
      </c>
      <c r="DJ67" s="219"/>
    </row>
    <row r="68" spans="97:114" x14ac:dyDescent="0.25">
      <c r="CS68" s="6"/>
      <c r="CT68" s="359"/>
      <c r="CU68" s="194" t="s">
        <v>375</v>
      </c>
      <c r="CV68" s="70">
        <f t="shared" si="53"/>
        <v>1</v>
      </c>
      <c r="CW68" s="70">
        <f t="shared" si="54"/>
        <v>2</v>
      </c>
      <c r="CX68" s="195">
        <v>12000000</v>
      </c>
      <c r="CY68" s="194" t="str">
        <f t="shared" si="55"/>
        <v>金币</v>
      </c>
      <c r="CZ68" s="196">
        <f t="shared" si="56"/>
        <v>1</v>
      </c>
      <c r="DA68" s="196">
        <f t="shared" si="57"/>
        <v>2</v>
      </c>
      <c r="DB68" s="195">
        <f t="shared" si="61"/>
        <v>2400000</v>
      </c>
      <c r="DC68" s="196">
        <f t="shared" si="58"/>
        <v>13800000</v>
      </c>
      <c r="DD68" s="196">
        <f t="shared" si="59"/>
        <v>2400000</v>
      </c>
      <c r="DE68" s="70">
        <f t="shared" si="60"/>
        <v>12000000</v>
      </c>
      <c r="DF68" s="70">
        <v>0</v>
      </c>
      <c r="DG68" s="213">
        <v>1</v>
      </c>
      <c r="DH68" s="213">
        <v>0.75</v>
      </c>
      <c r="DI68" s="11">
        <v>7</v>
      </c>
      <c r="DJ68" s="219"/>
    </row>
    <row r="69" spans="97:114" x14ac:dyDescent="0.25">
      <c r="CS69" s="6"/>
      <c r="CT69" s="359"/>
      <c r="CU69" s="194" t="s">
        <v>375</v>
      </c>
      <c r="CV69" s="70">
        <f t="shared" ref="CV69:CV84" si="62">VLOOKUP(CU69,DN:DR,4,0)</f>
        <v>1</v>
      </c>
      <c r="CW69" s="70">
        <f t="shared" ref="CW69:CW84" si="63">VLOOKUP(CU69,DN:DR,5,0)</f>
        <v>2</v>
      </c>
      <c r="CX69" s="195">
        <v>14000000</v>
      </c>
      <c r="CY69" s="194" t="str">
        <f t="shared" ref="CY69:CY84" si="64">CU69</f>
        <v>金币</v>
      </c>
      <c r="CZ69" s="196">
        <f t="shared" ref="CZ69:CZ84" si="65">VLOOKUP(CY69,DN:DR,4,0)</f>
        <v>1</v>
      </c>
      <c r="DA69" s="196">
        <f t="shared" ref="DA69:DA84" si="66">VLOOKUP(CY69,DN:DR,5,0)</f>
        <v>2</v>
      </c>
      <c r="DB69" s="195">
        <f t="shared" si="61"/>
        <v>2800000</v>
      </c>
      <c r="DC69" s="196">
        <f t="shared" ref="DC69:DC84" si="67">DD69*DH69+DE69</f>
        <v>15400000</v>
      </c>
      <c r="DD69" s="196">
        <f t="shared" ref="DD69:DD84" si="68">VLOOKUP(CY69,DN:DR,3,0)/$DP$7*DB69*VLOOKUP(CY69,DN:DS,6,0)</f>
        <v>2800000</v>
      </c>
      <c r="DE69" s="70">
        <f t="shared" ref="DE69:DE84" si="69">VLOOKUP(CU69,DN:DR,3,0)/$DP$7*CX69*VLOOKUP(CU69,DN:DS,6,0)</f>
        <v>14000000</v>
      </c>
      <c r="DF69" s="70">
        <v>0</v>
      </c>
      <c r="DG69" s="213">
        <v>1</v>
      </c>
      <c r="DH69" s="214">
        <v>0.5</v>
      </c>
      <c r="DI69" s="11">
        <v>9</v>
      </c>
      <c r="DJ69" s="219"/>
    </row>
    <row r="70" spans="97:114" x14ac:dyDescent="0.25">
      <c r="CS70" s="6"/>
      <c r="CT70" s="359"/>
      <c r="CU70" s="194" t="s">
        <v>375</v>
      </c>
      <c r="CV70" s="70">
        <f t="shared" si="62"/>
        <v>1</v>
      </c>
      <c r="CW70" s="70">
        <f t="shared" si="63"/>
        <v>2</v>
      </c>
      <c r="CX70" s="195">
        <v>16000000</v>
      </c>
      <c r="CY70" s="194" t="str">
        <f t="shared" si="64"/>
        <v>金币</v>
      </c>
      <c r="CZ70" s="196">
        <f t="shared" si="65"/>
        <v>1</v>
      </c>
      <c r="DA70" s="196">
        <f t="shared" si="66"/>
        <v>2</v>
      </c>
      <c r="DB70" s="195">
        <f t="shared" si="61"/>
        <v>3200000</v>
      </c>
      <c r="DC70" s="196">
        <f t="shared" si="67"/>
        <v>16960000</v>
      </c>
      <c r="DD70" s="196">
        <f t="shared" si="68"/>
        <v>3200000</v>
      </c>
      <c r="DE70" s="70">
        <f t="shared" si="69"/>
        <v>16000000</v>
      </c>
      <c r="DF70" s="70">
        <v>0</v>
      </c>
      <c r="DG70" s="213">
        <v>1</v>
      </c>
      <c r="DH70" s="213">
        <v>0.3</v>
      </c>
      <c r="DI70" s="11">
        <v>10</v>
      </c>
      <c r="DJ70" s="219"/>
    </row>
    <row r="71" spans="97:114" x14ac:dyDescent="0.25">
      <c r="CS71" s="6"/>
      <c r="CT71" s="359"/>
      <c r="CU71" s="194" t="s">
        <v>375</v>
      </c>
      <c r="CV71" s="70">
        <f t="shared" si="62"/>
        <v>1</v>
      </c>
      <c r="CW71" s="70">
        <f t="shared" si="63"/>
        <v>2</v>
      </c>
      <c r="CX71" s="195">
        <v>18000000</v>
      </c>
      <c r="CY71" s="194" t="str">
        <f t="shared" si="64"/>
        <v>金币</v>
      </c>
      <c r="CZ71" s="196">
        <f t="shared" si="65"/>
        <v>1</v>
      </c>
      <c r="DA71" s="196">
        <f t="shared" si="66"/>
        <v>2</v>
      </c>
      <c r="DB71" s="195">
        <f t="shared" si="61"/>
        <v>3600000</v>
      </c>
      <c r="DC71" s="196">
        <f t="shared" si="67"/>
        <v>18000000</v>
      </c>
      <c r="DD71" s="196">
        <f t="shared" si="68"/>
        <v>3600000</v>
      </c>
      <c r="DE71" s="70">
        <f t="shared" si="69"/>
        <v>18000000</v>
      </c>
      <c r="DF71" s="70">
        <v>0</v>
      </c>
      <c r="DG71" s="11"/>
      <c r="DH71" s="11"/>
      <c r="DI71" s="11">
        <v>8</v>
      </c>
      <c r="DJ71" s="219"/>
    </row>
    <row r="72" spans="97:114" x14ac:dyDescent="0.25">
      <c r="CS72" s="6"/>
      <c r="CT72" s="359"/>
      <c r="CU72" s="194" t="s">
        <v>375</v>
      </c>
      <c r="CV72" s="70">
        <f t="shared" si="62"/>
        <v>1</v>
      </c>
      <c r="CW72" s="70">
        <f t="shared" si="63"/>
        <v>2</v>
      </c>
      <c r="CX72" s="195">
        <v>20000000</v>
      </c>
      <c r="CY72" s="194" t="str">
        <f t="shared" si="64"/>
        <v>金币</v>
      </c>
      <c r="CZ72" s="196">
        <f t="shared" si="65"/>
        <v>1</v>
      </c>
      <c r="DA72" s="196">
        <f t="shared" si="66"/>
        <v>2</v>
      </c>
      <c r="DB72" s="195">
        <f t="shared" si="61"/>
        <v>4000000</v>
      </c>
      <c r="DC72" s="196">
        <f t="shared" si="67"/>
        <v>20000000</v>
      </c>
      <c r="DD72" s="196">
        <f t="shared" si="68"/>
        <v>4000000</v>
      </c>
      <c r="DE72" s="70">
        <f t="shared" si="69"/>
        <v>20000000</v>
      </c>
      <c r="DF72" s="70">
        <v>0</v>
      </c>
      <c r="DG72" s="11"/>
      <c r="DH72" s="11"/>
      <c r="DI72" s="11">
        <v>5</v>
      </c>
      <c r="DJ72" s="219"/>
    </row>
    <row r="73" spans="97:114" x14ac:dyDescent="0.25">
      <c r="CS73" s="6"/>
      <c r="CT73" s="359"/>
      <c r="CU73" s="194" t="s">
        <v>374</v>
      </c>
      <c r="CV73" s="70">
        <f t="shared" si="62"/>
        <v>2</v>
      </c>
      <c r="CW73" s="70">
        <f t="shared" si="63"/>
        <v>1007</v>
      </c>
      <c r="CX73" s="195">
        <v>4</v>
      </c>
      <c r="CY73" s="194" t="str">
        <f t="shared" si="64"/>
        <v>超级武器3</v>
      </c>
      <c r="CZ73" s="196">
        <f t="shared" si="65"/>
        <v>2</v>
      </c>
      <c r="DA73" s="196">
        <f t="shared" si="66"/>
        <v>1007</v>
      </c>
      <c r="DB73" s="195">
        <f t="shared" si="61"/>
        <v>1</v>
      </c>
      <c r="DC73" s="196">
        <f t="shared" si="67"/>
        <v>20000000</v>
      </c>
      <c r="DD73" s="196">
        <f t="shared" si="68"/>
        <v>5000000</v>
      </c>
      <c r="DE73" s="70">
        <f t="shared" si="69"/>
        <v>20000000</v>
      </c>
      <c r="DF73" s="70">
        <v>0</v>
      </c>
      <c r="DG73" s="11"/>
      <c r="DH73" s="11"/>
      <c r="DI73" s="11">
        <v>3</v>
      </c>
      <c r="DJ73" s="219"/>
    </row>
    <row r="74" spans="97:114" x14ac:dyDescent="0.25">
      <c r="CS74" s="6">
        <f>24000000/5*6</f>
        <v>28800000</v>
      </c>
      <c r="CT74" s="360"/>
      <c r="CU74" s="197" t="s">
        <v>361</v>
      </c>
      <c r="CV74" s="198">
        <f t="shared" si="62"/>
        <v>2</v>
      </c>
      <c r="CW74" s="198">
        <f t="shared" si="63"/>
        <v>1008</v>
      </c>
      <c r="CX74" s="201">
        <v>3</v>
      </c>
      <c r="CY74" s="197" t="str">
        <f t="shared" si="64"/>
        <v>超级武器4</v>
      </c>
      <c r="CZ74" s="199">
        <f t="shared" si="65"/>
        <v>2</v>
      </c>
      <c r="DA74" s="199">
        <f t="shared" si="66"/>
        <v>1008</v>
      </c>
      <c r="DB74" s="201">
        <f t="shared" si="61"/>
        <v>1</v>
      </c>
      <c r="DC74" s="199">
        <f t="shared" si="67"/>
        <v>30000000</v>
      </c>
      <c r="DD74" s="199">
        <f t="shared" si="68"/>
        <v>10000000</v>
      </c>
      <c r="DE74" s="198">
        <f t="shared" si="69"/>
        <v>30000000</v>
      </c>
      <c r="DF74" s="198">
        <v>0</v>
      </c>
      <c r="DG74" s="128"/>
      <c r="DH74" s="128"/>
      <c r="DI74" s="128">
        <v>6</v>
      </c>
      <c r="DJ74" s="220"/>
    </row>
    <row r="75" spans="97:114" x14ac:dyDescent="0.25">
      <c r="CS75" s="6"/>
      <c r="CT75" s="358" t="str">
        <f>"抽奖
第8档
"&amp;D12&amp;"~
"&amp;E12</f>
        <v>抽奖
第8档
24000000~
999999999</v>
      </c>
      <c r="CU75" s="190" t="s">
        <v>361</v>
      </c>
      <c r="CV75" s="191">
        <f t="shared" si="62"/>
        <v>2</v>
      </c>
      <c r="CW75" s="191">
        <f t="shared" si="63"/>
        <v>1008</v>
      </c>
      <c r="CX75" s="192">
        <v>6</v>
      </c>
      <c r="CY75" s="190" t="str">
        <f t="shared" si="64"/>
        <v>超级武器4</v>
      </c>
      <c r="CZ75" s="193">
        <f t="shared" si="65"/>
        <v>2</v>
      </c>
      <c r="DA75" s="193">
        <f t="shared" si="66"/>
        <v>1008</v>
      </c>
      <c r="DB75" s="192">
        <f t="shared" si="61"/>
        <v>2</v>
      </c>
      <c r="DC75" s="193">
        <f t="shared" si="67"/>
        <v>66000000</v>
      </c>
      <c r="DD75" s="193">
        <f t="shared" si="68"/>
        <v>20000000</v>
      </c>
      <c r="DE75" s="224">
        <f t="shared" si="69"/>
        <v>60000000</v>
      </c>
      <c r="DF75" s="191">
        <v>1</v>
      </c>
      <c r="DG75" s="212">
        <v>1</v>
      </c>
      <c r="DH75" s="212">
        <v>0.3</v>
      </c>
      <c r="DI75" s="120">
        <v>1</v>
      </c>
      <c r="DJ75" s="221"/>
    </row>
    <row r="76" spans="97:114" x14ac:dyDescent="0.25">
      <c r="CS76" s="6"/>
      <c r="CT76" s="359"/>
      <c r="CU76" s="194" t="s">
        <v>375</v>
      </c>
      <c r="CV76" s="70">
        <f t="shared" si="62"/>
        <v>1</v>
      </c>
      <c r="CW76" s="70">
        <f t="shared" si="63"/>
        <v>2</v>
      </c>
      <c r="CX76" s="195">
        <v>20000000</v>
      </c>
      <c r="CY76" s="194" t="str">
        <f t="shared" si="64"/>
        <v>金币</v>
      </c>
      <c r="CZ76" s="196">
        <f t="shared" si="65"/>
        <v>1</v>
      </c>
      <c r="DA76" s="196">
        <f t="shared" si="66"/>
        <v>2</v>
      </c>
      <c r="DB76" s="195">
        <f t="shared" si="61"/>
        <v>4000000</v>
      </c>
      <c r="DC76" s="196">
        <f t="shared" si="67"/>
        <v>23000000</v>
      </c>
      <c r="DD76" s="196">
        <f t="shared" si="68"/>
        <v>4000000</v>
      </c>
      <c r="DE76" s="70">
        <f t="shared" si="69"/>
        <v>20000000</v>
      </c>
      <c r="DF76" s="70">
        <v>0</v>
      </c>
      <c r="DG76" s="213">
        <v>0.5</v>
      </c>
      <c r="DH76" s="214">
        <v>0.75</v>
      </c>
      <c r="DI76" s="11">
        <v>9</v>
      </c>
      <c r="DJ76" s="219"/>
    </row>
    <row r="77" spans="97:114" x14ac:dyDescent="0.25">
      <c r="CS77" s="6"/>
      <c r="CT77" s="359"/>
      <c r="CU77" s="194" t="s">
        <v>375</v>
      </c>
      <c r="CV77" s="70">
        <f t="shared" si="62"/>
        <v>1</v>
      </c>
      <c r="CW77" s="70">
        <f t="shared" si="63"/>
        <v>2</v>
      </c>
      <c r="CX77" s="195">
        <v>25000000</v>
      </c>
      <c r="CY77" s="194" t="str">
        <f t="shared" si="64"/>
        <v>金币</v>
      </c>
      <c r="CZ77" s="196">
        <f t="shared" si="65"/>
        <v>1</v>
      </c>
      <c r="DA77" s="196">
        <f t="shared" si="66"/>
        <v>2</v>
      </c>
      <c r="DB77" s="195">
        <f t="shared" si="61"/>
        <v>5000000</v>
      </c>
      <c r="DC77" s="196">
        <f t="shared" si="67"/>
        <v>28750000</v>
      </c>
      <c r="DD77" s="196">
        <f t="shared" si="68"/>
        <v>5000000</v>
      </c>
      <c r="DE77" s="70">
        <f t="shared" si="69"/>
        <v>25000000</v>
      </c>
      <c r="DF77" s="70">
        <v>0</v>
      </c>
      <c r="DG77" s="213">
        <v>1</v>
      </c>
      <c r="DH77" s="214">
        <v>0.75</v>
      </c>
      <c r="DI77" s="11">
        <v>7</v>
      </c>
      <c r="DJ77" s="219"/>
    </row>
    <row r="78" spans="97:114" x14ac:dyDescent="0.25">
      <c r="CS78" s="6"/>
      <c r="CT78" s="359"/>
      <c r="CU78" s="194" t="s">
        <v>375</v>
      </c>
      <c r="CV78" s="70">
        <f t="shared" si="62"/>
        <v>1</v>
      </c>
      <c r="CW78" s="70">
        <f t="shared" si="63"/>
        <v>2</v>
      </c>
      <c r="CX78" s="195">
        <v>30000000</v>
      </c>
      <c r="CY78" s="194" t="str">
        <f t="shared" si="64"/>
        <v>金币</v>
      </c>
      <c r="CZ78" s="196">
        <f t="shared" si="65"/>
        <v>1</v>
      </c>
      <c r="DA78" s="196">
        <f t="shared" si="66"/>
        <v>2</v>
      </c>
      <c r="DB78" s="195">
        <f t="shared" si="61"/>
        <v>6000000</v>
      </c>
      <c r="DC78" s="196">
        <f t="shared" si="67"/>
        <v>34500000</v>
      </c>
      <c r="DD78" s="196">
        <f t="shared" si="68"/>
        <v>6000000</v>
      </c>
      <c r="DE78" s="70">
        <f t="shared" si="69"/>
        <v>30000000</v>
      </c>
      <c r="DF78" s="70">
        <v>0</v>
      </c>
      <c r="DG78" s="213">
        <v>1</v>
      </c>
      <c r="DH78" s="213">
        <v>0.75</v>
      </c>
      <c r="DI78" s="11">
        <v>4</v>
      </c>
      <c r="DJ78" s="219"/>
    </row>
    <row r="79" spans="97:114" x14ac:dyDescent="0.25">
      <c r="CS79" s="6"/>
      <c r="CT79" s="359"/>
      <c r="CU79" s="194" t="s">
        <v>375</v>
      </c>
      <c r="CV79" s="70">
        <f t="shared" si="62"/>
        <v>1</v>
      </c>
      <c r="CW79" s="70">
        <f t="shared" si="63"/>
        <v>2</v>
      </c>
      <c r="CX79" s="195">
        <v>35000000</v>
      </c>
      <c r="CY79" s="194" t="str">
        <f t="shared" si="64"/>
        <v>金币</v>
      </c>
      <c r="CZ79" s="196">
        <f t="shared" si="65"/>
        <v>1</v>
      </c>
      <c r="DA79" s="196">
        <f t="shared" si="66"/>
        <v>2</v>
      </c>
      <c r="DB79" s="195">
        <f t="shared" si="61"/>
        <v>7000000</v>
      </c>
      <c r="DC79" s="196">
        <f t="shared" si="67"/>
        <v>38500000</v>
      </c>
      <c r="DD79" s="196">
        <f t="shared" si="68"/>
        <v>7000000</v>
      </c>
      <c r="DE79" s="70">
        <f t="shared" si="69"/>
        <v>35000000</v>
      </c>
      <c r="DF79" s="70">
        <v>0</v>
      </c>
      <c r="DG79" s="213">
        <v>1</v>
      </c>
      <c r="DH79" s="214">
        <v>0.5</v>
      </c>
      <c r="DI79" s="11">
        <v>2</v>
      </c>
      <c r="DJ79" s="219"/>
    </row>
    <row r="80" spans="97:114" x14ac:dyDescent="0.25">
      <c r="CS80" s="6"/>
      <c r="CT80" s="359"/>
      <c r="CU80" s="194" t="s">
        <v>375</v>
      </c>
      <c r="CV80" s="70">
        <f t="shared" si="62"/>
        <v>1</v>
      </c>
      <c r="CW80" s="70">
        <f t="shared" si="63"/>
        <v>2</v>
      </c>
      <c r="CX80" s="195">
        <v>40000000</v>
      </c>
      <c r="CY80" s="194" t="str">
        <f t="shared" si="64"/>
        <v>金币</v>
      </c>
      <c r="CZ80" s="196">
        <f t="shared" si="65"/>
        <v>1</v>
      </c>
      <c r="DA80" s="196">
        <f t="shared" si="66"/>
        <v>2</v>
      </c>
      <c r="DB80" s="195">
        <f t="shared" si="61"/>
        <v>8000000</v>
      </c>
      <c r="DC80" s="196">
        <f t="shared" si="67"/>
        <v>42400000</v>
      </c>
      <c r="DD80" s="196">
        <f t="shared" si="68"/>
        <v>8000000</v>
      </c>
      <c r="DE80" s="70">
        <f t="shared" si="69"/>
        <v>40000000</v>
      </c>
      <c r="DF80" s="70">
        <v>0</v>
      </c>
      <c r="DG80" s="213">
        <v>1</v>
      </c>
      <c r="DH80" s="213">
        <v>0.3</v>
      </c>
      <c r="DI80" s="11">
        <v>10</v>
      </c>
      <c r="DJ80" s="219"/>
    </row>
    <row r="81" spans="97:114" x14ac:dyDescent="0.25">
      <c r="CS81" s="6"/>
      <c r="CT81" s="359"/>
      <c r="CU81" s="194" t="s">
        <v>375</v>
      </c>
      <c r="CV81" s="70">
        <f t="shared" si="62"/>
        <v>1</v>
      </c>
      <c r="CW81" s="70">
        <f t="shared" si="63"/>
        <v>2</v>
      </c>
      <c r="CX81" s="195">
        <v>45000000</v>
      </c>
      <c r="CY81" s="194" t="str">
        <f t="shared" si="64"/>
        <v>金币</v>
      </c>
      <c r="CZ81" s="196">
        <f t="shared" si="65"/>
        <v>1</v>
      </c>
      <c r="DA81" s="196">
        <f t="shared" si="66"/>
        <v>2</v>
      </c>
      <c r="DB81" s="195">
        <f t="shared" si="61"/>
        <v>9000000</v>
      </c>
      <c r="DC81" s="196">
        <f t="shared" si="67"/>
        <v>45000000</v>
      </c>
      <c r="DD81" s="196">
        <f t="shared" si="68"/>
        <v>9000000</v>
      </c>
      <c r="DE81" s="70">
        <f t="shared" si="69"/>
        <v>45000000</v>
      </c>
      <c r="DF81" s="70">
        <v>0</v>
      </c>
      <c r="DG81" s="11"/>
      <c r="DH81" s="11"/>
      <c r="DI81" s="11">
        <v>8</v>
      </c>
      <c r="DJ81" s="219"/>
    </row>
    <row r="82" spans="97:114" x14ac:dyDescent="0.25">
      <c r="CS82" s="6"/>
      <c r="CT82" s="359"/>
      <c r="CU82" s="194" t="s">
        <v>374</v>
      </c>
      <c r="CV82" s="70">
        <f t="shared" si="62"/>
        <v>2</v>
      </c>
      <c r="CW82" s="70">
        <f t="shared" si="63"/>
        <v>1007</v>
      </c>
      <c r="CX82" s="195">
        <v>7</v>
      </c>
      <c r="CY82" s="194" t="str">
        <f t="shared" si="64"/>
        <v>超级武器3</v>
      </c>
      <c r="CZ82" s="196">
        <f t="shared" si="65"/>
        <v>2</v>
      </c>
      <c r="DA82" s="196">
        <f t="shared" si="66"/>
        <v>1007</v>
      </c>
      <c r="DB82" s="195">
        <f t="shared" si="61"/>
        <v>2</v>
      </c>
      <c r="DC82" s="196">
        <f t="shared" si="67"/>
        <v>35000000</v>
      </c>
      <c r="DD82" s="196">
        <f t="shared" si="68"/>
        <v>10000000</v>
      </c>
      <c r="DE82" s="70">
        <f t="shared" si="69"/>
        <v>35000000</v>
      </c>
      <c r="DF82" s="70">
        <v>0</v>
      </c>
      <c r="DG82" s="11"/>
      <c r="DH82" s="11"/>
      <c r="DI82" s="11">
        <v>5</v>
      </c>
      <c r="DJ82" s="219"/>
    </row>
    <row r="83" spans="97:114" x14ac:dyDescent="0.25">
      <c r="CS83" s="6"/>
      <c r="CT83" s="359"/>
      <c r="CU83" s="194" t="s">
        <v>374</v>
      </c>
      <c r="CV83" s="70">
        <f t="shared" si="62"/>
        <v>2</v>
      </c>
      <c r="CW83" s="70">
        <f t="shared" si="63"/>
        <v>1007</v>
      </c>
      <c r="CX83" s="195">
        <v>8</v>
      </c>
      <c r="CY83" s="194" t="str">
        <f t="shared" si="64"/>
        <v>超级武器3</v>
      </c>
      <c r="CZ83" s="196">
        <f t="shared" si="65"/>
        <v>2</v>
      </c>
      <c r="DA83" s="196">
        <f t="shared" si="66"/>
        <v>1007</v>
      </c>
      <c r="DB83" s="195">
        <f t="shared" si="61"/>
        <v>2</v>
      </c>
      <c r="DC83" s="196">
        <f t="shared" si="67"/>
        <v>40000000</v>
      </c>
      <c r="DD83" s="196">
        <f t="shared" si="68"/>
        <v>10000000</v>
      </c>
      <c r="DE83" s="70">
        <f t="shared" si="69"/>
        <v>40000000</v>
      </c>
      <c r="DF83" s="70">
        <v>0</v>
      </c>
      <c r="DG83" s="11"/>
      <c r="DH83" s="11"/>
      <c r="DI83" s="11">
        <v>3</v>
      </c>
      <c r="DJ83" s="219"/>
    </row>
    <row r="84" spans="97:114" x14ac:dyDescent="0.25">
      <c r="CS84" s="6">
        <f>24000000/5*6</f>
        <v>28800000</v>
      </c>
      <c r="CT84" s="360"/>
      <c r="CU84" s="197" t="s">
        <v>361</v>
      </c>
      <c r="CV84" s="198">
        <f t="shared" si="62"/>
        <v>2</v>
      </c>
      <c r="CW84" s="198">
        <f t="shared" si="63"/>
        <v>1008</v>
      </c>
      <c r="CX84" s="201">
        <v>5</v>
      </c>
      <c r="CY84" s="197" t="str">
        <f t="shared" si="64"/>
        <v>超级武器4</v>
      </c>
      <c r="CZ84" s="199">
        <f t="shared" si="65"/>
        <v>2</v>
      </c>
      <c r="DA84" s="199">
        <f t="shared" si="66"/>
        <v>1008</v>
      </c>
      <c r="DB84" s="201">
        <f t="shared" si="61"/>
        <v>1</v>
      </c>
      <c r="DC84" s="199">
        <f t="shared" si="67"/>
        <v>50000000</v>
      </c>
      <c r="DD84" s="199">
        <f t="shared" si="68"/>
        <v>10000000</v>
      </c>
      <c r="DE84" s="198">
        <f t="shared" si="69"/>
        <v>50000000</v>
      </c>
      <c r="DF84" s="198">
        <v>0</v>
      </c>
      <c r="DG84" s="128"/>
      <c r="DH84" s="128"/>
      <c r="DI84" s="128">
        <v>6</v>
      </c>
      <c r="DJ84" s="220"/>
    </row>
  </sheetData>
  <mergeCells count="10">
    <mergeCell ref="CT35:CT44"/>
    <mergeCell ref="CT45:CT54"/>
    <mergeCell ref="CT55:CT64"/>
    <mergeCell ref="CT65:CT74"/>
    <mergeCell ref="CT75:CT84"/>
    <mergeCell ref="CU3:CX3"/>
    <mergeCell ref="CY3:DB3"/>
    <mergeCell ref="CT5:CT14"/>
    <mergeCell ref="CT15:CT24"/>
    <mergeCell ref="CT25:CT34"/>
  </mergeCells>
  <phoneticPr fontId="40" type="noConversion"/>
  <conditionalFormatting sqref="DE4">
    <cfRule type="containsText" dxfId="712" priority="64" operator="containsText" text=" ">
      <formula>NOT(ISERROR(SEARCH(" ",DE4)))</formula>
    </cfRule>
  </conditionalFormatting>
  <conditionalFormatting sqref="DJ4">
    <cfRule type="containsText" dxfId="711" priority="157" operator="containsText" text=" ">
      <formula>NOT(ISERROR(SEARCH(" ",DJ4)))</formula>
    </cfRule>
  </conditionalFormatting>
  <conditionalFormatting sqref="CI5">
    <cfRule type="containsText" dxfId="710" priority="6" operator="containsText" text=" ">
      <formula>NOT(ISERROR(SEARCH(" ",CI5)))</formula>
    </cfRule>
  </conditionalFormatting>
  <conditionalFormatting sqref="CR5">
    <cfRule type="containsText" dxfId="709" priority="2" operator="containsText" text=" ">
      <formula>NOT(ISERROR(SEARCH(" ",CR5)))</formula>
    </cfRule>
  </conditionalFormatting>
  <conditionalFormatting sqref="CI6">
    <cfRule type="containsText" dxfId="708" priority="7" operator="containsText" text=" ">
      <formula>NOT(ISERROR(SEARCH(" ",CI6)))</formula>
    </cfRule>
  </conditionalFormatting>
  <conditionalFormatting sqref="CR6">
    <cfRule type="containsText" dxfId="707" priority="1" operator="containsText" text=" ">
      <formula>NOT(ISERROR(SEARCH(" ",CR6)))</formula>
    </cfRule>
  </conditionalFormatting>
  <conditionalFormatting sqref="CI7">
    <cfRule type="containsText" dxfId="706" priority="24" operator="containsText" text=" ">
      <formula>NOT(ISERROR(SEARCH(" ",CI7)))</formula>
    </cfRule>
  </conditionalFormatting>
  <conditionalFormatting sqref="CR7">
    <cfRule type="containsText" dxfId="705" priority="20" operator="containsText" text=" ">
      <formula>NOT(ISERROR(SEARCH(" ",CR7)))</formula>
    </cfRule>
  </conditionalFormatting>
  <conditionalFormatting sqref="CI8">
    <cfRule type="containsText" dxfId="704" priority="25" operator="containsText" text=" ">
      <formula>NOT(ISERROR(SEARCH(" ",CI8)))</formula>
    </cfRule>
  </conditionalFormatting>
  <conditionalFormatting sqref="CR8">
    <cfRule type="containsText" dxfId="703" priority="21" operator="containsText" text=" ">
      <formula>NOT(ISERROR(SEARCH(" ",CR8)))</formula>
    </cfRule>
  </conditionalFormatting>
  <conditionalFormatting sqref="BQ9">
    <cfRule type="containsText" dxfId="702" priority="16" operator="containsText" text=" ">
      <formula>NOT(ISERROR(SEARCH(" ",BQ9)))</formula>
    </cfRule>
  </conditionalFormatting>
  <conditionalFormatting sqref="BZ9">
    <cfRule type="containsText" dxfId="701" priority="49" operator="containsText" text=" ">
      <formula>NOT(ISERROR(SEARCH(" ",BZ9)))</formula>
    </cfRule>
  </conditionalFormatting>
  <conditionalFormatting sqref="CI9">
    <cfRule type="containsText" dxfId="700" priority="17" operator="containsText" text=" ">
      <formula>NOT(ISERROR(SEARCH(" ",CI9)))</formula>
    </cfRule>
  </conditionalFormatting>
  <conditionalFormatting sqref="AP10">
    <cfRule type="containsText" dxfId="699" priority="41" operator="containsText" text=" ">
      <formula>NOT(ISERROR(SEARCH(" ",AP10)))</formula>
    </cfRule>
  </conditionalFormatting>
  <conditionalFormatting sqref="AY10">
    <cfRule type="containsText" dxfId="698" priority="40" operator="containsText" text=" ">
      <formula>NOT(ISERROR(SEARCH(" ",AY10)))</formula>
    </cfRule>
  </conditionalFormatting>
  <conditionalFormatting sqref="BH10">
    <cfRule type="containsText" dxfId="697" priority="39" operator="containsText" text=" ">
      <formula>NOT(ISERROR(SEARCH(" ",BH10)))</formula>
    </cfRule>
  </conditionalFormatting>
  <conditionalFormatting sqref="BQ10">
    <cfRule type="containsText" dxfId="696" priority="37" operator="containsText" text=" ">
      <formula>NOT(ISERROR(SEARCH(" ",BQ10)))</formula>
    </cfRule>
  </conditionalFormatting>
  <conditionalFormatting sqref="BZ10">
    <cfRule type="containsText" dxfId="695" priority="34" operator="containsText" text=" ">
      <formula>NOT(ISERROR(SEARCH(" ",BZ10)))</formula>
    </cfRule>
  </conditionalFormatting>
  <conditionalFormatting sqref="CR10">
    <cfRule type="containsText" dxfId="694" priority="30" operator="containsText" text=" ">
      <formula>NOT(ISERROR(SEARCH(" ",CR10)))</formula>
    </cfRule>
  </conditionalFormatting>
  <conditionalFormatting sqref="BZ11">
    <cfRule type="containsText" dxfId="693" priority="35" operator="containsText" text=" ">
      <formula>NOT(ISERROR(SEARCH(" ",BZ11)))</formula>
    </cfRule>
  </conditionalFormatting>
  <conditionalFormatting sqref="CR11">
    <cfRule type="containsText" dxfId="692" priority="31" operator="containsText" text=" ">
      <formula>NOT(ISERROR(SEARCH(" ",CR11)))</formula>
    </cfRule>
  </conditionalFormatting>
  <conditionalFormatting sqref="BZ12">
    <cfRule type="containsText" dxfId="691" priority="36" operator="containsText" text=" ">
      <formula>NOT(ISERROR(SEARCH(" ",BZ12)))</formula>
    </cfRule>
  </conditionalFormatting>
  <conditionalFormatting sqref="DF25">
    <cfRule type="containsText" dxfId="690" priority="212" operator="containsText" text=" ">
      <formula>NOT(ISERROR(SEARCH(" ",DF25)))</formula>
    </cfRule>
  </conditionalFormatting>
  <conditionalFormatting sqref="DF35">
    <cfRule type="containsText" dxfId="689" priority="211" operator="containsText" text=" ">
      <formula>NOT(ISERROR(SEARCH(" ",DF35)))</formula>
    </cfRule>
  </conditionalFormatting>
  <conditionalFormatting sqref="DF45">
    <cfRule type="containsText" dxfId="688" priority="210" operator="containsText" text=" ">
      <formula>NOT(ISERROR(SEARCH(" ",DF45)))</formula>
    </cfRule>
  </conditionalFormatting>
  <conditionalFormatting sqref="DF55">
    <cfRule type="containsText" dxfId="687" priority="228" operator="containsText" text=" ">
      <formula>NOT(ISERROR(SEARCH(" ",DF55)))</formula>
    </cfRule>
  </conditionalFormatting>
  <conditionalFormatting sqref="DE65">
    <cfRule type="containsText" dxfId="686" priority="123" operator="containsText" text=" ">
      <formula>NOT(ISERROR(SEARCH(" ",DE65)))</formula>
    </cfRule>
  </conditionalFormatting>
  <conditionalFormatting sqref="DF65">
    <cfRule type="containsText" dxfId="685" priority="151" operator="containsText" text=" ">
      <formula>NOT(ISERROR(SEARCH(" ",DF65)))</formula>
    </cfRule>
  </conditionalFormatting>
  <conditionalFormatting sqref="CX66">
    <cfRule type="containsText" dxfId="684" priority="59" operator="containsText" text=" ">
      <formula>NOT(ISERROR(SEARCH(" ",CX66)))</formula>
    </cfRule>
  </conditionalFormatting>
  <conditionalFormatting sqref="CX72">
    <cfRule type="containsText" dxfId="683" priority="57" operator="containsText" text=" ">
      <formula>NOT(ISERROR(SEARCH(" ",CX72)))</formula>
    </cfRule>
  </conditionalFormatting>
  <conditionalFormatting sqref="DE75">
    <cfRule type="containsText" dxfId="682" priority="122" operator="containsText" text=" ">
      <formula>NOT(ISERROR(SEARCH(" ",DE75)))</formula>
    </cfRule>
  </conditionalFormatting>
  <conditionalFormatting sqref="DF75">
    <cfRule type="containsText" dxfId="681" priority="144" operator="containsText" text=" ">
      <formula>NOT(ISERROR(SEARCH(" ",DF75)))</formula>
    </cfRule>
  </conditionalFormatting>
  <conditionalFormatting sqref="D11:D12">
    <cfRule type="containsText" dxfId="680" priority="155" operator="containsText" text=" ">
      <formula>NOT(ISERROR(SEARCH(" ",D11)))</formula>
    </cfRule>
  </conditionalFormatting>
  <conditionalFormatting sqref="K5:K10">
    <cfRule type="containsText" dxfId="679" priority="12" operator="containsText" text=" ">
      <formula>NOT(ISERROR(SEARCH(" ",K5)))</formula>
    </cfRule>
  </conditionalFormatting>
  <conditionalFormatting sqref="K11:K12">
    <cfRule type="containsText" dxfId="678" priority="11" operator="containsText" text=" ">
      <formula>NOT(ISERROR(SEARCH(" ",K11)))</formula>
    </cfRule>
  </conditionalFormatting>
  <conditionalFormatting sqref="O5:O8">
    <cfRule type="containsText" dxfId="677" priority="8" operator="containsText" text=" ">
      <formula>NOT(ISERROR(SEARCH(" ",O5)))</formula>
    </cfRule>
  </conditionalFormatting>
  <conditionalFormatting sqref="O9:O12">
    <cfRule type="containsText" dxfId="676" priority="55" operator="containsText" text=" ">
      <formula>NOT(ISERROR(SEARCH(" ",O9)))</formula>
    </cfRule>
  </conditionalFormatting>
  <conditionalFormatting sqref="R13:R1048576">
    <cfRule type="containsText" dxfId="675" priority="198" operator="containsText" text=" ">
      <formula>NOT(ISERROR(SEARCH(" ",R13)))</formula>
    </cfRule>
  </conditionalFormatting>
  <conditionalFormatting sqref="X5:X12">
    <cfRule type="containsText" dxfId="674" priority="77" operator="containsText" text=" ">
      <formula>NOT(ISERROR(SEARCH(" ",X5)))</formula>
    </cfRule>
  </conditionalFormatting>
  <conditionalFormatting sqref="AG5:AG12">
    <cfRule type="containsText" dxfId="673" priority="54" operator="containsText" text=" ">
      <formula>NOT(ISERROR(SEARCH(" ",AG5)))</formula>
    </cfRule>
  </conditionalFormatting>
  <conditionalFormatting sqref="AG13:AG1048576">
    <cfRule type="containsText" dxfId="672" priority="104" operator="containsText" text=" ">
      <formula>NOT(ISERROR(SEARCH(" ",AG13)))</formula>
    </cfRule>
  </conditionalFormatting>
  <conditionalFormatting sqref="AJ13:AJ1048576">
    <cfRule type="containsText" dxfId="671" priority="196" operator="containsText" text=" ">
      <formula>NOT(ISERROR(SEARCH(" ",AJ13)))</formula>
    </cfRule>
  </conditionalFormatting>
  <conditionalFormatting sqref="AP5:AP9">
    <cfRule type="containsText" dxfId="670" priority="53" operator="containsText" text=" ">
      <formula>NOT(ISERROR(SEARCH(" ",AP5)))</formula>
    </cfRule>
  </conditionalFormatting>
  <conditionalFormatting sqref="AP11:AP12">
    <cfRule type="containsText" dxfId="669" priority="44" operator="containsText" text=" ">
      <formula>NOT(ISERROR(SEARCH(" ",AP11)))</formula>
    </cfRule>
  </conditionalFormatting>
  <conditionalFormatting sqref="AP13:AP1048576">
    <cfRule type="containsText" dxfId="668" priority="102" operator="containsText" text=" ">
      <formula>NOT(ISERROR(SEARCH(" ",AP13)))</formula>
    </cfRule>
  </conditionalFormatting>
  <conditionalFormatting sqref="AS13:AS1048576">
    <cfRule type="containsText" dxfId="667" priority="195" operator="containsText" text=" ">
      <formula>NOT(ISERROR(SEARCH(" ",AS13)))</formula>
    </cfRule>
  </conditionalFormatting>
  <conditionalFormatting sqref="AY5:AY9">
    <cfRule type="containsText" dxfId="666" priority="52" operator="containsText" text=" ">
      <formula>NOT(ISERROR(SEARCH(" ",AY5)))</formula>
    </cfRule>
  </conditionalFormatting>
  <conditionalFormatting sqref="AY11:AY12">
    <cfRule type="containsText" dxfId="665" priority="43" operator="containsText" text=" ">
      <formula>NOT(ISERROR(SEARCH(" ",AY11)))</formula>
    </cfRule>
  </conditionalFormatting>
  <conditionalFormatting sqref="AY13:AY1048576">
    <cfRule type="containsText" dxfId="664" priority="100" operator="containsText" text=" ">
      <formula>NOT(ISERROR(SEARCH(" ",AY13)))</formula>
    </cfRule>
  </conditionalFormatting>
  <conditionalFormatting sqref="BB13:BB1048576">
    <cfRule type="containsText" dxfId="663" priority="194" operator="containsText" text=" ">
      <formula>NOT(ISERROR(SEARCH(" ",BB13)))</formula>
    </cfRule>
  </conditionalFormatting>
  <conditionalFormatting sqref="BH5:BH9">
    <cfRule type="containsText" dxfId="662" priority="51" operator="containsText" text=" ">
      <formula>NOT(ISERROR(SEARCH(" ",BH5)))</formula>
    </cfRule>
  </conditionalFormatting>
  <conditionalFormatting sqref="BH11:BH12">
    <cfRule type="containsText" dxfId="661" priority="42" operator="containsText" text=" ">
      <formula>NOT(ISERROR(SEARCH(" ",BH11)))</formula>
    </cfRule>
  </conditionalFormatting>
  <conditionalFormatting sqref="BH13:BH1048576">
    <cfRule type="containsText" dxfId="660" priority="98" operator="containsText" text=" ">
      <formula>NOT(ISERROR(SEARCH(" ",BH13)))</formula>
    </cfRule>
  </conditionalFormatting>
  <conditionalFormatting sqref="BJ5:BJ12">
    <cfRule type="containsText" dxfId="659" priority="107" operator="containsText" text=" ">
      <formula>NOT(ISERROR(SEARCH(" ",BJ5)))</formula>
    </cfRule>
  </conditionalFormatting>
  <conditionalFormatting sqref="BK5:BK10">
    <cfRule type="containsText" dxfId="658" priority="109" operator="containsText" text=" ">
      <formula>NOT(ISERROR(SEARCH(" ",BK5)))</formula>
    </cfRule>
  </conditionalFormatting>
  <conditionalFormatting sqref="BK11:BK12">
    <cfRule type="containsText" dxfId="657" priority="108" operator="containsText" text=" ">
      <formula>NOT(ISERROR(SEARCH(" ",BK11)))</formula>
    </cfRule>
  </conditionalFormatting>
  <conditionalFormatting sqref="BQ5:BQ8">
    <cfRule type="containsText" dxfId="656" priority="50" operator="containsText" text=" ">
      <formula>NOT(ISERROR(SEARCH(" ",BQ5)))</formula>
    </cfRule>
  </conditionalFormatting>
  <conditionalFormatting sqref="BQ11:BQ12">
    <cfRule type="containsText" dxfId="655" priority="38" operator="containsText" text=" ">
      <formula>NOT(ISERROR(SEARCH(" ",BQ11)))</formula>
    </cfRule>
  </conditionalFormatting>
  <conditionalFormatting sqref="BQ13:BQ1048576">
    <cfRule type="containsText" dxfId="654" priority="96" operator="containsText" text=" ">
      <formula>NOT(ISERROR(SEARCH(" ",BQ13)))</formula>
    </cfRule>
  </conditionalFormatting>
  <conditionalFormatting sqref="BZ5:BZ8">
    <cfRule type="containsText" dxfId="653" priority="82" operator="containsText" text=" ">
      <formula>NOT(ISERROR(SEARCH(" ",BZ5)))</formula>
    </cfRule>
  </conditionalFormatting>
  <conditionalFormatting sqref="BZ13:BZ1048576">
    <cfRule type="containsText" dxfId="652" priority="94" operator="containsText" text=" ">
      <formula>NOT(ISERROR(SEARCH(" ",BZ13)))</formula>
    </cfRule>
  </conditionalFormatting>
  <conditionalFormatting sqref="CI10:CI12">
    <cfRule type="containsText" dxfId="651" priority="56" operator="containsText" text=" ">
      <formula>NOT(ISERROR(SEARCH(" ",CI10)))</formula>
    </cfRule>
  </conditionalFormatting>
  <conditionalFormatting sqref="CI13:CI1048576">
    <cfRule type="containsText" dxfId="650" priority="92" operator="containsText" text=" ">
      <formula>NOT(ISERROR(SEARCH(" ",CI13)))</formula>
    </cfRule>
  </conditionalFormatting>
  <conditionalFormatting sqref="CN5:CN12">
    <cfRule type="containsText" dxfId="649" priority="10" operator="containsText" text=" ">
      <formula>NOT(ISERROR(SEARCH(" ",CN5)))</formula>
    </cfRule>
  </conditionalFormatting>
  <conditionalFormatting sqref="CR13:CR1048576">
    <cfRule type="containsText" dxfId="648" priority="90" operator="containsText" text=" ">
      <formula>NOT(ISERROR(SEARCH(" ",CR13)))</formula>
    </cfRule>
  </conditionalFormatting>
  <conditionalFormatting sqref="CU6:CU10">
    <cfRule type="containsText" dxfId="647" priority="65" operator="containsText" text=" ">
      <formula>NOT(ISERROR(SEARCH(" ",CU6)))</formula>
    </cfRule>
  </conditionalFormatting>
  <conditionalFormatting sqref="CU16:CU17">
    <cfRule type="containsText" dxfId="646" priority="63" operator="containsText" text=" ">
      <formula>NOT(ISERROR(SEARCH(" ",CU16)))</formula>
    </cfRule>
  </conditionalFormatting>
  <conditionalFormatting sqref="CX67:CX71">
    <cfRule type="containsText" dxfId="645" priority="60" operator="containsText" text=" ">
      <formula>NOT(ISERROR(SEARCH(" ",CX67)))</formula>
    </cfRule>
  </conditionalFormatting>
  <conditionalFormatting sqref="DC25:DC44">
    <cfRule type="containsText" dxfId="644" priority="165" operator="containsText" text=" ">
      <formula>NOT(ISERROR(SEARCH(" ",DC25)))</formula>
    </cfRule>
  </conditionalFormatting>
  <conditionalFormatting sqref="DC45:DC64">
    <cfRule type="containsText" dxfId="643" priority="164" operator="containsText" text=" ">
      <formula>NOT(ISERROR(SEARCH(" ",DC45)))</formula>
    </cfRule>
  </conditionalFormatting>
  <conditionalFormatting sqref="DC65:DC74">
    <cfRule type="containsText" dxfId="642" priority="148" operator="containsText" text=" ">
      <formula>NOT(ISERROR(SEARCH(" ",DC65)))</formula>
    </cfRule>
  </conditionalFormatting>
  <conditionalFormatting sqref="DC75:DC84">
    <cfRule type="containsText" dxfId="641" priority="141" operator="containsText" text=" ">
      <formula>NOT(ISERROR(SEARCH(" ",DC75)))</formula>
    </cfRule>
  </conditionalFormatting>
  <conditionalFormatting sqref="DD25:DD34">
    <cfRule type="containsText" dxfId="640" priority="169" operator="containsText" text=" ">
      <formula>NOT(ISERROR(SEARCH(" ",DD25)))</formula>
    </cfRule>
  </conditionalFormatting>
  <conditionalFormatting sqref="DD35:DD44">
    <cfRule type="containsText" dxfId="639" priority="168" operator="containsText" text=" ">
      <formula>NOT(ISERROR(SEARCH(" ",DD35)))</formula>
    </cfRule>
  </conditionalFormatting>
  <conditionalFormatting sqref="DD45:DD54">
    <cfRule type="containsText" dxfId="638" priority="167" operator="containsText" text=" ">
      <formula>NOT(ISERROR(SEARCH(" ",DD45)))</formula>
    </cfRule>
  </conditionalFormatting>
  <conditionalFormatting sqref="DD55:DD64">
    <cfRule type="containsText" dxfId="637" priority="166" operator="containsText" text=" ">
      <formula>NOT(ISERROR(SEARCH(" ",DD55)))</formula>
    </cfRule>
  </conditionalFormatting>
  <conditionalFormatting sqref="DD65:DD74">
    <cfRule type="containsText" dxfId="636" priority="149" operator="containsText" text=" ">
      <formula>NOT(ISERROR(SEARCH(" ",DD65)))</formula>
    </cfRule>
  </conditionalFormatting>
  <conditionalFormatting sqref="DD75:DD84">
    <cfRule type="containsText" dxfId="635" priority="142" operator="containsText" text=" ">
      <formula>NOT(ISERROR(SEARCH(" ",DD75)))</formula>
    </cfRule>
  </conditionalFormatting>
  <conditionalFormatting sqref="DE68:DE69">
    <cfRule type="containsText" dxfId="634" priority="9" operator="containsText" text=" ">
      <formula>NOT(ISERROR(SEARCH(" ",DE68)))</formula>
    </cfRule>
  </conditionalFormatting>
  <conditionalFormatting sqref="DF15:DF24">
    <cfRule type="containsText" dxfId="633" priority="213" operator="containsText" text=" ">
      <formula>NOT(ISERROR(SEARCH(" ",DF15)))</formula>
    </cfRule>
  </conditionalFormatting>
  <conditionalFormatting sqref="DF26:DF34">
    <cfRule type="containsText" dxfId="632" priority="75" operator="containsText" text=" ">
      <formula>NOT(ISERROR(SEARCH(" ",DF26)))</formula>
    </cfRule>
  </conditionalFormatting>
  <conditionalFormatting sqref="DF36:DF44">
    <cfRule type="containsText" dxfId="631" priority="74" operator="containsText" text=" ">
      <formula>NOT(ISERROR(SEARCH(" ",DF36)))</formula>
    </cfRule>
  </conditionalFormatting>
  <conditionalFormatting sqref="DF46:DF54">
    <cfRule type="containsText" dxfId="630" priority="73" operator="containsText" text=" ">
      <formula>NOT(ISERROR(SEARCH(" ",DF46)))</formula>
    </cfRule>
  </conditionalFormatting>
  <conditionalFormatting sqref="DF56:DF64">
    <cfRule type="containsText" dxfId="629" priority="72" operator="containsText" text=" ">
      <formula>NOT(ISERROR(SEARCH(" ",DF56)))</formula>
    </cfRule>
  </conditionalFormatting>
  <conditionalFormatting sqref="DF66:DF74">
    <cfRule type="containsText" dxfId="628" priority="71" operator="containsText" text=" ">
      <formula>NOT(ISERROR(SEARCH(" ",DF66)))</formula>
    </cfRule>
  </conditionalFormatting>
  <conditionalFormatting sqref="DF76:DF84">
    <cfRule type="containsText" dxfId="627" priority="70" operator="containsText" text=" ">
      <formula>NOT(ISERROR(SEARCH(" ",DF76)))</formula>
    </cfRule>
  </conditionalFormatting>
  <conditionalFormatting sqref="DG15:DG20">
    <cfRule type="containsText" dxfId="626" priority="181" operator="containsText" text=" ">
      <formula>NOT(ISERROR(SEARCH(" ",DG15)))</formula>
    </cfRule>
  </conditionalFormatting>
  <conditionalFormatting sqref="DG25:DG30">
    <cfRule type="containsText" dxfId="625" priority="180" operator="containsText" text=" ">
      <formula>NOT(ISERROR(SEARCH(" ",DG25)))</formula>
    </cfRule>
  </conditionalFormatting>
  <conditionalFormatting sqref="DG35:DG40">
    <cfRule type="containsText" dxfId="624" priority="179" operator="containsText" text=" ">
      <formula>NOT(ISERROR(SEARCH(" ",DG35)))</formula>
    </cfRule>
  </conditionalFormatting>
  <conditionalFormatting sqref="DH5:DH10">
    <cfRule type="containsText" dxfId="623" priority="161" operator="containsText" text=" ">
      <formula>NOT(ISERROR(SEARCH(" ",DH5)))</formula>
    </cfRule>
  </conditionalFormatting>
  <conditionalFormatting sqref="DH15:DH20">
    <cfRule type="containsText" dxfId="622" priority="160" operator="containsText" text=" ">
      <formula>NOT(ISERROR(SEARCH(" ",DH15)))</formula>
    </cfRule>
  </conditionalFormatting>
  <conditionalFormatting sqref="DH25:DH30">
    <cfRule type="containsText" dxfId="621" priority="162" operator="containsText" text=" ">
      <formula>NOT(ISERROR(SEARCH(" ",DH25)))</formula>
    </cfRule>
  </conditionalFormatting>
  <conditionalFormatting sqref="DH35:DH40">
    <cfRule type="containsText" dxfId="620" priority="163" operator="containsText" text=" ">
      <formula>NOT(ISERROR(SEARCH(" ",DH35)))</formula>
    </cfRule>
  </conditionalFormatting>
  <conditionalFormatting sqref="DI15:DI20">
    <cfRule type="containsText" dxfId="619" priority="46" operator="containsText" text=" ">
      <formula>NOT(ISERROR(SEARCH(" ",DI15)))</formula>
    </cfRule>
  </conditionalFormatting>
  <conditionalFormatting sqref="DJ65:DJ70">
    <cfRule type="containsText" dxfId="618" priority="147" operator="containsText" text=" ">
      <formula>NOT(ISERROR(SEARCH(" ",DJ65)))</formula>
    </cfRule>
  </conditionalFormatting>
  <conditionalFormatting sqref="DJ75:DJ80">
    <cfRule type="containsText" dxfId="617" priority="140" operator="containsText" text=" ">
      <formula>NOT(ISERROR(SEARCH(" ",DJ75)))</formula>
    </cfRule>
  </conditionalFormatting>
  <conditionalFormatting sqref="DN20:DN21">
    <cfRule type="containsText" dxfId="616" priority="225" operator="containsText" text=" ">
      <formula>NOT(ISERROR(SEARCH(" ",DN20)))</formula>
    </cfRule>
  </conditionalFormatting>
  <conditionalFormatting sqref="DN23:DN26">
    <cfRule type="containsText" dxfId="615" priority="174" operator="containsText" text="话费">
      <formula>NOT(ISERROR(SEARCH("话费",DN23)))</formula>
    </cfRule>
    <cfRule type="cellIs" dxfId="614" priority="175" operator="equal">
      <formula>"话费"</formula>
    </cfRule>
    <cfRule type="containsText" dxfId="613" priority="176" operator="containsText" text="话费">
      <formula>NOT(ISERROR(SEARCH("话费",DN23)))</formula>
    </cfRule>
    <cfRule type="containsText" dxfId="612" priority="177" operator="containsText" text=" ">
      <formula>NOT(ISERROR(SEARCH(" ",DN23)))</formula>
    </cfRule>
  </conditionalFormatting>
  <conditionalFormatting sqref="DP8:DP11">
    <cfRule type="containsText" dxfId="611" priority="235" operator="containsText" text=" ">
      <formula>NOT(ISERROR(SEARCH(" ",DP8)))</formula>
    </cfRule>
  </conditionalFormatting>
  <conditionalFormatting sqref="DP13:DP16">
    <cfRule type="containsText" dxfId="610" priority="231" operator="containsText" text=" ">
      <formula>NOT(ISERROR(SEARCH(" ",DP13)))</formula>
    </cfRule>
  </conditionalFormatting>
  <conditionalFormatting sqref="DP31:DP34">
    <cfRule type="containsText" dxfId="609" priority="13" operator="containsText" text=" ">
      <formula>NOT(ISERROR(SEARCH(" ",DP31)))</formula>
    </cfRule>
  </conditionalFormatting>
  <conditionalFormatting sqref="DR8:DR11">
    <cfRule type="containsText" dxfId="608" priority="236" operator="containsText" text=" ">
      <formula>NOT(ISERROR(SEARCH(" ",DR8)))</formula>
    </cfRule>
  </conditionalFormatting>
  <conditionalFormatting sqref="DR13:DR16">
    <cfRule type="containsText" dxfId="607" priority="232" operator="containsText" text=" ">
      <formula>NOT(ISERROR(SEARCH(" ",DR13)))</formula>
    </cfRule>
  </conditionalFormatting>
  <conditionalFormatting sqref="DR20:DR21">
    <cfRule type="containsText" dxfId="606" priority="226" operator="containsText" text=" ">
      <formula>NOT(ISERROR(SEARCH(" ",DR20)))</formula>
    </cfRule>
  </conditionalFormatting>
  <conditionalFormatting sqref="DR31:DR34">
    <cfRule type="containsText" dxfId="605" priority="14" operator="containsText" text=" ">
      <formula>NOT(ISERROR(SEARCH(" ",DR31)))</formula>
    </cfRule>
  </conditionalFormatting>
  <conditionalFormatting sqref="A9:A10 A11:B12 L5:N12 C9:C10 E5:J9 P5:W10 S13:Y1048576 AB13:AF1048576 AH13:AI1048576 Y5:Y10 AB5:AF10 AQ5:AX10 AZ5:BG10 AT13:AX1048576 AZ13:BA1048576 AH5:AO10 AK13:AO1048576 AQ13:AR1048576 BC13:BG1048576 CT55 DM1:DN2 DB1:DI2 DB4:DD4 CS2:CT2 CV2:CY2 DC3:DI3 DM22:DN22 DM20:DM21 DI4:DI10 DP12:DQ12 DP7:DR7 DQ13:DQ16 DQ8:DQ11 DO22:DO26 CT15 CS1:CY1 CT5 CT25 CT85:DI1048576 CT45 DI35:DI40 CT35 DI25:DI30 DI45:DI50 DI55:DI60 DG81:DI84 F10:J10 E10:E11 DS1:XFD2 DS25:DT26 EA25:XFD28 DT27:DT28 DM35:XFD63 DF4 DM74:XFD1048576 DN64:XFD73 DO1:DR6 DO7:DO19 DP17:DR19 DO20:DQ21 DQ22:DR26 DP22:DP30 DM4:DN11 DM3 DT3:XFD3 DS4:XFD24 DM23:DM34 DT29:XFD34 CS5:CS1048576 DM13:DN19 DN12">
    <cfRule type="containsText" dxfId="604" priority="237" operator="containsText" text=" ">
      <formula>NOT(ISERROR(SEARCH(" ",A1)))</formula>
    </cfRule>
  </conditionalFormatting>
  <conditionalFormatting sqref="CZ4:DA4 CU1:DB2">
    <cfRule type="containsText" dxfId="603" priority="170" operator="containsText" text=" ">
      <formula>NOT(ISERROR(SEARCH(" ",CU1)))</formula>
    </cfRule>
  </conditionalFormatting>
  <conditionalFormatting sqref="DJ1:DJ3 DJ81:DJ1048576">
    <cfRule type="containsText" dxfId="602" priority="159" operator="containsText" text=" ">
      <formula>NOT(ISERROR(SEARCH(" ",DJ1)))</formula>
    </cfRule>
  </conditionalFormatting>
  <conditionalFormatting sqref="DK1:DL15 DK85:DL1048576 DL74:DL84 DL16:DL63 DK16:DK84">
    <cfRule type="containsText" dxfId="601" priority="173" operator="containsText" text=" ">
      <formula>NOT(ISERROR(SEARCH(" ",DK1)))</formula>
    </cfRule>
  </conditionalFormatting>
  <conditionalFormatting sqref="Z13:AA1048576 Z5:AA10 CY3 CS3:CT3 CS4:CY4 DR12 CU2">
    <cfRule type="containsText" dxfId="600" priority="233" operator="containsText" text=" ">
      <formula>NOT(ISERROR(SEARCH(" ",Z2)))</formula>
    </cfRule>
  </conditionalFormatting>
  <conditionalFormatting sqref="A5:B10 A18:C22 A12 A13:C16 A24:C28 A36:C40 A30:C34">
    <cfRule type="colorScale" priority="7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6:B10 A5:C5 A6:A8 C6:C8 D5:D10 A13:Q1048576">
    <cfRule type="containsText" dxfId="599" priority="234" operator="containsText" text=" ">
      <formula>NOT(ISERROR(SEARCH(" ",A5)))</formula>
    </cfRule>
  </conditionalFormatting>
  <conditionalFormatting sqref="BL5:BM10 BI5:BI12 BN5:BP12">
    <cfRule type="containsText" dxfId="598" priority="121" operator="containsText" text=" ">
      <formula>NOT(ISERROR(SEARCH(" ",BI5)))</formula>
    </cfRule>
  </conditionalFormatting>
  <conditionalFormatting sqref="BW5:BY12 BR5:BV10">
    <cfRule type="containsText" dxfId="597" priority="118" operator="containsText" text=" ">
      <formula>NOT(ISERROR(SEARCH(" ",BR5)))</formula>
    </cfRule>
  </conditionalFormatting>
  <conditionalFormatting sqref="CA5:CE10 CF5:CH12">
    <cfRule type="containsText" dxfId="596" priority="115" operator="containsText" text=" ">
      <formula>NOT(ISERROR(SEARCH(" ",CA5)))</formula>
    </cfRule>
  </conditionalFormatting>
  <conditionalFormatting sqref="CJ5:CM10 CO5:CQ12">
    <cfRule type="containsText" dxfId="595" priority="112" operator="containsText" text=" ">
      <formula>NOT(ISERROR(SEARCH(" ",CJ5)))</formula>
    </cfRule>
  </conditionalFormatting>
  <conditionalFormatting sqref="CZ41:DA84 CV41:CW80 DB41:DB66 CU15:DE15 CU5:DF5 DE21:DE64 CV6:DF10 CX41:CY64 CU40:CU64 CU11:DF14 CU25:DB40 CU21:DD24 CV16:DE17 CU18:DE20">
    <cfRule type="containsText" dxfId="594" priority="230" operator="containsText" text=" ">
      <formula>NOT(ISERROR(SEARCH(" ",CU5)))</formula>
    </cfRule>
  </conditionalFormatting>
  <conditionalFormatting sqref="DG5:DG10 DG55:DH60">
    <cfRule type="containsText" dxfId="593" priority="182" operator="containsText" text=" ">
      <formula>NOT(ISERROR(SEARCH(" ",DG5)))</formula>
    </cfRule>
  </conditionalFormatting>
  <conditionalFormatting sqref="DJ5:DJ10 DJ55:DJ60 DJ45:DJ50 DJ35:DJ40 DJ25:DJ30 DJ15:DJ20">
    <cfRule type="containsText" dxfId="592" priority="158" operator="containsText" text=" ">
      <formula>NOT(ISERROR(SEARCH(" ",DJ5)))</formula>
    </cfRule>
  </conditionalFormatting>
  <conditionalFormatting sqref="CR9 CR12">
    <cfRule type="containsText" dxfId="591" priority="80" operator="containsText" text=" ">
      <formula>NOT(ISERROR(SEARCH(" ",CR9)))</formula>
    </cfRule>
  </conditionalFormatting>
  <conditionalFormatting sqref="C11:C12 E12:F12 F11">
    <cfRule type="containsText" dxfId="590" priority="156" operator="containsText" text=" ">
      <formula>NOT(ISERROR(SEARCH(" ",C11)))</formula>
    </cfRule>
  </conditionalFormatting>
  <conditionalFormatting sqref="G11:J12 L11:M12">
    <cfRule type="containsText" dxfId="589" priority="127" operator="containsText" text=" ">
      <formula>NOT(ISERROR(SEARCH(" ",G11)))</formula>
    </cfRule>
  </conditionalFormatting>
  <conditionalFormatting sqref="P11:W12 AB11:AF12 Y11:Y12 AH11:AO12 AQ11:AX12 AZ11:BG12">
    <cfRule type="containsText" dxfId="588" priority="125" operator="containsText" text=" ">
      <formula>NOT(ISERROR(SEARCH(" ",P11)))</formula>
    </cfRule>
  </conditionalFormatting>
  <conditionalFormatting sqref="Z11:AA12">
    <cfRule type="containsText" dxfId="587" priority="124" operator="containsText" text=" ">
      <formula>NOT(ISERROR(SEARCH(" ",Z11)))</formula>
    </cfRule>
  </conditionalFormatting>
  <conditionalFormatting sqref="BL11:BP12">
    <cfRule type="containsText" dxfId="586" priority="119" operator="containsText" text=" ">
      <formula>NOT(ISERROR(SEARCH(" ",BL11)))</formula>
    </cfRule>
  </conditionalFormatting>
  <conditionalFormatting sqref="BR11:BY12">
    <cfRule type="containsText" dxfId="585" priority="116" operator="containsText" text=" ">
      <formula>NOT(ISERROR(SEARCH(" ",BR11)))</formula>
    </cfRule>
  </conditionalFormatting>
  <conditionalFormatting sqref="CA11:CH12">
    <cfRule type="containsText" dxfId="584" priority="113" operator="containsText" text=" ">
      <formula>NOT(ISERROR(SEARCH(" ",CA11)))</formula>
    </cfRule>
  </conditionalFormatting>
  <conditionalFormatting sqref="CJ11:CM12 CO11:CQ12">
    <cfRule type="containsText" dxfId="583" priority="110" operator="containsText" text=" ">
      <formula>NOT(ISERROR(SEARCH(" ",CJ11)))</formula>
    </cfRule>
  </conditionalFormatting>
  <conditionalFormatting sqref="BI13:BP1048576">
    <cfRule type="containsText" dxfId="582" priority="120" operator="containsText" text=" ">
      <formula>NOT(ISERROR(SEARCH(" ",BI13)))</formula>
    </cfRule>
  </conditionalFormatting>
  <conditionalFormatting sqref="BR13:BY1048576">
    <cfRule type="containsText" dxfId="581" priority="117" operator="containsText" text=" ">
      <formula>NOT(ISERROR(SEARCH(" ",BR13)))</formula>
    </cfRule>
  </conditionalFormatting>
  <conditionalFormatting sqref="CA13:CH1048576">
    <cfRule type="containsText" dxfId="580" priority="114" operator="containsText" text=" ">
      <formula>NOT(ISERROR(SEARCH(" ",CA13)))</formula>
    </cfRule>
  </conditionalFormatting>
  <conditionalFormatting sqref="CJ13:CQ1048576">
    <cfRule type="containsText" dxfId="579" priority="111" operator="containsText" text=" ">
      <formula>NOT(ISERROR(SEARCH(" ",CJ13)))</formula>
    </cfRule>
  </conditionalFormatting>
  <conditionalFormatting sqref="DU25:DY28 DN27:DO30 DQ27:DR30">
    <cfRule type="containsText" dxfId="578" priority="66" operator="containsText" text=" ">
      <formula>NOT(ISERROR(SEARCH(" ",DN25)))</formula>
    </cfRule>
  </conditionalFormatting>
  <conditionalFormatting sqref="DS27:DS30 DZ25:DZ28">
    <cfRule type="containsText" dxfId="577" priority="67" operator="containsText" text=" ">
      <formula>NOT(ISERROR(SEARCH(" ",DS25)))</formula>
    </cfRule>
  </conditionalFormatting>
  <conditionalFormatting sqref="DQ31:DQ34 DS31:DS34 DN31:DO34">
    <cfRule type="containsText" dxfId="576" priority="15" operator="containsText" text=" ">
      <formula>NOT(ISERROR(SEARCH(" ",DN31)))</formula>
    </cfRule>
  </conditionalFormatting>
  <conditionalFormatting sqref="DG45:DH50">
    <cfRule type="containsText" dxfId="575" priority="178" operator="containsText" text=" ">
      <formula>NOT(ISERROR(SEARCH(" ",DG45)))</formula>
    </cfRule>
  </conditionalFormatting>
  <conditionalFormatting sqref="DL64:DM73">
    <cfRule type="containsText" dxfId="574" priority="58" operator="containsText" text=" ">
      <formula>NOT(ISERROR(SEARCH(" ",DL64)))</formula>
    </cfRule>
  </conditionalFormatting>
  <conditionalFormatting sqref="CT65 DI65:DI70">
    <cfRule type="containsText" dxfId="573" priority="153" operator="containsText" text=" ">
      <formula>NOT(ISERROR(SEARCH(" ",CT65)))</formula>
    </cfRule>
  </conditionalFormatting>
  <conditionalFormatting sqref="DE66:DE67 DB67:DB74 CX65:CY65 CX73:CY74 CU65:CU74 CY66:CY72 DE70:DE74">
    <cfRule type="containsText" dxfId="572" priority="152" operator="containsText" text=" ">
      <formula>NOT(ISERROR(SEARCH(" ",CU65)))</formula>
    </cfRule>
  </conditionalFormatting>
  <conditionalFormatting sqref="DG65:DH70">
    <cfRule type="containsText" dxfId="571" priority="150" operator="containsText" text=" ">
      <formula>NOT(ISERROR(SEARCH(" ",DG65)))</formula>
    </cfRule>
  </conditionalFormatting>
  <conditionalFormatting sqref="CT75 DI75:DI80">
    <cfRule type="containsText" dxfId="570" priority="146" operator="containsText" text=" ">
      <formula>NOT(ISERROR(SEARCH(" ",CT75)))</formula>
    </cfRule>
  </conditionalFormatting>
  <conditionalFormatting sqref="DB75:DB84 CU75:CU80 CX75:CY80 CX77:CX81 CU81:CY84 DE76:DE84">
    <cfRule type="containsText" dxfId="569" priority="145" operator="containsText" text=" ">
      <formula>NOT(ISERROR(SEARCH(" ",CU75)))</formula>
    </cfRule>
  </conditionalFormatting>
  <conditionalFormatting sqref="DG75:DH80">
    <cfRule type="containsText" dxfId="568" priority="143" operator="containsText" text=" ">
      <formula>NOT(ISERROR(SEARCH(" ",DG75)))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workbookViewId="0">
      <selection activeCell="P21" sqref="P21"/>
    </sheetView>
  </sheetViews>
  <sheetFormatPr defaultColWidth="8.88671875" defaultRowHeight="15.6" x14ac:dyDescent="0.35"/>
  <cols>
    <col min="1" max="1" width="8.21875" style="39" customWidth="1"/>
    <col min="2" max="2" width="11.33203125" style="39" customWidth="1"/>
    <col min="3" max="3" width="11.44140625" style="39" customWidth="1"/>
    <col min="4" max="4" width="17.21875" style="39" customWidth="1"/>
    <col min="5" max="5" width="16.88671875" style="39" customWidth="1"/>
    <col min="6" max="6" width="8.88671875" style="39"/>
    <col min="7" max="7" width="15.21875" style="39" customWidth="1"/>
    <col min="8" max="8" width="5.5546875" style="39" customWidth="1"/>
    <col min="9" max="9" width="6.44140625" style="39" customWidth="1"/>
    <col min="10" max="10" width="5.5546875" style="39" customWidth="1"/>
    <col min="11" max="12" width="8.88671875" style="39"/>
    <col min="13" max="13" width="21" style="39" customWidth="1"/>
    <col min="14" max="16" width="16.88671875" style="39" customWidth="1"/>
    <col min="17" max="17" width="8.88671875" style="39"/>
    <col min="18" max="18" width="16.77734375" style="39" customWidth="1"/>
    <col min="19" max="19" width="13.44140625" style="39" customWidth="1"/>
    <col min="20" max="20" width="8.88671875" style="39"/>
    <col min="21" max="21" width="18.77734375" style="39" customWidth="1"/>
    <col min="22" max="22" width="9.5546875" style="39" customWidth="1"/>
    <col min="23" max="23" width="6.44140625" style="39" customWidth="1"/>
    <col min="24" max="24" width="11.44140625" style="39" customWidth="1"/>
    <col min="25" max="25" width="16.109375" style="39" customWidth="1"/>
    <col min="26" max="16384" width="8.88671875" style="39"/>
  </cols>
  <sheetData>
    <row r="1" spans="1:38" x14ac:dyDescent="0.35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M1" s="337"/>
      <c r="N1" s="337"/>
      <c r="O1" s="337"/>
      <c r="P1" s="337"/>
      <c r="Q1" s="337"/>
      <c r="U1" s="163"/>
      <c r="V1" s="163" t="s">
        <v>390</v>
      </c>
      <c r="W1" s="163" t="s">
        <v>10</v>
      </c>
      <c r="X1" s="163" t="s">
        <v>394</v>
      </c>
      <c r="Y1" s="163" t="s">
        <v>589</v>
      </c>
      <c r="AA1" s="336"/>
      <c r="AB1" s="336"/>
      <c r="AC1" s="337"/>
      <c r="AD1" s="337"/>
      <c r="AE1" s="341"/>
      <c r="AF1" s="341"/>
    </row>
    <row r="2" spans="1:38" x14ac:dyDescent="0.35">
      <c r="A2" s="3" t="s">
        <v>7</v>
      </c>
      <c r="B2" s="3" t="s">
        <v>9</v>
      </c>
      <c r="C2" s="3" t="s">
        <v>7</v>
      </c>
      <c r="D2" s="3" t="s">
        <v>9</v>
      </c>
      <c r="E2" s="3" t="s">
        <v>9</v>
      </c>
      <c r="M2" s="337" t="s">
        <v>884</v>
      </c>
      <c r="N2" s="337" t="s">
        <v>885</v>
      </c>
      <c r="O2" s="337" t="s">
        <v>886</v>
      </c>
      <c r="P2" s="337" t="s">
        <v>887</v>
      </c>
      <c r="Q2" s="337" t="s">
        <v>888</v>
      </c>
      <c r="U2" s="164" t="s">
        <v>360</v>
      </c>
      <c r="V2" s="164">
        <v>1</v>
      </c>
      <c r="W2" s="164">
        <v>1</v>
      </c>
      <c r="X2" s="164">
        <v>20000</v>
      </c>
      <c r="Y2" s="164">
        <v>20000</v>
      </c>
      <c r="AE2" s="341"/>
      <c r="AF2" s="341"/>
    </row>
    <row r="3" spans="1:38" x14ac:dyDescent="0.35">
      <c r="A3" s="162" t="s">
        <v>10</v>
      </c>
      <c r="B3" s="162" t="s">
        <v>590</v>
      </c>
      <c r="C3" s="162" t="s">
        <v>591</v>
      </c>
      <c r="D3" s="162" t="s">
        <v>592</v>
      </c>
      <c r="E3" s="162" t="s">
        <v>593</v>
      </c>
      <c r="M3" s="340">
        <v>60</v>
      </c>
      <c r="N3" s="342">
        <v>0.1</v>
      </c>
      <c r="O3" s="340">
        <v>750</v>
      </c>
      <c r="P3" s="342">
        <v>0.1</v>
      </c>
      <c r="Q3" s="343" t="s">
        <v>889</v>
      </c>
      <c r="U3" s="164" t="s">
        <v>375</v>
      </c>
      <c r="V3" s="164">
        <v>1</v>
      </c>
      <c r="W3" s="164">
        <v>2</v>
      </c>
      <c r="X3" s="164">
        <v>1</v>
      </c>
      <c r="Y3" s="164">
        <v>1</v>
      </c>
      <c r="AE3" s="341"/>
      <c r="AF3" s="341"/>
    </row>
    <row r="4" spans="1:38" x14ac:dyDescent="0.35">
      <c r="A4" s="72" t="s">
        <v>594</v>
      </c>
      <c r="B4" s="72" t="s">
        <v>595</v>
      </c>
      <c r="C4" s="72" t="s">
        <v>394</v>
      </c>
      <c r="D4" s="72" t="s">
        <v>596</v>
      </c>
      <c r="E4" s="72" t="s">
        <v>597</v>
      </c>
      <c r="G4" s="39" t="s">
        <v>598</v>
      </c>
      <c r="H4" s="39" t="s">
        <v>599</v>
      </c>
      <c r="I4" s="39" t="s">
        <v>600</v>
      </c>
      <c r="J4" s="39" t="s">
        <v>392</v>
      </c>
      <c r="U4" s="164" t="s">
        <v>397</v>
      </c>
      <c r="V4" s="164">
        <v>2</v>
      </c>
      <c r="W4" s="164">
        <v>1001</v>
      </c>
      <c r="X4" s="164">
        <v>4000</v>
      </c>
      <c r="Y4" s="164">
        <v>20000</v>
      </c>
      <c r="AE4" s="341"/>
      <c r="AF4" s="341"/>
      <c r="AG4" s="341"/>
      <c r="AH4" s="341"/>
      <c r="AI4" s="341"/>
      <c r="AJ4" s="341"/>
      <c r="AK4" s="341"/>
      <c r="AL4" s="344"/>
    </row>
    <row r="5" spans="1:38" ht="18.600000000000001" customHeight="1" x14ac:dyDescent="0.35">
      <c r="A5" s="39">
        <v>1</v>
      </c>
      <c r="B5" s="39" t="str">
        <f t="shared" ref="B5:B7" si="0">H5&amp;"|"&amp;I5&amp;"|"&amp;J5</f>
        <v>2|1004|1</v>
      </c>
      <c r="C5" s="39">
        <f t="shared" ref="C5:C32" si="1">VLOOKUP($G5,$U:$Y,4,FALSE)*J5</f>
        <v>1000</v>
      </c>
      <c r="D5" s="39">
        <v>2</v>
      </c>
      <c r="G5" s="164" t="s">
        <v>875</v>
      </c>
      <c r="H5" s="39">
        <f t="shared" ref="H5:H32" si="2">VLOOKUP($G5,$U:$Y,2,FALSE)</f>
        <v>2</v>
      </c>
      <c r="I5" s="39">
        <f t="shared" ref="I5:I32" si="3">VLOOKUP($G5,$U:$Y,3,FALSE)</f>
        <v>1004</v>
      </c>
      <c r="J5" s="39">
        <v>1</v>
      </c>
      <c r="M5" s="336"/>
      <c r="N5" s="336"/>
      <c r="O5" s="337" t="s">
        <v>878</v>
      </c>
      <c r="P5" s="337" t="s">
        <v>879</v>
      </c>
      <c r="U5" s="164" t="s">
        <v>398</v>
      </c>
      <c r="V5" s="164">
        <v>2</v>
      </c>
      <c r="W5" s="164">
        <v>1002</v>
      </c>
      <c r="X5" s="164">
        <v>10000</v>
      </c>
      <c r="Y5" s="164">
        <v>50000</v>
      </c>
      <c r="AE5" s="341"/>
      <c r="AF5" s="341"/>
      <c r="AG5" s="341"/>
      <c r="AH5" s="341"/>
      <c r="AI5" s="341"/>
      <c r="AJ5" s="341"/>
      <c r="AK5" s="345"/>
      <c r="AL5" s="346"/>
    </row>
    <row r="6" spans="1:38" x14ac:dyDescent="0.35">
      <c r="A6" s="39">
        <v>2</v>
      </c>
      <c r="B6" s="39" t="str">
        <f t="shared" si="0"/>
        <v>2|1001|1</v>
      </c>
      <c r="C6" s="39">
        <f t="shared" si="1"/>
        <v>1000</v>
      </c>
      <c r="D6" s="39">
        <v>2</v>
      </c>
      <c r="G6" s="164" t="s">
        <v>876</v>
      </c>
      <c r="H6" s="39">
        <f t="shared" si="2"/>
        <v>2</v>
      </c>
      <c r="I6" s="39">
        <f t="shared" si="3"/>
        <v>1001</v>
      </c>
      <c r="J6" s="39">
        <v>1</v>
      </c>
      <c r="M6" s="361" t="s">
        <v>880</v>
      </c>
      <c r="N6" s="338">
        <v>20</v>
      </c>
      <c r="O6" s="339">
        <f t="shared" ref="O6:O25" si="4">$N$3*$M$3*N6</f>
        <v>120</v>
      </c>
      <c r="P6" s="339">
        <f t="shared" ref="P6:P25" si="5">$P$3*$O$3*N6/3</f>
        <v>500</v>
      </c>
      <c r="U6" s="164" t="s">
        <v>402</v>
      </c>
      <c r="V6" s="164">
        <v>2</v>
      </c>
      <c r="W6" s="164">
        <v>1003</v>
      </c>
      <c r="X6" s="164">
        <v>20000</v>
      </c>
      <c r="Y6" s="164">
        <v>100000</v>
      </c>
      <c r="AE6" s="341"/>
      <c r="AF6" s="341"/>
      <c r="AG6" s="341"/>
      <c r="AH6" s="347"/>
      <c r="AI6" s="347"/>
      <c r="AJ6" s="341"/>
      <c r="AK6" s="341"/>
      <c r="AL6" s="341"/>
    </row>
    <row r="7" spans="1:38" x14ac:dyDescent="0.35">
      <c r="A7" s="39">
        <v>3</v>
      </c>
      <c r="B7" s="39" t="str">
        <f t="shared" si="0"/>
        <v>2|1002|1</v>
      </c>
      <c r="C7" s="39">
        <f t="shared" si="1"/>
        <v>2500</v>
      </c>
      <c r="D7" s="39">
        <v>2</v>
      </c>
      <c r="G7" s="164" t="s">
        <v>877</v>
      </c>
      <c r="H7" s="39">
        <f t="shared" si="2"/>
        <v>2</v>
      </c>
      <c r="I7" s="39">
        <f t="shared" si="3"/>
        <v>1002</v>
      </c>
      <c r="J7" s="39">
        <v>1</v>
      </c>
      <c r="M7" s="362"/>
      <c r="N7" s="338">
        <v>40</v>
      </c>
      <c r="O7" s="339">
        <f t="shared" si="4"/>
        <v>240</v>
      </c>
      <c r="P7" s="339">
        <f t="shared" si="5"/>
        <v>1000</v>
      </c>
      <c r="U7" s="164" t="s">
        <v>401</v>
      </c>
      <c r="V7" s="164">
        <v>2</v>
      </c>
      <c r="W7" s="164">
        <v>1004</v>
      </c>
      <c r="X7" s="164">
        <v>4000</v>
      </c>
      <c r="Y7" s="164">
        <v>20000</v>
      </c>
      <c r="AE7" s="341"/>
      <c r="AF7" s="347"/>
      <c r="AG7" s="341"/>
      <c r="AH7" s="341"/>
      <c r="AI7" s="341"/>
      <c r="AJ7" s="341"/>
      <c r="AK7" s="341"/>
      <c r="AL7" s="341"/>
    </row>
    <row r="8" spans="1:38" x14ac:dyDescent="0.35">
      <c r="A8" s="39">
        <v>4</v>
      </c>
      <c r="B8" s="39" t="str">
        <f>H8&amp;"|"&amp;I8&amp;"|"&amp;J8</f>
        <v>2|1004|1</v>
      </c>
      <c r="C8" s="39">
        <f t="shared" si="1"/>
        <v>4000</v>
      </c>
      <c r="D8" s="39">
        <v>2</v>
      </c>
      <c r="E8" s="39">
        <v>2</v>
      </c>
      <c r="G8" s="39" t="s">
        <v>401</v>
      </c>
      <c r="H8" s="39">
        <f t="shared" si="2"/>
        <v>2</v>
      </c>
      <c r="I8" s="39">
        <f t="shared" si="3"/>
        <v>1004</v>
      </c>
      <c r="J8" s="39">
        <v>1</v>
      </c>
      <c r="M8" s="362"/>
      <c r="N8" s="338">
        <v>60</v>
      </c>
      <c r="O8" s="339">
        <f t="shared" si="4"/>
        <v>360</v>
      </c>
      <c r="P8" s="339">
        <f t="shared" si="5"/>
        <v>1500</v>
      </c>
      <c r="U8" s="164" t="s">
        <v>570</v>
      </c>
      <c r="V8" s="164">
        <v>2</v>
      </c>
      <c r="W8" s="164">
        <v>1005</v>
      </c>
      <c r="X8" s="164">
        <v>1000000</v>
      </c>
      <c r="Y8" s="164">
        <v>1000000</v>
      </c>
      <c r="AE8" s="341"/>
      <c r="AF8" s="341"/>
      <c r="AG8" s="341"/>
      <c r="AH8" s="341"/>
      <c r="AI8" s="341"/>
      <c r="AJ8" s="341"/>
      <c r="AK8" s="341"/>
      <c r="AL8" s="341"/>
    </row>
    <row r="9" spans="1:38" x14ac:dyDescent="0.35">
      <c r="A9" s="39">
        <v>5</v>
      </c>
      <c r="B9" s="39" t="str">
        <f t="shared" ref="B9:B32" si="6">H9&amp;"|"&amp;I9&amp;"|"&amp;J9</f>
        <v>2|1001|1</v>
      </c>
      <c r="C9" s="39">
        <f t="shared" si="1"/>
        <v>4000</v>
      </c>
      <c r="D9" s="39">
        <v>2</v>
      </c>
      <c r="E9" s="39">
        <v>2</v>
      </c>
      <c r="G9" s="39" t="s">
        <v>397</v>
      </c>
      <c r="H9" s="39">
        <f t="shared" si="2"/>
        <v>2</v>
      </c>
      <c r="I9" s="39">
        <f t="shared" si="3"/>
        <v>1001</v>
      </c>
      <c r="J9" s="39">
        <v>1</v>
      </c>
      <c r="M9" s="362"/>
      <c r="N9" s="338">
        <v>80</v>
      </c>
      <c r="O9" s="339">
        <f t="shared" si="4"/>
        <v>480</v>
      </c>
      <c r="P9" s="339">
        <f t="shared" si="5"/>
        <v>2000</v>
      </c>
      <c r="U9" s="164" t="s">
        <v>363</v>
      </c>
      <c r="V9" s="164">
        <v>2</v>
      </c>
      <c r="W9" s="164">
        <v>1006</v>
      </c>
      <c r="X9" s="164">
        <v>2000000</v>
      </c>
      <c r="Y9" s="164">
        <v>2000000</v>
      </c>
      <c r="AE9" s="341"/>
      <c r="AF9" s="341"/>
      <c r="AG9" s="341"/>
      <c r="AH9" s="341"/>
      <c r="AI9" s="341"/>
      <c r="AJ9" s="341"/>
      <c r="AK9" s="341"/>
      <c r="AL9" s="341"/>
    </row>
    <row r="10" spans="1:38" x14ac:dyDescent="0.35">
      <c r="A10" s="39">
        <v>6</v>
      </c>
      <c r="B10" s="39" t="str">
        <f t="shared" si="6"/>
        <v>2|1004|2</v>
      </c>
      <c r="C10" s="39">
        <f t="shared" si="1"/>
        <v>8000</v>
      </c>
      <c r="D10" s="39" t="s">
        <v>891</v>
      </c>
      <c r="E10" s="39">
        <v>2</v>
      </c>
      <c r="G10" s="39" t="s">
        <v>401</v>
      </c>
      <c r="H10" s="39">
        <f t="shared" si="2"/>
        <v>2</v>
      </c>
      <c r="I10" s="39">
        <f t="shared" si="3"/>
        <v>1004</v>
      </c>
      <c r="J10" s="39">
        <v>2</v>
      </c>
      <c r="M10" s="362"/>
      <c r="N10" s="338">
        <v>100</v>
      </c>
      <c r="O10" s="339">
        <f t="shared" si="4"/>
        <v>600</v>
      </c>
      <c r="P10" s="339">
        <f t="shared" si="5"/>
        <v>2500</v>
      </c>
      <c r="U10" s="164" t="s">
        <v>374</v>
      </c>
      <c r="V10" s="164">
        <v>2</v>
      </c>
      <c r="W10" s="164">
        <v>1007</v>
      </c>
      <c r="X10" s="164">
        <v>5000000</v>
      </c>
      <c r="Y10" s="164">
        <v>5000000</v>
      </c>
      <c r="AE10" s="341"/>
      <c r="AF10" s="341"/>
      <c r="AG10" s="341"/>
      <c r="AH10" s="341"/>
      <c r="AI10" s="341"/>
      <c r="AJ10" s="341"/>
      <c r="AK10" s="341"/>
      <c r="AL10" s="341"/>
    </row>
    <row r="11" spans="1:38" x14ac:dyDescent="0.35">
      <c r="A11" s="39">
        <v>7</v>
      </c>
      <c r="B11" s="39" t="str">
        <f t="shared" si="6"/>
        <v>2|1001|2</v>
      </c>
      <c r="C11" s="39">
        <f t="shared" si="1"/>
        <v>8000</v>
      </c>
      <c r="D11" s="39" t="s">
        <v>891</v>
      </c>
      <c r="E11" s="39" t="s">
        <v>562</v>
      </c>
      <c r="G11" s="39" t="s">
        <v>397</v>
      </c>
      <c r="H11" s="39">
        <f t="shared" si="2"/>
        <v>2</v>
      </c>
      <c r="I11" s="39">
        <f t="shared" si="3"/>
        <v>1001</v>
      </c>
      <c r="J11" s="39">
        <v>2</v>
      </c>
      <c r="M11" s="361" t="s">
        <v>881</v>
      </c>
      <c r="N11" s="338">
        <v>200</v>
      </c>
      <c r="O11" s="350">
        <f t="shared" si="4"/>
        <v>1200</v>
      </c>
      <c r="P11" s="340">
        <f t="shared" si="5"/>
        <v>5000</v>
      </c>
      <c r="U11" s="164" t="s">
        <v>361</v>
      </c>
      <c r="V11" s="164">
        <v>2</v>
      </c>
      <c r="W11" s="164">
        <v>1008</v>
      </c>
      <c r="X11" s="164">
        <v>10000000</v>
      </c>
      <c r="Y11" s="164">
        <v>10000000</v>
      </c>
      <c r="AE11" s="341"/>
      <c r="AF11" s="341"/>
      <c r="AG11" s="341"/>
      <c r="AH11" s="341"/>
      <c r="AI11" s="341"/>
      <c r="AJ11" s="341"/>
      <c r="AK11" s="341"/>
      <c r="AL11" s="341"/>
    </row>
    <row r="12" spans="1:38" x14ac:dyDescent="0.35">
      <c r="A12" s="39">
        <v>8</v>
      </c>
      <c r="B12" s="39" t="str">
        <f t="shared" si="6"/>
        <v>2|1002|1</v>
      </c>
      <c r="C12" s="39">
        <f t="shared" si="1"/>
        <v>10000</v>
      </c>
      <c r="D12" s="39" t="s">
        <v>891</v>
      </c>
      <c r="E12" s="39" t="s">
        <v>562</v>
      </c>
      <c r="G12" s="39" t="s">
        <v>398</v>
      </c>
      <c r="H12" s="39">
        <f t="shared" si="2"/>
        <v>2</v>
      </c>
      <c r="I12" s="39">
        <f t="shared" si="3"/>
        <v>1002</v>
      </c>
      <c r="J12" s="39">
        <v>1</v>
      </c>
      <c r="M12" s="362"/>
      <c r="N12" s="338">
        <v>400</v>
      </c>
      <c r="O12" s="350">
        <f t="shared" si="4"/>
        <v>2400</v>
      </c>
      <c r="P12" s="340">
        <f t="shared" si="5"/>
        <v>10000</v>
      </c>
      <c r="U12" s="164" t="s">
        <v>585</v>
      </c>
      <c r="V12" s="164">
        <v>2</v>
      </c>
      <c r="W12" s="164">
        <v>1015</v>
      </c>
      <c r="X12" s="164">
        <v>50000</v>
      </c>
      <c r="Y12" s="164">
        <v>50000</v>
      </c>
      <c r="AE12" s="348"/>
      <c r="AF12" s="348"/>
      <c r="AG12" s="341"/>
      <c r="AH12" s="341"/>
      <c r="AI12" s="341"/>
      <c r="AJ12" s="341"/>
      <c r="AK12" s="341"/>
      <c r="AL12" s="341"/>
    </row>
    <row r="13" spans="1:38" x14ac:dyDescent="0.35">
      <c r="A13" s="39">
        <v>9</v>
      </c>
      <c r="B13" s="39" t="str">
        <f t="shared" si="6"/>
        <v>1|1|1</v>
      </c>
      <c r="C13" s="39">
        <f t="shared" si="1"/>
        <v>20000</v>
      </c>
      <c r="D13" s="39">
        <v>3</v>
      </c>
      <c r="E13" s="39" t="s">
        <v>562</v>
      </c>
      <c r="G13" s="39" t="s">
        <v>360</v>
      </c>
      <c r="H13" s="39">
        <f t="shared" si="2"/>
        <v>1</v>
      </c>
      <c r="I13" s="39">
        <f t="shared" si="3"/>
        <v>1</v>
      </c>
      <c r="J13" s="39">
        <v>1</v>
      </c>
      <c r="M13" s="362"/>
      <c r="N13" s="338">
        <v>600</v>
      </c>
      <c r="O13" s="350">
        <f t="shared" si="4"/>
        <v>3600</v>
      </c>
      <c r="P13" s="340">
        <f t="shared" si="5"/>
        <v>15000</v>
      </c>
      <c r="U13" s="164" t="s">
        <v>586</v>
      </c>
      <c r="V13" s="164">
        <v>2</v>
      </c>
      <c r="W13" s="164">
        <v>1016</v>
      </c>
      <c r="X13" s="164">
        <v>100000</v>
      </c>
      <c r="Y13" s="164">
        <v>100000</v>
      </c>
      <c r="AE13" s="348"/>
      <c r="AF13" s="348"/>
      <c r="AG13" s="341"/>
      <c r="AH13" s="341"/>
      <c r="AI13" s="341"/>
      <c r="AJ13" s="341"/>
      <c r="AK13" s="341"/>
      <c r="AL13" s="345"/>
    </row>
    <row r="14" spans="1:38" x14ac:dyDescent="0.35">
      <c r="A14" s="39">
        <v>10</v>
      </c>
      <c r="B14" s="39" t="str">
        <f t="shared" si="6"/>
        <v>1|1|2</v>
      </c>
      <c r="C14" s="39">
        <f t="shared" si="1"/>
        <v>40000</v>
      </c>
      <c r="D14" s="39" t="s">
        <v>892</v>
      </c>
      <c r="E14" s="39" t="s">
        <v>562</v>
      </c>
      <c r="G14" s="39" t="s">
        <v>360</v>
      </c>
      <c r="H14" s="39">
        <f t="shared" si="2"/>
        <v>1</v>
      </c>
      <c r="I14" s="39">
        <f t="shared" si="3"/>
        <v>1</v>
      </c>
      <c r="J14" s="39">
        <v>2</v>
      </c>
      <c r="M14" s="362"/>
      <c r="N14" s="338">
        <v>800</v>
      </c>
      <c r="O14" s="350">
        <f t="shared" si="4"/>
        <v>4800</v>
      </c>
      <c r="P14" s="340">
        <f t="shared" si="5"/>
        <v>20000</v>
      </c>
      <c r="U14" s="164" t="s">
        <v>587</v>
      </c>
      <c r="V14" s="164">
        <v>2</v>
      </c>
      <c r="W14" s="164">
        <v>1017</v>
      </c>
      <c r="X14" s="164">
        <v>250000</v>
      </c>
      <c r="Y14" s="164">
        <v>250000</v>
      </c>
      <c r="AE14" s="348"/>
      <c r="AF14" s="348"/>
      <c r="AG14" s="341"/>
      <c r="AH14" s="341"/>
      <c r="AI14" s="341"/>
      <c r="AJ14" s="341"/>
      <c r="AK14" s="341"/>
      <c r="AL14" s="341"/>
    </row>
    <row r="15" spans="1:38" x14ac:dyDescent="0.35">
      <c r="A15" s="39">
        <v>11</v>
      </c>
      <c r="B15" s="39" t="str">
        <f t="shared" si="6"/>
        <v>2|1015|1</v>
      </c>
      <c r="C15" s="39">
        <f t="shared" si="1"/>
        <v>50000</v>
      </c>
      <c r="D15" s="39" t="s">
        <v>869</v>
      </c>
      <c r="E15" s="39" t="s">
        <v>562</v>
      </c>
      <c r="G15" s="39" t="s">
        <v>585</v>
      </c>
      <c r="H15" s="39">
        <f t="shared" si="2"/>
        <v>2</v>
      </c>
      <c r="I15" s="39">
        <f t="shared" si="3"/>
        <v>1015</v>
      </c>
      <c r="J15" s="39">
        <v>1</v>
      </c>
      <c r="M15" s="362"/>
      <c r="N15" s="338">
        <v>1000</v>
      </c>
      <c r="O15" s="350">
        <f t="shared" si="4"/>
        <v>6000</v>
      </c>
      <c r="P15" s="340">
        <f t="shared" si="5"/>
        <v>25000</v>
      </c>
      <c r="U15" s="164" t="s">
        <v>588</v>
      </c>
      <c r="V15" s="164">
        <v>2</v>
      </c>
      <c r="W15" s="164">
        <v>1018</v>
      </c>
      <c r="X15" s="164">
        <v>500000</v>
      </c>
      <c r="Y15" s="164">
        <v>500000</v>
      </c>
      <c r="AE15" s="348"/>
      <c r="AF15" s="348"/>
      <c r="AG15" s="341"/>
      <c r="AH15" s="341"/>
      <c r="AI15" s="341"/>
      <c r="AJ15" s="341"/>
      <c r="AK15" s="341"/>
      <c r="AL15" s="341"/>
    </row>
    <row r="16" spans="1:38" x14ac:dyDescent="0.35">
      <c r="A16" s="39">
        <v>12</v>
      </c>
      <c r="B16" s="39" t="str">
        <f t="shared" si="6"/>
        <v>1|1|5</v>
      </c>
      <c r="C16" s="39">
        <f t="shared" si="1"/>
        <v>100000</v>
      </c>
      <c r="D16" s="39" t="s">
        <v>869</v>
      </c>
      <c r="E16" s="39" t="s">
        <v>562</v>
      </c>
      <c r="G16" s="39" t="s">
        <v>360</v>
      </c>
      <c r="H16" s="39">
        <f t="shared" si="2"/>
        <v>1</v>
      </c>
      <c r="I16" s="39">
        <f t="shared" si="3"/>
        <v>1</v>
      </c>
      <c r="J16" s="39">
        <v>5</v>
      </c>
      <c r="M16" s="361" t="s">
        <v>882</v>
      </c>
      <c r="N16" s="338">
        <v>2000</v>
      </c>
      <c r="O16" s="340">
        <f t="shared" si="4"/>
        <v>12000</v>
      </c>
      <c r="P16" s="340">
        <f t="shared" si="5"/>
        <v>50000</v>
      </c>
      <c r="U16" s="164" t="s">
        <v>875</v>
      </c>
      <c r="V16" s="164">
        <v>2</v>
      </c>
      <c r="W16" s="164">
        <v>1004</v>
      </c>
      <c r="X16" s="164">
        <v>1000</v>
      </c>
      <c r="Y16" s="164">
        <v>20000</v>
      </c>
      <c r="Z16" s="39" t="s">
        <v>890</v>
      </c>
      <c r="AE16" s="348"/>
      <c r="AF16" s="348"/>
      <c r="AG16" s="341"/>
      <c r="AH16" s="341"/>
      <c r="AI16" s="341"/>
      <c r="AJ16" s="341"/>
      <c r="AK16" s="341"/>
      <c r="AL16" s="341"/>
    </row>
    <row r="17" spans="1:38" x14ac:dyDescent="0.35">
      <c r="A17" s="39">
        <v>13</v>
      </c>
      <c r="B17" s="39" t="str">
        <f t="shared" si="6"/>
        <v>2|1016|1</v>
      </c>
      <c r="C17" s="39">
        <f t="shared" si="1"/>
        <v>100000</v>
      </c>
      <c r="D17" s="39" t="s">
        <v>869</v>
      </c>
      <c r="E17" s="39" t="s">
        <v>562</v>
      </c>
      <c r="G17" s="39" t="s">
        <v>586</v>
      </c>
      <c r="H17" s="39">
        <f t="shared" si="2"/>
        <v>2</v>
      </c>
      <c r="I17" s="39">
        <f t="shared" si="3"/>
        <v>1016</v>
      </c>
      <c r="J17" s="39">
        <v>1</v>
      </c>
      <c r="M17" s="362"/>
      <c r="N17" s="338">
        <v>4000</v>
      </c>
      <c r="O17" s="340">
        <f t="shared" si="4"/>
        <v>24000</v>
      </c>
      <c r="P17" s="340">
        <f t="shared" si="5"/>
        <v>100000</v>
      </c>
      <c r="U17" s="164" t="s">
        <v>876</v>
      </c>
      <c r="V17" s="164">
        <v>2</v>
      </c>
      <c r="W17" s="164">
        <v>1001</v>
      </c>
      <c r="X17" s="164">
        <v>1000</v>
      </c>
      <c r="Y17" s="164">
        <v>20000</v>
      </c>
      <c r="AE17" s="348"/>
      <c r="AF17" s="348"/>
      <c r="AG17" s="341"/>
      <c r="AH17" s="341"/>
      <c r="AI17" s="341"/>
      <c r="AJ17" s="341"/>
      <c r="AK17" s="341"/>
      <c r="AL17" s="341"/>
    </row>
    <row r="18" spans="1:38" x14ac:dyDescent="0.35">
      <c r="A18" s="39">
        <v>14</v>
      </c>
      <c r="B18" s="39" t="str">
        <f t="shared" si="6"/>
        <v>2|1002|10</v>
      </c>
      <c r="C18" s="39">
        <f t="shared" si="1"/>
        <v>100000</v>
      </c>
      <c r="D18" s="39" t="s">
        <v>869</v>
      </c>
      <c r="E18" s="39">
        <v>3</v>
      </c>
      <c r="G18" s="39" t="s">
        <v>398</v>
      </c>
      <c r="H18" s="39">
        <f t="shared" si="2"/>
        <v>2</v>
      </c>
      <c r="I18" s="39">
        <f t="shared" si="3"/>
        <v>1002</v>
      </c>
      <c r="J18" s="39">
        <v>10</v>
      </c>
      <c r="M18" s="362"/>
      <c r="N18" s="338">
        <v>6000</v>
      </c>
      <c r="O18" s="340">
        <f t="shared" si="4"/>
        <v>36000</v>
      </c>
      <c r="P18" s="340">
        <f t="shared" si="5"/>
        <v>150000</v>
      </c>
      <c r="U18" s="164" t="s">
        <v>877</v>
      </c>
      <c r="V18" s="164">
        <v>2</v>
      </c>
      <c r="W18" s="164">
        <v>1002</v>
      </c>
      <c r="X18" s="164">
        <v>2500</v>
      </c>
      <c r="Y18" s="164">
        <v>50000</v>
      </c>
      <c r="AE18" s="348"/>
      <c r="AF18" s="341"/>
      <c r="AG18" s="341"/>
      <c r="AH18" s="341"/>
      <c r="AI18" s="341"/>
      <c r="AJ18" s="341"/>
      <c r="AK18" s="341"/>
      <c r="AL18" s="341"/>
    </row>
    <row r="19" spans="1:38" x14ac:dyDescent="0.35">
      <c r="A19" s="39">
        <v>15</v>
      </c>
      <c r="B19" s="39" t="str">
        <f t="shared" si="6"/>
        <v>2|1003|5</v>
      </c>
      <c r="C19" s="39">
        <f t="shared" si="1"/>
        <v>100000</v>
      </c>
      <c r="D19" s="39" t="s">
        <v>869</v>
      </c>
      <c r="E19" s="39">
        <v>3</v>
      </c>
      <c r="G19" s="39" t="s">
        <v>402</v>
      </c>
      <c r="H19" s="39">
        <f t="shared" si="2"/>
        <v>2</v>
      </c>
      <c r="I19" s="39">
        <f t="shared" si="3"/>
        <v>1003</v>
      </c>
      <c r="J19" s="39">
        <v>5</v>
      </c>
      <c r="M19" s="362"/>
      <c r="N19" s="338">
        <v>8000</v>
      </c>
      <c r="O19" s="340">
        <f t="shared" si="4"/>
        <v>48000</v>
      </c>
      <c r="P19" s="340">
        <f t="shared" si="5"/>
        <v>200000</v>
      </c>
      <c r="AE19" s="348"/>
      <c r="AF19" s="348"/>
      <c r="AG19" s="341"/>
      <c r="AH19" s="341"/>
      <c r="AI19" s="341"/>
      <c r="AJ19" s="341"/>
      <c r="AK19" s="341"/>
      <c r="AL19" s="341"/>
    </row>
    <row r="20" spans="1:38" x14ac:dyDescent="0.35">
      <c r="A20" s="39">
        <v>16</v>
      </c>
      <c r="B20" s="39" t="str">
        <f t="shared" si="6"/>
        <v>1|1|10</v>
      </c>
      <c r="C20" s="39">
        <f t="shared" si="1"/>
        <v>200000</v>
      </c>
      <c r="D20" s="39" t="s">
        <v>869</v>
      </c>
      <c r="E20" s="39">
        <v>3</v>
      </c>
      <c r="G20" s="39" t="s">
        <v>360</v>
      </c>
      <c r="H20" s="39">
        <f t="shared" si="2"/>
        <v>1</v>
      </c>
      <c r="I20" s="39">
        <f t="shared" si="3"/>
        <v>1</v>
      </c>
      <c r="J20" s="39">
        <v>10</v>
      </c>
      <c r="M20" s="362"/>
      <c r="N20" s="338">
        <v>10000</v>
      </c>
      <c r="O20" s="340">
        <f t="shared" si="4"/>
        <v>60000</v>
      </c>
      <c r="P20" s="340">
        <f t="shared" si="5"/>
        <v>250000</v>
      </c>
      <c r="AE20" s="348"/>
      <c r="AF20" s="348"/>
      <c r="AG20" s="341"/>
      <c r="AH20" s="341"/>
      <c r="AI20" s="341"/>
      <c r="AJ20" s="341"/>
      <c r="AK20" s="341"/>
      <c r="AL20" s="341"/>
    </row>
    <row r="21" spans="1:38" x14ac:dyDescent="0.35">
      <c r="A21" s="39">
        <v>17</v>
      </c>
      <c r="B21" s="39" t="str">
        <f t="shared" si="6"/>
        <v>2|1003|10</v>
      </c>
      <c r="C21" s="39">
        <f t="shared" si="1"/>
        <v>200000</v>
      </c>
      <c r="D21" s="39" t="s">
        <v>870</v>
      </c>
      <c r="E21" s="39" t="s">
        <v>869</v>
      </c>
      <c r="G21" s="39" t="s">
        <v>402</v>
      </c>
      <c r="H21" s="39">
        <f t="shared" si="2"/>
        <v>2</v>
      </c>
      <c r="I21" s="39">
        <f t="shared" si="3"/>
        <v>1003</v>
      </c>
      <c r="J21" s="39">
        <v>10</v>
      </c>
      <c r="M21" s="361" t="s">
        <v>883</v>
      </c>
      <c r="N21" s="338">
        <v>20000</v>
      </c>
      <c r="O21" s="340">
        <f t="shared" si="4"/>
        <v>120000</v>
      </c>
      <c r="P21" s="340">
        <f t="shared" si="5"/>
        <v>500000</v>
      </c>
      <c r="AE21" s="348"/>
      <c r="AF21" s="348"/>
      <c r="AG21" s="341"/>
      <c r="AH21" s="341"/>
      <c r="AI21" s="341"/>
      <c r="AJ21" s="341"/>
      <c r="AK21" s="341"/>
      <c r="AL21" s="341"/>
    </row>
    <row r="22" spans="1:38" x14ac:dyDescent="0.35">
      <c r="A22" s="39">
        <v>18</v>
      </c>
      <c r="B22" s="39" t="str">
        <f t="shared" si="6"/>
        <v>2|1017|1</v>
      </c>
      <c r="C22" s="39">
        <f t="shared" si="1"/>
        <v>250000</v>
      </c>
      <c r="D22" s="39" t="s">
        <v>870</v>
      </c>
      <c r="E22" s="39" t="s">
        <v>869</v>
      </c>
      <c r="G22" s="39" t="s">
        <v>587</v>
      </c>
      <c r="H22" s="39">
        <f t="shared" si="2"/>
        <v>2</v>
      </c>
      <c r="I22" s="39">
        <f t="shared" si="3"/>
        <v>1017</v>
      </c>
      <c r="J22" s="39">
        <v>1</v>
      </c>
      <c r="M22" s="362"/>
      <c r="N22" s="338">
        <v>40000</v>
      </c>
      <c r="O22" s="340">
        <f t="shared" si="4"/>
        <v>240000</v>
      </c>
      <c r="P22" s="340">
        <f t="shared" si="5"/>
        <v>1000000</v>
      </c>
      <c r="AE22" s="348"/>
      <c r="AF22" s="348"/>
      <c r="AG22" s="341"/>
      <c r="AH22" s="341"/>
      <c r="AI22" s="341"/>
      <c r="AJ22" s="349"/>
      <c r="AK22" s="341"/>
      <c r="AL22" s="341"/>
    </row>
    <row r="23" spans="1:38" x14ac:dyDescent="0.35">
      <c r="A23" s="39">
        <v>19</v>
      </c>
      <c r="B23" s="39" t="str">
        <f t="shared" si="6"/>
        <v>2|1018|1</v>
      </c>
      <c r="C23" s="39">
        <f t="shared" si="1"/>
        <v>500000</v>
      </c>
      <c r="D23" s="39" t="s">
        <v>870</v>
      </c>
      <c r="E23" s="39" t="s">
        <v>869</v>
      </c>
      <c r="G23" s="39" t="s">
        <v>588</v>
      </c>
      <c r="H23" s="39">
        <f t="shared" si="2"/>
        <v>2</v>
      </c>
      <c r="I23" s="39">
        <f t="shared" si="3"/>
        <v>1018</v>
      </c>
      <c r="J23" s="39">
        <v>1</v>
      </c>
      <c r="M23" s="362"/>
      <c r="N23" s="338">
        <v>60000</v>
      </c>
      <c r="O23" s="340">
        <f t="shared" si="4"/>
        <v>360000</v>
      </c>
      <c r="P23" s="340">
        <f t="shared" si="5"/>
        <v>1500000</v>
      </c>
    </row>
    <row r="24" spans="1:38" x14ac:dyDescent="0.35">
      <c r="A24" s="39">
        <v>20</v>
      </c>
      <c r="B24" s="39" t="str">
        <f t="shared" si="6"/>
        <v>2|1017|2</v>
      </c>
      <c r="C24" s="39">
        <f t="shared" si="1"/>
        <v>500000</v>
      </c>
      <c r="D24" s="39" t="s">
        <v>870</v>
      </c>
      <c r="E24" s="39" t="s">
        <v>869</v>
      </c>
      <c r="G24" s="39" t="s">
        <v>587</v>
      </c>
      <c r="H24" s="39">
        <f t="shared" si="2"/>
        <v>2</v>
      </c>
      <c r="I24" s="39">
        <f t="shared" si="3"/>
        <v>1017</v>
      </c>
      <c r="J24" s="39">
        <v>2</v>
      </c>
      <c r="M24" s="362"/>
      <c r="N24" s="338">
        <v>80000</v>
      </c>
      <c r="O24" s="340">
        <f t="shared" si="4"/>
        <v>480000</v>
      </c>
      <c r="P24" s="340">
        <f t="shared" si="5"/>
        <v>2000000</v>
      </c>
    </row>
    <row r="25" spans="1:38" x14ac:dyDescent="0.35">
      <c r="A25" s="39">
        <v>21</v>
      </c>
      <c r="B25" s="39" t="str">
        <f t="shared" si="6"/>
        <v>2|1018|2</v>
      </c>
      <c r="C25" s="39">
        <f t="shared" si="1"/>
        <v>1000000</v>
      </c>
      <c r="D25" s="39" t="s">
        <v>871</v>
      </c>
      <c r="E25" s="39" t="s">
        <v>869</v>
      </c>
      <c r="G25" s="39" t="s">
        <v>588</v>
      </c>
      <c r="H25" s="39">
        <f t="shared" si="2"/>
        <v>2</v>
      </c>
      <c r="I25" s="39">
        <f t="shared" si="3"/>
        <v>1018</v>
      </c>
      <c r="J25" s="39">
        <v>2</v>
      </c>
      <c r="M25" s="362"/>
      <c r="N25" s="338">
        <v>100000</v>
      </c>
      <c r="O25" s="340">
        <f t="shared" si="4"/>
        <v>600000</v>
      </c>
      <c r="P25" s="340">
        <f t="shared" si="5"/>
        <v>2500000</v>
      </c>
    </row>
    <row r="26" spans="1:38" x14ac:dyDescent="0.35">
      <c r="A26" s="39">
        <v>22</v>
      </c>
      <c r="B26" s="39" t="str">
        <f t="shared" si="6"/>
        <v>1|1|50</v>
      </c>
      <c r="C26" s="39">
        <f t="shared" si="1"/>
        <v>1000000</v>
      </c>
      <c r="D26" s="39" t="s">
        <v>872</v>
      </c>
      <c r="E26" s="39" t="s">
        <v>869</v>
      </c>
      <c r="G26" s="39" t="s">
        <v>360</v>
      </c>
      <c r="H26" s="39">
        <f t="shared" si="2"/>
        <v>1</v>
      </c>
      <c r="I26" s="39">
        <f t="shared" si="3"/>
        <v>1</v>
      </c>
      <c r="J26" s="39">
        <v>50</v>
      </c>
    </row>
    <row r="27" spans="1:38" x14ac:dyDescent="0.35">
      <c r="A27" s="39">
        <v>23</v>
      </c>
      <c r="B27" s="39" t="str">
        <f t="shared" si="6"/>
        <v>1|1|100</v>
      </c>
      <c r="C27" s="39">
        <f t="shared" si="1"/>
        <v>2000000</v>
      </c>
      <c r="D27" s="39" t="s">
        <v>873</v>
      </c>
      <c r="E27" s="39" t="s">
        <v>871</v>
      </c>
      <c r="G27" s="39" t="s">
        <v>360</v>
      </c>
      <c r="H27" s="39">
        <f t="shared" si="2"/>
        <v>1</v>
      </c>
      <c r="I27" s="39">
        <f t="shared" si="3"/>
        <v>1</v>
      </c>
      <c r="J27" s="39">
        <v>100</v>
      </c>
    </row>
    <row r="28" spans="1:38" x14ac:dyDescent="0.35">
      <c r="A28" s="39">
        <v>24</v>
      </c>
      <c r="B28" s="39" t="str">
        <f t="shared" si="6"/>
        <v>1|1|200</v>
      </c>
      <c r="C28" s="39">
        <f t="shared" si="1"/>
        <v>4000000</v>
      </c>
      <c r="D28" s="39" t="s">
        <v>874</v>
      </c>
      <c r="E28" s="39" t="s">
        <v>870</v>
      </c>
      <c r="G28" s="39" t="s">
        <v>360</v>
      </c>
      <c r="H28" s="39">
        <f t="shared" si="2"/>
        <v>1</v>
      </c>
      <c r="I28" s="39">
        <f t="shared" si="3"/>
        <v>1</v>
      </c>
      <c r="J28" s="39">
        <v>200</v>
      </c>
    </row>
    <row r="29" spans="1:38" x14ac:dyDescent="0.35">
      <c r="A29" s="39">
        <v>25</v>
      </c>
      <c r="B29" s="39" t="str">
        <f t="shared" si="6"/>
        <v>2|1007|1</v>
      </c>
      <c r="C29" s="39">
        <f t="shared" si="1"/>
        <v>5000000</v>
      </c>
      <c r="E29" s="39" t="s">
        <v>871</v>
      </c>
      <c r="G29" s="39" t="s">
        <v>374</v>
      </c>
      <c r="H29" s="39">
        <f t="shared" si="2"/>
        <v>2</v>
      </c>
      <c r="I29" s="39">
        <f t="shared" si="3"/>
        <v>1007</v>
      </c>
      <c r="J29" s="39">
        <v>1</v>
      </c>
    </row>
    <row r="30" spans="1:38" x14ac:dyDescent="0.35">
      <c r="A30" s="39">
        <v>26</v>
      </c>
      <c r="B30" s="39" t="str">
        <f t="shared" si="6"/>
        <v>2|1007|2</v>
      </c>
      <c r="C30" s="39">
        <f t="shared" si="1"/>
        <v>10000000</v>
      </c>
      <c r="E30" s="39" t="s">
        <v>874</v>
      </c>
      <c r="G30" s="39" t="s">
        <v>374</v>
      </c>
      <c r="H30" s="39">
        <f t="shared" si="2"/>
        <v>2</v>
      </c>
      <c r="I30" s="39">
        <f t="shared" si="3"/>
        <v>1007</v>
      </c>
      <c r="J30" s="39">
        <v>2</v>
      </c>
    </row>
    <row r="31" spans="1:38" x14ac:dyDescent="0.35">
      <c r="A31" s="39">
        <v>27</v>
      </c>
      <c r="B31" s="39" t="str">
        <f t="shared" si="6"/>
        <v>2|1008|1</v>
      </c>
      <c r="C31" s="39">
        <f t="shared" si="1"/>
        <v>10000000</v>
      </c>
      <c r="E31" s="39" t="s">
        <v>870</v>
      </c>
      <c r="G31" s="39" t="s">
        <v>361</v>
      </c>
      <c r="H31" s="39">
        <f t="shared" si="2"/>
        <v>2</v>
      </c>
      <c r="I31" s="39">
        <f t="shared" si="3"/>
        <v>1008</v>
      </c>
      <c r="J31" s="39">
        <v>1</v>
      </c>
    </row>
    <row r="32" spans="1:38" x14ac:dyDescent="0.35">
      <c r="A32" s="39">
        <v>28</v>
      </c>
      <c r="B32" s="39" t="str">
        <f t="shared" si="6"/>
        <v>2|1008|2</v>
      </c>
      <c r="C32" s="39">
        <f t="shared" si="1"/>
        <v>20000000</v>
      </c>
      <c r="E32" s="39" t="s">
        <v>870</v>
      </c>
      <c r="G32" s="39" t="s">
        <v>361</v>
      </c>
      <c r="H32" s="39">
        <f t="shared" si="2"/>
        <v>2</v>
      </c>
      <c r="I32" s="39">
        <f t="shared" si="3"/>
        <v>1008</v>
      </c>
      <c r="J32" s="39">
        <v>2</v>
      </c>
    </row>
  </sheetData>
  <mergeCells count="4">
    <mergeCell ref="M6:M10"/>
    <mergeCell ref="M11:M15"/>
    <mergeCell ref="M16:M20"/>
    <mergeCell ref="M21:M25"/>
  </mergeCells>
  <phoneticPr fontId="40" type="noConversion"/>
  <conditionalFormatting sqref="U12:U18">
    <cfRule type="containsText" dxfId="567" priority="31" operator="containsText" text=" ">
      <formula>NOT(ISERROR(SEARCH(" ",U12)))</formula>
    </cfRule>
  </conditionalFormatting>
  <conditionalFormatting sqref="V4:V11">
    <cfRule type="containsText" dxfId="566" priority="30" operator="containsText" text=" ">
      <formula>NOT(ISERROR(SEARCH(" ",V4)))</formula>
    </cfRule>
  </conditionalFormatting>
  <conditionalFormatting sqref="V12:V15">
    <cfRule type="containsText" dxfId="565" priority="27" operator="containsText" text=" ">
      <formula>NOT(ISERROR(SEARCH(" ",V12)))</formula>
    </cfRule>
  </conditionalFormatting>
  <conditionalFormatting sqref="W4:W7">
    <cfRule type="containsText" dxfId="564" priority="29" operator="containsText" text=" ">
      <formula>NOT(ISERROR(SEARCH(" ",W4)))</formula>
    </cfRule>
  </conditionalFormatting>
  <conditionalFormatting sqref="W8:W11">
    <cfRule type="containsText" dxfId="563" priority="28" operator="containsText" text=" ">
      <formula>NOT(ISERROR(SEARCH(" ",W8)))</formula>
    </cfRule>
  </conditionalFormatting>
  <conditionalFormatting sqref="W12:W15">
    <cfRule type="containsText" dxfId="562" priority="26" operator="containsText" text=" ">
      <formula>NOT(ISERROR(SEARCH(" ",W12)))</formula>
    </cfRule>
  </conditionalFormatting>
  <conditionalFormatting sqref="Y1:Y15">
    <cfRule type="containsText" dxfId="561" priority="25" operator="containsText" text=" ">
      <formula>NOT(ISERROR(SEARCH(" ",Y1)))</formula>
    </cfRule>
  </conditionalFormatting>
  <conditionalFormatting sqref="U1:U11 V1:W3 X1:X15">
    <cfRule type="containsText" dxfId="560" priority="32" operator="containsText" text=" ">
      <formula>NOT(ISERROR(SEARCH(" ",U1)))</formula>
    </cfRule>
  </conditionalFormatting>
  <conditionalFormatting sqref="V16:V17">
    <cfRule type="containsText" dxfId="559" priority="20" operator="containsText" text=" ">
      <formula>NOT(ISERROR(SEARCH(" ",V16)))</formula>
    </cfRule>
  </conditionalFormatting>
  <conditionalFormatting sqref="W16:W17">
    <cfRule type="containsText" dxfId="558" priority="19" operator="containsText" text=" ">
      <formula>NOT(ISERROR(SEARCH(" ",W16)))</formula>
    </cfRule>
  </conditionalFormatting>
  <conditionalFormatting sqref="X16:X17">
    <cfRule type="containsText" dxfId="557" priority="21" operator="containsText" text=" ">
      <formula>NOT(ISERROR(SEARCH(" ",X16)))</formula>
    </cfRule>
  </conditionalFormatting>
  <conditionalFormatting sqref="V18">
    <cfRule type="containsText" dxfId="556" priority="17" operator="containsText" text=" ">
      <formula>NOT(ISERROR(SEARCH(" ",V18)))</formula>
    </cfRule>
  </conditionalFormatting>
  <conditionalFormatting sqref="W18">
    <cfRule type="containsText" dxfId="555" priority="16" operator="containsText" text=" ">
      <formula>NOT(ISERROR(SEARCH(" ",W18)))</formula>
    </cfRule>
  </conditionalFormatting>
  <conditionalFormatting sqref="X18">
    <cfRule type="containsText" dxfId="554" priority="18" operator="containsText" text=" ">
      <formula>NOT(ISERROR(SEARCH(" ",X18)))</formula>
    </cfRule>
  </conditionalFormatting>
  <conditionalFormatting sqref="Y16">
    <cfRule type="containsText" dxfId="553" priority="14" operator="containsText" text=" ">
      <formula>NOT(ISERROR(SEARCH(" ",Y16)))</formula>
    </cfRule>
  </conditionalFormatting>
  <conditionalFormatting sqref="N6:N25">
    <cfRule type="containsText" dxfId="552" priority="8" operator="containsText" text=" ">
      <formula>NOT(ISERROR(SEARCH(" ",N6)))</formula>
    </cfRule>
  </conditionalFormatting>
  <conditionalFormatting sqref="AJ22">
    <cfRule type="containsText" dxfId="551" priority="4" operator="containsText" text="话费">
      <formula>NOT(ISERROR(SEARCH("话费",AJ22)))</formula>
    </cfRule>
    <cfRule type="cellIs" dxfId="550" priority="5" operator="equal">
      <formula>"话费"</formula>
    </cfRule>
    <cfRule type="containsText" dxfId="549" priority="6" operator="containsText" text="话费">
      <formula>NOT(ISERROR(SEARCH("话费",AJ22)))</formula>
    </cfRule>
    <cfRule type="containsText" dxfId="548" priority="7" operator="containsText" text=" ">
      <formula>NOT(ISERROR(SEARCH(" ",AJ22)))</formula>
    </cfRule>
  </conditionalFormatting>
  <conditionalFormatting sqref="G5:G7">
    <cfRule type="containsText" dxfId="547" priority="2" operator="containsText" text=" ">
      <formula>NOT(ISERROR(SEARCH(" ",G5)))</formula>
    </cfRule>
  </conditionalFormatting>
  <conditionalFormatting sqref="Y17:Y18">
    <cfRule type="containsText" dxfId="546" priority="1" operator="containsText" text=" ">
      <formula>NOT(ISERROR(SEARCH(" ",Y17)))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2"/>
  <sheetViews>
    <sheetView workbookViewId="0">
      <selection activeCell="F15" sqref="F15"/>
    </sheetView>
  </sheetViews>
  <sheetFormatPr defaultColWidth="9" defaultRowHeight="15.6" x14ac:dyDescent="0.25"/>
  <cols>
    <col min="1" max="1" width="9.88671875" style="1" customWidth="1"/>
    <col min="2" max="2" width="21.88671875" style="1" customWidth="1"/>
    <col min="3" max="3" width="14.88671875" style="1" customWidth="1"/>
    <col min="4" max="5" width="12" style="1" customWidth="1"/>
    <col min="6" max="6" width="31.77734375" style="1" customWidth="1"/>
    <col min="7" max="7" width="18.6640625" style="73" customWidth="1"/>
    <col min="8" max="8" width="11.33203125" style="1" customWidth="1"/>
    <col min="9" max="9" width="9.6640625" style="73" customWidth="1"/>
    <col min="10" max="10" width="10" style="1" customWidth="1"/>
    <col min="11" max="11" width="15.44140625" style="73" customWidth="1"/>
    <col min="12" max="12" width="11.33203125" style="1" customWidth="1"/>
    <col min="13" max="13" width="9" style="73" customWidth="1"/>
    <col min="14" max="14" width="9.44140625" style="1" customWidth="1"/>
    <col min="15" max="15" width="8.88671875" style="73" customWidth="1"/>
    <col min="16" max="16" width="9" style="1"/>
    <col min="17" max="17" width="12.109375" style="1" customWidth="1"/>
    <col min="18" max="22" width="9" style="1"/>
    <col min="23" max="24" width="10" style="1" customWidth="1"/>
    <col min="25" max="25" width="9.6640625" style="1" customWidth="1"/>
    <col min="26" max="16384" width="9" style="1"/>
  </cols>
  <sheetData>
    <row r="1" spans="1:31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1</v>
      </c>
      <c r="F1" s="30" t="s">
        <v>1</v>
      </c>
      <c r="G1" s="111" t="s">
        <v>1</v>
      </c>
      <c r="H1" s="112" t="s">
        <v>1</v>
      </c>
      <c r="I1" s="135" t="s">
        <v>1</v>
      </c>
      <c r="J1" s="30" t="s">
        <v>1</v>
      </c>
      <c r="K1" s="111" t="s">
        <v>1</v>
      </c>
      <c r="L1" s="112" t="s">
        <v>1</v>
      </c>
      <c r="M1" s="135" t="s">
        <v>1</v>
      </c>
      <c r="N1" s="30" t="s">
        <v>1</v>
      </c>
      <c r="O1" s="111" t="s">
        <v>1</v>
      </c>
      <c r="Q1" s="144" t="s">
        <v>601</v>
      </c>
    </row>
    <row r="2" spans="1:31" x14ac:dyDescent="0.35">
      <c r="A2" s="2" t="s">
        <v>7</v>
      </c>
      <c r="B2" s="2" t="s">
        <v>7</v>
      </c>
      <c r="C2" s="2" t="s">
        <v>7</v>
      </c>
      <c r="D2" s="2" t="s">
        <v>7</v>
      </c>
      <c r="E2" s="2" t="s">
        <v>8</v>
      </c>
      <c r="F2" s="30" t="s">
        <v>9</v>
      </c>
      <c r="G2" s="111" t="s">
        <v>8</v>
      </c>
      <c r="H2" s="112" t="s">
        <v>9</v>
      </c>
      <c r="I2" s="135" t="s">
        <v>8</v>
      </c>
      <c r="J2" s="30" t="s">
        <v>9</v>
      </c>
      <c r="K2" s="111" t="s">
        <v>8</v>
      </c>
      <c r="L2" s="112" t="s">
        <v>9</v>
      </c>
      <c r="M2" s="135" t="s">
        <v>8</v>
      </c>
      <c r="N2" s="30" t="s">
        <v>9</v>
      </c>
      <c r="O2" s="111" t="s">
        <v>8</v>
      </c>
    </row>
    <row r="3" spans="1:31" x14ac:dyDescent="0.35">
      <c r="A3" s="2" t="s">
        <v>602</v>
      </c>
      <c r="B3" s="2" t="s">
        <v>603</v>
      </c>
      <c r="C3" s="2" t="s">
        <v>604</v>
      </c>
      <c r="D3" s="2" t="s">
        <v>605</v>
      </c>
      <c r="E3" s="2" t="s">
        <v>606</v>
      </c>
      <c r="F3" s="30" t="s">
        <v>607</v>
      </c>
      <c r="G3" s="111" t="s">
        <v>608</v>
      </c>
      <c r="H3" s="112" t="s">
        <v>609</v>
      </c>
      <c r="I3" s="135" t="s">
        <v>610</v>
      </c>
      <c r="J3" s="30" t="s">
        <v>611</v>
      </c>
      <c r="K3" s="111" t="s">
        <v>612</v>
      </c>
      <c r="L3" s="112" t="s">
        <v>613</v>
      </c>
      <c r="M3" s="135" t="s">
        <v>614</v>
      </c>
      <c r="N3" s="30" t="s">
        <v>615</v>
      </c>
      <c r="O3" s="111" t="s">
        <v>616</v>
      </c>
    </row>
    <row r="4" spans="1:31" ht="92.4" x14ac:dyDescent="0.25">
      <c r="A4" s="113" t="s">
        <v>617</v>
      </c>
      <c r="B4" s="60" t="s">
        <v>618</v>
      </c>
      <c r="C4" s="60" t="s">
        <v>619</v>
      </c>
      <c r="D4" s="60" t="s">
        <v>620</v>
      </c>
      <c r="E4" s="60" t="s">
        <v>621</v>
      </c>
      <c r="F4" s="4" t="s">
        <v>622</v>
      </c>
      <c r="G4" s="114" t="s">
        <v>623</v>
      </c>
      <c r="H4" s="115">
        <v>2</v>
      </c>
      <c r="I4" s="136">
        <v>2</v>
      </c>
      <c r="J4" s="137">
        <v>3</v>
      </c>
      <c r="K4" s="138">
        <v>3</v>
      </c>
      <c r="L4" s="115">
        <v>4</v>
      </c>
      <c r="M4" s="136">
        <v>4</v>
      </c>
      <c r="N4" s="137">
        <v>5</v>
      </c>
      <c r="O4" s="138">
        <v>5</v>
      </c>
      <c r="Q4" s="56" t="s">
        <v>624</v>
      </c>
      <c r="Z4" s="1">
        <f>'抽奖|MoonBless'!DN4</f>
        <v>0</v>
      </c>
      <c r="AA4" s="1" t="str">
        <f>'抽奖|MoonBless'!DO4</f>
        <v>人民币价值</v>
      </c>
      <c r="AB4" s="1" t="str">
        <f>'抽奖|MoonBless'!DP4</f>
        <v>价值
钻石价值</v>
      </c>
      <c r="AC4" s="1" t="str">
        <f>'抽奖|MoonBless'!DQ4</f>
        <v>物品类型</v>
      </c>
      <c r="AD4" s="1" t="str">
        <f>'抽奖|MoonBless'!DR4</f>
        <v>id</v>
      </c>
      <c r="AE4" s="1" t="str">
        <f>'抽奖|MoonBless'!DS4</f>
        <v>价值加成</v>
      </c>
    </row>
    <row r="5" spans="1:31" x14ac:dyDescent="0.35">
      <c r="A5" s="1">
        <v>4101</v>
      </c>
      <c r="B5" s="1">
        <v>1</v>
      </c>
      <c r="C5" s="1">
        <v>1</v>
      </c>
      <c r="D5" s="1">
        <v>1</v>
      </c>
      <c r="E5" s="1">
        <v>-1</v>
      </c>
      <c r="F5" s="39" t="s">
        <v>625</v>
      </c>
      <c r="G5" s="73">
        <v>1</v>
      </c>
      <c r="Q5" s="145" t="str">
        <f>IF(AND((B5=1),(G5+I5+K5+M5+O5&gt;1)),G5+I5+K5+M5+O5&amp;"，错误概率",G5+I5+K5+M5+O5&amp;"，正确")</f>
        <v>1，正确</v>
      </c>
      <c r="R5" s="1" t="s">
        <v>626</v>
      </c>
      <c r="S5" s="1" t="s">
        <v>627</v>
      </c>
      <c r="Z5" s="1" t="str">
        <f>'抽奖|MoonBless'!DN5</f>
        <v>人民币</v>
      </c>
      <c r="AA5" s="1">
        <f>'抽奖|MoonBless'!DO5</f>
        <v>1</v>
      </c>
      <c r="AB5" s="1">
        <f>'抽奖|MoonBless'!DP5</f>
        <v>20</v>
      </c>
      <c r="AC5" s="1">
        <f>'抽奖|MoonBless'!DQ5</f>
        <v>1</v>
      </c>
      <c r="AD5" s="1">
        <f>'抽奖|MoonBless'!DR5</f>
        <v>0</v>
      </c>
      <c r="AE5" s="158">
        <f>'抽奖|MoonBless'!DS5</f>
        <v>1</v>
      </c>
    </row>
    <row r="6" spans="1:31" x14ac:dyDescent="0.35">
      <c r="A6" s="1">
        <v>4102</v>
      </c>
      <c r="B6" s="1">
        <v>1</v>
      </c>
      <c r="C6" s="1">
        <v>1</v>
      </c>
      <c r="D6" s="1">
        <v>1</v>
      </c>
      <c r="E6" s="1">
        <v>-1</v>
      </c>
      <c r="F6" s="39" t="s">
        <v>628</v>
      </c>
      <c r="G6" s="73">
        <v>0</v>
      </c>
      <c r="H6" s="39" t="s">
        <v>629</v>
      </c>
      <c r="I6" s="73">
        <v>0.34</v>
      </c>
      <c r="J6" s="39" t="s">
        <v>630</v>
      </c>
      <c r="K6" s="73">
        <v>0.33</v>
      </c>
      <c r="L6" s="39" t="s">
        <v>631</v>
      </c>
      <c r="M6" s="73">
        <v>0.33</v>
      </c>
      <c r="Q6" s="145" t="str">
        <f t="shared" ref="Q6:Q88" si="0">IF(AND((B6=1),(G6+I6+K6+M6+O6&gt;1)),G6+I6+K6+M6+O6&amp;"，错误概率",G6+I6+K6+M6+O6&amp;"，正确")</f>
        <v>1，正确</v>
      </c>
      <c r="S6" s="1" t="s">
        <v>632</v>
      </c>
      <c r="Z6" s="1" t="str">
        <f>'抽奖|MoonBless'!DN6</f>
        <v>钻石</v>
      </c>
      <c r="AA6" s="1">
        <f>'抽奖|MoonBless'!DO6</f>
        <v>0.1</v>
      </c>
      <c r="AB6" s="1">
        <f>'抽奖|MoonBless'!DP6</f>
        <v>2</v>
      </c>
      <c r="AC6" s="1">
        <f>'抽奖|MoonBless'!DQ6</f>
        <v>1</v>
      </c>
      <c r="AD6" s="1">
        <f>'抽奖|MoonBless'!DR6</f>
        <v>1</v>
      </c>
      <c r="AE6" s="158">
        <f>'抽奖|MoonBless'!DS6</f>
        <v>1</v>
      </c>
    </row>
    <row r="7" spans="1:31" s="84" customFormat="1" x14ac:dyDescent="0.35">
      <c r="A7" s="84">
        <v>4103</v>
      </c>
      <c r="B7" s="84">
        <v>1</v>
      </c>
      <c r="C7" s="84">
        <v>1</v>
      </c>
      <c r="D7" s="84">
        <v>1</v>
      </c>
      <c r="E7" s="1">
        <v>-1</v>
      </c>
      <c r="F7" s="63" t="s">
        <v>625</v>
      </c>
      <c r="G7" s="116">
        <v>0.1</v>
      </c>
      <c r="H7" s="63" t="s">
        <v>633</v>
      </c>
      <c r="I7" s="116">
        <v>0.3</v>
      </c>
      <c r="J7" s="63" t="s">
        <v>634</v>
      </c>
      <c r="K7" s="116">
        <v>0.25</v>
      </c>
      <c r="L7" s="63" t="s">
        <v>635</v>
      </c>
      <c r="M7" s="116">
        <v>0.25</v>
      </c>
      <c r="N7" s="63" t="s">
        <v>636</v>
      </c>
      <c r="O7" s="116">
        <v>0.05</v>
      </c>
      <c r="Q7" s="146" t="str">
        <f t="shared" si="0"/>
        <v>0.95，正确</v>
      </c>
      <c r="Z7" s="1" t="str">
        <f>'抽奖|MoonBless'!DN7</f>
        <v>金币</v>
      </c>
      <c r="AA7" s="1">
        <f>'抽奖|MoonBless'!DO7</f>
        <v>5.0000000000000004E-6</v>
      </c>
      <c r="AB7" s="1">
        <f>'抽奖|MoonBless'!DP7</f>
        <v>1E-4</v>
      </c>
      <c r="AC7" s="1">
        <f>'抽奖|MoonBless'!DQ7</f>
        <v>1</v>
      </c>
      <c r="AD7" s="1">
        <f>'抽奖|MoonBless'!DR7</f>
        <v>2</v>
      </c>
      <c r="AE7" s="158">
        <f>'抽奖|MoonBless'!DS7</f>
        <v>1</v>
      </c>
    </row>
    <row r="8" spans="1:31" s="84" customFormat="1" x14ac:dyDescent="0.35">
      <c r="A8" s="84">
        <v>4104</v>
      </c>
      <c r="B8" s="84">
        <v>2</v>
      </c>
      <c r="C8" s="84">
        <v>1</v>
      </c>
      <c r="D8" s="84">
        <v>1</v>
      </c>
      <c r="E8" s="1">
        <v>-1</v>
      </c>
      <c r="F8" s="63" t="s">
        <v>628</v>
      </c>
      <c r="G8" s="116">
        <v>0.1</v>
      </c>
      <c r="H8" s="63" t="s">
        <v>633</v>
      </c>
      <c r="I8" s="116">
        <v>0.3</v>
      </c>
      <c r="J8" s="63" t="s">
        <v>634</v>
      </c>
      <c r="K8" s="116">
        <v>0.25</v>
      </c>
      <c r="L8" s="63" t="s">
        <v>635</v>
      </c>
      <c r="M8" s="116">
        <v>0.25</v>
      </c>
      <c r="N8" s="63" t="s">
        <v>636</v>
      </c>
      <c r="O8" s="116">
        <v>0.05</v>
      </c>
      <c r="Q8" s="146" t="str">
        <f t="shared" si="0"/>
        <v>0.95，正确</v>
      </c>
      <c r="Z8" s="1" t="str">
        <f>'抽奖|MoonBless'!DN8</f>
        <v>锁定</v>
      </c>
      <c r="AA8" s="1">
        <f>'抽奖|MoonBless'!DO8</f>
        <v>0.1</v>
      </c>
      <c r="AB8" s="1">
        <f>'抽奖|MoonBless'!DP8</f>
        <v>2</v>
      </c>
      <c r="AC8" s="1">
        <f>'抽奖|MoonBless'!DQ8</f>
        <v>2</v>
      </c>
      <c r="AD8" s="1">
        <f>'抽奖|MoonBless'!DR8</f>
        <v>1001</v>
      </c>
      <c r="AE8" s="158">
        <f>'抽奖|MoonBless'!DS8</f>
        <v>1</v>
      </c>
    </row>
    <row r="9" spans="1:31" s="84" customFormat="1" x14ac:dyDescent="0.35">
      <c r="A9" s="84">
        <v>4201</v>
      </c>
      <c r="B9" s="84">
        <v>1</v>
      </c>
      <c r="C9" s="84">
        <v>1</v>
      </c>
      <c r="D9" s="84">
        <v>1</v>
      </c>
      <c r="E9" s="1">
        <v>-1</v>
      </c>
      <c r="F9" s="63" t="s">
        <v>637</v>
      </c>
      <c r="G9" s="116">
        <v>1</v>
      </c>
      <c r="I9" s="116"/>
      <c r="K9" s="116"/>
      <c r="M9" s="116"/>
      <c r="O9" s="116"/>
      <c r="Q9" s="146" t="str">
        <f t="shared" si="0"/>
        <v>1，正确</v>
      </c>
      <c r="R9" s="84" t="s">
        <v>638</v>
      </c>
      <c r="Z9" s="1" t="str">
        <f>'抽奖|MoonBless'!DN9</f>
        <v>冰冻</v>
      </c>
      <c r="AA9" s="1">
        <f>'抽奖|MoonBless'!DO9</f>
        <v>0.25</v>
      </c>
      <c r="AB9" s="1">
        <f>'抽奖|MoonBless'!DP9</f>
        <v>5</v>
      </c>
      <c r="AC9" s="1">
        <f>'抽奖|MoonBless'!DQ9</f>
        <v>2</v>
      </c>
      <c r="AD9" s="1">
        <f>'抽奖|MoonBless'!DR9</f>
        <v>1002</v>
      </c>
      <c r="AE9" s="158">
        <f>'抽奖|MoonBless'!DS9</f>
        <v>1</v>
      </c>
    </row>
    <row r="10" spans="1:31" s="84" customFormat="1" x14ac:dyDescent="0.35">
      <c r="A10" s="84">
        <v>4202</v>
      </c>
      <c r="B10" s="84">
        <v>1</v>
      </c>
      <c r="C10" s="84">
        <v>1</v>
      </c>
      <c r="D10" s="84">
        <v>1</v>
      </c>
      <c r="E10" s="1">
        <v>-1</v>
      </c>
      <c r="F10" s="63" t="s">
        <v>639</v>
      </c>
      <c r="G10" s="116">
        <v>0</v>
      </c>
      <c r="H10" s="63" t="s">
        <v>640</v>
      </c>
      <c r="I10" s="116">
        <v>0.34</v>
      </c>
      <c r="J10" s="63" t="s">
        <v>641</v>
      </c>
      <c r="K10" s="116">
        <v>0.33</v>
      </c>
      <c r="L10" s="63" t="s">
        <v>642</v>
      </c>
      <c r="M10" s="116">
        <v>0.33</v>
      </c>
      <c r="O10" s="116"/>
      <c r="Q10" s="146" t="str">
        <f t="shared" si="0"/>
        <v>1，正确</v>
      </c>
      <c r="Z10" s="1" t="str">
        <f>'抽奖|MoonBless'!DN10</f>
        <v>狂暴</v>
      </c>
      <c r="AA10" s="1">
        <f>'抽奖|MoonBless'!DO10</f>
        <v>0.5</v>
      </c>
      <c r="AB10" s="1">
        <f>'抽奖|MoonBless'!DP10</f>
        <v>10</v>
      </c>
      <c r="AC10" s="1">
        <f>'抽奖|MoonBless'!DQ10</f>
        <v>2</v>
      </c>
      <c r="AD10" s="1">
        <f>'抽奖|MoonBless'!DR10</f>
        <v>1003</v>
      </c>
      <c r="AE10" s="158">
        <f>'抽奖|MoonBless'!DS10</f>
        <v>1</v>
      </c>
    </row>
    <row r="11" spans="1:31" s="84" customFormat="1" x14ac:dyDescent="0.35">
      <c r="A11" s="84">
        <v>4301</v>
      </c>
      <c r="B11" s="84">
        <v>1</v>
      </c>
      <c r="C11" s="84">
        <v>1</v>
      </c>
      <c r="D11" s="84">
        <v>1</v>
      </c>
      <c r="E11" s="1">
        <v>-1</v>
      </c>
      <c r="F11" s="63" t="s">
        <v>643</v>
      </c>
      <c r="G11" s="116">
        <v>1</v>
      </c>
      <c r="I11" s="116"/>
      <c r="K11" s="116"/>
      <c r="M11" s="116"/>
      <c r="O11" s="116"/>
      <c r="Q11" s="146" t="str">
        <f t="shared" si="0"/>
        <v>1，正确</v>
      </c>
      <c r="R11" s="84" t="s">
        <v>644</v>
      </c>
      <c r="Z11" s="1" t="str">
        <f>'抽奖|MoonBless'!DN11</f>
        <v>召唤</v>
      </c>
      <c r="AA11" s="1">
        <f>'抽奖|MoonBless'!DO11</f>
        <v>0.1</v>
      </c>
      <c r="AB11" s="1">
        <f>'抽奖|MoonBless'!DP11</f>
        <v>2</v>
      </c>
      <c r="AC11" s="1">
        <f>'抽奖|MoonBless'!DQ11</f>
        <v>2</v>
      </c>
      <c r="AD11" s="1">
        <f>'抽奖|MoonBless'!DR11</f>
        <v>1004</v>
      </c>
      <c r="AE11" s="158">
        <f>'抽奖|MoonBless'!DS11</f>
        <v>1</v>
      </c>
    </row>
    <row r="12" spans="1:31" s="84" customFormat="1" x14ac:dyDescent="0.35">
      <c r="A12" s="84">
        <v>4302</v>
      </c>
      <c r="B12" s="84">
        <v>1</v>
      </c>
      <c r="C12" s="84">
        <v>1</v>
      </c>
      <c r="D12" s="84">
        <v>1</v>
      </c>
      <c r="E12" s="1">
        <v>-1</v>
      </c>
      <c r="F12" s="63" t="s">
        <v>645</v>
      </c>
      <c r="G12" s="116">
        <v>0</v>
      </c>
      <c r="H12" s="63" t="s">
        <v>646</v>
      </c>
      <c r="I12" s="116">
        <v>0.34</v>
      </c>
      <c r="J12" s="63" t="s">
        <v>647</v>
      </c>
      <c r="K12" s="116">
        <v>0.33</v>
      </c>
      <c r="L12" s="63" t="s">
        <v>648</v>
      </c>
      <c r="M12" s="116">
        <v>0.33</v>
      </c>
      <c r="O12" s="116"/>
      <c r="Q12" s="146" t="str">
        <f t="shared" si="0"/>
        <v>1，正确</v>
      </c>
      <c r="Z12" s="1" t="str">
        <f>'抽奖|MoonBless'!DN12</f>
        <v>福卡</v>
      </c>
      <c r="AA12" s="1">
        <f>'抽奖|MoonBless'!DO12</f>
        <v>7.5000000000000002E-4</v>
      </c>
      <c r="AB12" s="1">
        <f>'抽奖|MoonBless'!DP12</f>
        <v>1.5000000000000001E-2</v>
      </c>
      <c r="AC12" s="1">
        <f>'抽奖|MoonBless'!DQ12</f>
        <v>2</v>
      </c>
      <c r="AD12" s="1">
        <f>'抽奖|MoonBless'!DR12</f>
        <v>1204</v>
      </c>
      <c r="AE12" s="158">
        <f>'抽奖|MoonBless'!DS12</f>
        <v>1</v>
      </c>
    </row>
    <row r="13" spans="1:31" s="84" customFormat="1" x14ac:dyDescent="0.35">
      <c r="A13" s="84">
        <v>4401</v>
      </c>
      <c r="B13" s="84">
        <v>1</v>
      </c>
      <c r="C13" s="84">
        <v>1</v>
      </c>
      <c r="D13" s="84">
        <v>1</v>
      </c>
      <c r="E13" s="1">
        <v>-1</v>
      </c>
      <c r="F13" s="63" t="s">
        <v>649</v>
      </c>
      <c r="G13" s="116">
        <v>1</v>
      </c>
      <c r="I13" s="116"/>
      <c r="K13" s="116"/>
      <c r="M13" s="116"/>
      <c r="O13" s="116"/>
      <c r="Q13" s="146" t="str">
        <f t="shared" si="0"/>
        <v>1，正确</v>
      </c>
      <c r="R13" s="84" t="s">
        <v>650</v>
      </c>
      <c r="Z13" s="1" t="str">
        <f>'抽奖|MoonBless'!DN13</f>
        <v>超级武器1</v>
      </c>
      <c r="AA13" s="1">
        <f>'抽奖|MoonBless'!DO13</f>
        <v>5</v>
      </c>
      <c r="AB13" s="1">
        <f>'抽奖|MoonBless'!DP13</f>
        <v>100</v>
      </c>
      <c r="AC13" s="1">
        <f>'抽奖|MoonBless'!DQ13</f>
        <v>2</v>
      </c>
      <c r="AD13" s="1">
        <f>'抽奖|MoonBless'!DR13</f>
        <v>1005</v>
      </c>
      <c r="AE13" s="158">
        <f>'抽奖|MoonBless'!DS13</f>
        <v>1</v>
      </c>
    </row>
    <row r="14" spans="1:31" s="84" customFormat="1" x14ac:dyDescent="0.35">
      <c r="A14" s="84">
        <v>4402</v>
      </c>
      <c r="B14" s="84">
        <v>1</v>
      </c>
      <c r="C14" s="84">
        <v>1</v>
      </c>
      <c r="D14" s="84">
        <v>1</v>
      </c>
      <c r="E14" s="1">
        <v>-1</v>
      </c>
      <c r="F14" s="63" t="s">
        <v>637</v>
      </c>
      <c r="G14" s="116">
        <v>0.25</v>
      </c>
      <c r="H14" s="63" t="s">
        <v>651</v>
      </c>
      <c r="I14" s="116">
        <v>0.25</v>
      </c>
      <c r="J14" s="63" t="s">
        <v>652</v>
      </c>
      <c r="K14" s="116">
        <v>0.25</v>
      </c>
      <c r="L14" s="63" t="s">
        <v>653</v>
      </c>
      <c r="M14" s="116">
        <v>0.25</v>
      </c>
      <c r="O14" s="116"/>
      <c r="Q14" s="146" t="str">
        <f t="shared" si="0"/>
        <v>1，正确</v>
      </c>
      <c r="Z14" s="1" t="str">
        <f>'抽奖|MoonBless'!DN14</f>
        <v>超级武器2</v>
      </c>
      <c r="AA14" s="1">
        <f>'抽奖|MoonBless'!DO14</f>
        <v>10</v>
      </c>
      <c r="AB14" s="1">
        <f>'抽奖|MoonBless'!DP14</f>
        <v>200</v>
      </c>
      <c r="AC14" s="1">
        <f>'抽奖|MoonBless'!DQ14</f>
        <v>2</v>
      </c>
      <c r="AD14" s="1">
        <f>'抽奖|MoonBless'!DR14</f>
        <v>1006</v>
      </c>
      <c r="AE14" s="158">
        <f>'抽奖|MoonBless'!DS14</f>
        <v>1</v>
      </c>
    </row>
    <row r="15" spans="1:31" s="84" customFormat="1" ht="16.2" x14ac:dyDescent="0.4">
      <c r="A15" s="84">
        <v>4501</v>
      </c>
      <c r="B15" s="84">
        <v>1</v>
      </c>
      <c r="C15" s="84">
        <v>1</v>
      </c>
      <c r="D15" s="84">
        <v>1</v>
      </c>
      <c r="E15" s="1">
        <v>-1</v>
      </c>
      <c r="F15" s="117" t="s">
        <v>904</v>
      </c>
      <c r="G15" s="116">
        <f>30000*0.02/5888*5/(50*20000)*(5888*150)</f>
        <v>0.45000000000000007</v>
      </c>
      <c r="H15" s="63"/>
      <c r="I15" s="116"/>
      <c r="J15" s="63"/>
      <c r="K15" s="116"/>
      <c r="L15" s="63"/>
      <c r="M15" s="116"/>
      <c r="O15" s="116"/>
      <c r="Q15" s="146" t="str">
        <f t="shared" si="0"/>
        <v>0.45，正确</v>
      </c>
      <c r="R15" s="84" t="s">
        <v>654</v>
      </c>
      <c r="Z15" s="1" t="str">
        <f>'抽奖|MoonBless'!DN15</f>
        <v>超级武器3</v>
      </c>
      <c r="AA15" s="1">
        <f>'抽奖|MoonBless'!DO15</f>
        <v>25</v>
      </c>
      <c r="AB15" s="1">
        <f>'抽奖|MoonBless'!DP15</f>
        <v>500</v>
      </c>
      <c r="AC15" s="1">
        <f>'抽奖|MoonBless'!DQ15</f>
        <v>2</v>
      </c>
      <c r="AD15" s="1">
        <f>'抽奖|MoonBless'!DR15</f>
        <v>1007</v>
      </c>
      <c r="AE15" s="158">
        <f>'抽奖|MoonBless'!DS15</f>
        <v>1</v>
      </c>
    </row>
    <row r="16" spans="1:31" s="84" customFormat="1" ht="16.2" x14ac:dyDescent="0.4">
      <c r="A16" s="84">
        <v>4502</v>
      </c>
      <c r="B16" s="84">
        <v>1</v>
      </c>
      <c r="C16" s="84">
        <v>1</v>
      </c>
      <c r="D16" s="84">
        <v>1</v>
      </c>
      <c r="E16" s="1">
        <v>-1</v>
      </c>
      <c r="F16" s="117" t="s">
        <v>655</v>
      </c>
      <c r="G16" s="116">
        <v>1</v>
      </c>
      <c r="H16" s="63"/>
      <c r="I16" s="116"/>
      <c r="J16" s="63"/>
      <c r="K16" s="116"/>
      <c r="L16" s="63"/>
      <c r="M16" s="116"/>
      <c r="O16" s="116"/>
      <c r="Q16" s="146" t="str">
        <f t="shared" ref="Q16" si="1">IF(AND((B16=1),(G16+I16+K16+M16+O16&gt;1)),G16+I16+K16+M16+O16&amp;"，错误概率",G16+I16+K16+M16+O16&amp;"，正确")</f>
        <v>1，正确</v>
      </c>
      <c r="Z16" s="1" t="str">
        <f>'抽奖|MoonBless'!DN16</f>
        <v>超级武器4</v>
      </c>
      <c r="AA16" s="1">
        <f>'抽奖|MoonBless'!DO16</f>
        <v>50</v>
      </c>
      <c r="AB16" s="1">
        <f>'抽奖|MoonBless'!DP16</f>
        <v>1000</v>
      </c>
      <c r="AC16" s="1">
        <f>'抽奖|MoonBless'!DQ16</f>
        <v>2</v>
      </c>
      <c r="AD16" s="1">
        <f>'抽奖|MoonBless'!DR16</f>
        <v>1008</v>
      </c>
      <c r="AE16" s="158">
        <f>'抽奖|MoonBless'!DS16</f>
        <v>1</v>
      </c>
    </row>
    <row r="17" spans="1:31" s="84" customFormat="1" x14ac:dyDescent="0.35">
      <c r="A17" s="84">
        <v>4503</v>
      </c>
      <c r="B17" s="84">
        <v>1</v>
      </c>
      <c r="C17" s="84">
        <v>1</v>
      </c>
      <c r="D17" s="84">
        <v>1</v>
      </c>
      <c r="E17" s="1">
        <v>-1</v>
      </c>
      <c r="F17" s="63" t="s">
        <v>656</v>
      </c>
      <c r="G17" s="116">
        <v>0.6</v>
      </c>
      <c r="H17" s="63" t="s">
        <v>652</v>
      </c>
      <c r="I17" s="116">
        <v>0</v>
      </c>
      <c r="J17" s="63" t="s">
        <v>647</v>
      </c>
      <c r="K17" s="116">
        <v>0.4</v>
      </c>
      <c r="L17" s="63" t="s">
        <v>657</v>
      </c>
      <c r="M17" s="116">
        <v>0</v>
      </c>
      <c r="O17" s="116"/>
      <c r="Q17" s="146" t="str">
        <f t="shared" si="0"/>
        <v>1，正确</v>
      </c>
      <c r="Z17" s="1" t="str">
        <f>'抽奖|MoonBless'!DN17</f>
        <v>5元话费卡</v>
      </c>
      <c r="AA17" s="1">
        <f>'抽奖|MoonBless'!DO17</f>
        <v>5</v>
      </c>
      <c r="AB17" s="1">
        <f>'抽奖|MoonBless'!DP17</f>
        <v>100</v>
      </c>
      <c r="AC17" s="1">
        <f>'抽奖|MoonBless'!DQ17</f>
        <v>2</v>
      </c>
      <c r="AD17" s="1">
        <f>'抽奖|MoonBless'!DR17</f>
        <v>1206</v>
      </c>
      <c r="AE17" s="158">
        <f>'抽奖|MoonBless'!DS17</f>
        <v>1</v>
      </c>
    </row>
    <row r="18" spans="1:31" s="84" customFormat="1" x14ac:dyDescent="0.35">
      <c r="A18" s="84">
        <v>4504</v>
      </c>
      <c r="B18" s="84">
        <v>1</v>
      </c>
      <c r="C18" s="84">
        <v>1</v>
      </c>
      <c r="D18" s="84">
        <v>1</v>
      </c>
      <c r="E18" s="1">
        <v>-1</v>
      </c>
      <c r="F18" s="63" t="s">
        <v>656</v>
      </c>
      <c r="G18" s="116">
        <v>0</v>
      </c>
      <c r="H18" s="63" t="s">
        <v>652</v>
      </c>
      <c r="I18" s="116">
        <v>0.6</v>
      </c>
      <c r="J18" s="63" t="s">
        <v>647</v>
      </c>
      <c r="K18" s="116">
        <v>0</v>
      </c>
      <c r="L18" s="63" t="s">
        <v>657</v>
      </c>
      <c r="M18" s="116">
        <v>0.4</v>
      </c>
      <c r="O18" s="116"/>
      <c r="Q18" s="146" t="str">
        <f t="shared" si="0"/>
        <v>1，正确</v>
      </c>
      <c r="Z18" s="1" t="str">
        <f>'抽奖|MoonBless'!DN18</f>
        <v>2元话费卡</v>
      </c>
      <c r="AA18" s="1">
        <f>'抽奖|MoonBless'!DO18</f>
        <v>2</v>
      </c>
      <c r="AB18" s="1">
        <f>'抽奖|MoonBless'!DP18</f>
        <v>40</v>
      </c>
      <c r="AC18" s="1">
        <f>'抽奖|MoonBless'!DQ18</f>
        <v>2</v>
      </c>
      <c r="AD18" s="1">
        <f>'抽奖|MoonBless'!DR18</f>
        <v>1205</v>
      </c>
      <c r="AE18" s="158">
        <f>'抽奖|MoonBless'!DS18</f>
        <v>1</v>
      </c>
    </row>
    <row r="19" spans="1:31" s="84" customFormat="1" x14ac:dyDescent="0.35">
      <c r="A19" s="84">
        <v>4505</v>
      </c>
      <c r="B19" s="84">
        <v>1</v>
      </c>
      <c r="C19" s="84">
        <v>1</v>
      </c>
      <c r="D19" s="84">
        <v>1</v>
      </c>
      <c r="E19" s="1">
        <v>-1</v>
      </c>
      <c r="F19" s="39" t="s">
        <v>625</v>
      </c>
      <c r="G19" s="116">
        <v>0.4</v>
      </c>
      <c r="H19" s="39"/>
      <c r="I19" s="116"/>
      <c r="J19" s="63"/>
      <c r="K19" s="116"/>
      <c r="L19" s="63"/>
      <c r="M19" s="116"/>
      <c r="O19" s="116"/>
      <c r="Q19" s="146" t="str">
        <f t="shared" si="0"/>
        <v>0.4，正确</v>
      </c>
      <c r="U19" s="147"/>
      <c r="W19" s="148" t="s">
        <v>658</v>
      </c>
      <c r="X19" s="149" t="s">
        <v>394</v>
      </c>
      <c r="Y19" s="1"/>
      <c r="Z19" s="1" t="str">
        <f>'抽奖|MoonBless'!DN19</f>
        <v>高压锅</v>
      </c>
      <c r="AA19" s="1">
        <f>'抽奖|MoonBless'!DO19</f>
        <v>200</v>
      </c>
      <c r="AB19" s="1">
        <f>'抽奖|MoonBless'!DP19</f>
        <v>4000</v>
      </c>
      <c r="AC19" s="1">
        <f>'抽奖|MoonBless'!DQ19</f>
        <v>2</v>
      </c>
      <c r="AD19" s="1">
        <f>'抽奖|MoonBless'!DR19</f>
        <v>1208</v>
      </c>
      <c r="AE19" s="158">
        <f>'抽奖|MoonBless'!DS19</f>
        <v>1</v>
      </c>
    </row>
    <row r="20" spans="1:31" s="84" customFormat="1" x14ac:dyDescent="0.35">
      <c r="A20" s="118">
        <v>4506</v>
      </c>
      <c r="B20" s="119">
        <v>1</v>
      </c>
      <c r="C20" s="119">
        <v>1</v>
      </c>
      <c r="D20" s="119">
        <v>1</v>
      </c>
      <c r="E20" s="120">
        <v>-1</v>
      </c>
      <c r="F20" s="121" t="s">
        <v>659</v>
      </c>
      <c r="G20" s="122">
        <v>1</v>
      </c>
      <c r="H20" s="121"/>
      <c r="I20" s="122"/>
      <c r="J20" s="121"/>
      <c r="K20" s="122"/>
      <c r="L20" s="121"/>
      <c r="M20" s="122"/>
      <c r="N20" s="119"/>
      <c r="O20" s="122"/>
      <c r="P20" s="139"/>
      <c r="Q20" s="146" t="str">
        <f t="shared" ref="Q20:Q34" si="2">IF(AND((B20=1),(G20+I20+K20+M20+O20&gt;1)),G20+I20+K20+M20+O20&amp;"，错误概率",G20+I20+K20+M20+O20&amp;"，正确")</f>
        <v>1，正确</v>
      </c>
      <c r="U20" s="147"/>
      <c r="W20" s="150" t="s">
        <v>660</v>
      </c>
      <c r="X20" s="151">
        <v>500</v>
      </c>
      <c r="Y20" s="1">
        <f>RIGHT(F35,LEN(F35)-4)*G35+RIGHT(H35,LEN(H35)-4)*I35+RIGHT(J35,LEN(J35)-4)*K35+RIGHT(L35,LEN(L35)-4)*M35+RIGHT(N35,LEN(N35)-4)*O35</f>
        <v>500.05220408163336</v>
      </c>
      <c r="Z20" s="1" t="str">
        <f>'抽奖|MoonBless'!DN20</f>
        <v>30元话费卡</v>
      </c>
      <c r="AA20" s="1">
        <f>'抽奖|MoonBless'!DO20</f>
        <v>30</v>
      </c>
      <c r="AB20" s="1">
        <f>'抽奖|MoonBless'!DP20</f>
        <v>600</v>
      </c>
      <c r="AC20" s="1">
        <f>'抽奖|MoonBless'!DQ20</f>
        <v>2</v>
      </c>
      <c r="AD20" s="1">
        <f>'抽奖|MoonBless'!DR20</f>
        <v>1209</v>
      </c>
      <c r="AE20" s="158">
        <f>'抽奖|MoonBless'!DS20</f>
        <v>1</v>
      </c>
    </row>
    <row r="21" spans="1:31" s="84" customFormat="1" x14ac:dyDescent="0.35">
      <c r="A21" s="123">
        <v>4507</v>
      </c>
      <c r="B21" s="97">
        <v>1</v>
      </c>
      <c r="C21" s="97">
        <v>1</v>
      </c>
      <c r="D21" s="97">
        <v>1</v>
      </c>
      <c r="E21" s="11">
        <v>-1</v>
      </c>
      <c r="F21" s="124" t="s">
        <v>661</v>
      </c>
      <c r="G21" s="125">
        <v>1</v>
      </c>
      <c r="H21" s="124"/>
      <c r="I21" s="125"/>
      <c r="J21" s="124"/>
      <c r="K21" s="125"/>
      <c r="L21" s="124"/>
      <c r="M21" s="125"/>
      <c r="N21" s="97"/>
      <c r="O21" s="125"/>
      <c r="P21" s="140"/>
      <c r="Q21" s="146" t="str">
        <f t="shared" si="2"/>
        <v>1，正确</v>
      </c>
      <c r="U21" s="147"/>
      <c r="W21" s="150" t="s">
        <v>662</v>
      </c>
      <c r="X21" s="151">
        <v>1000</v>
      </c>
      <c r="Y21" s="1">
        <f>RIGHT(F36,LEN(F36)-4)*G36+RIGHT(H36,LEN(H36)-4)*I36+RIGHT(J36,LEN(J36)-4)*K36+RIGHT(L36,LEN(L36)-4)*M36+RIGHT(N36,LEN(N36)-4)*O36</f>
        <v>1000.4872060004725</v>
      </c>
      <c r="Z21" s="1" t="str">
        <f>'抽奖|MoonBless'!DN21</f>
        <v>50元话费卡</v>
      </c>
      <c r="AA21" s="1">
        <f>'抽奖|MoonBless'!DO21</f>
        <v>50</v>
      </c>
      <c r="AB21" s="1">
        <f>'抽奖|MoonBless'!DP21</f>
        <v>1000</v>
      </c>
      <c r="AC21" s="1">
        <f>'抽奖|MoonBless'!DQ21</f>
        <v>2</v>
      </c>
      <c r="AD21" s="1">
        <f>'抽奖|MoonBless'!DR21</f>
        <v>1210</v>
      </c>
      <c r="AE21" s="158">
        <f>'抽奖|MoonBless'!DS21</f>
        <v>1</v>
      </c>
    </row>
    <row r="22" spans="1:31" s="84" customFormat="1" x14ac:dyDescent="0.35">
      <c r="A22" s="123">
        <v>4508</v>
      </c>
      <c r="B22" s="97">
        <v>1</v>
      </c>
      <c r="C22" s="97">
        <v>1</v>
      </c>
      <c r="D22" s="97">
        <v>1</v>
      </c>
      <c r="E22" s="11">
        <v>-1</v>
      </c>
      <c r="F22" s="124" t="s">
        <v>663</v>
      </c>
      <c r="G22" s="125">
        <v>0.6</v>
      </c>
      <c r="H22" s="124" t="s">
        <v>640</v>
      </c>
      <c r="I22" s="125">
        <v>0</v>
      </c>
      <c r="J22" s="124" t="s">
        <v>630</v>
      </c>
      <c r="K22" s="125">
        <f>1-G22</f>
        <v>0.4</v>
      </c>
      <c r="L22" s="124" t="s">
        <v>647</v>
      </c>
      <c r="M22" s="125">
        <v>0</v>
      </c>
      <c r="N22" s="97"/>
      <c r="O22" s="125"/>
      <c r="P22" s="140"/>
      <c r="Q22" s="146" t="str">
        <f t="shared" si="2"/>
        <v>1，正确</v>
      </c>
      <c r="U22" s="147"/>
      <c r="W22" s="150" t="s">
        <v>664</v>
      </c>
      <c r="X22" s="151">
        <v>2000</v>
      </c>
      <c r="Y22" s="1">
        <f>RIGHT(F37,LEN(F37)-4)*G37+RIGHT(H37,LEN(H37)-4)*I37+RIGHT(J37,LEN(J37)-4)*K37+RIGHT(L37,LEN(L37)-4)*M37+RIGHT(N37,LEN(N37)-4)*O37</f>
        <v>2000.1313520884387</v>
      </c>
      <c r="Z22" s="1" t="str">
        <f>'抽奖|MoonBless'!DN22</f>
        <v>活跃度</v>
      </c>
      <c r="AA22" s="1">
        <f>'抽奖|MoonBless'!DO22</f>
        <v>1</v>
      </c>
      <c r="AB22" s="1">
        <f>'抽奖|MoonBless'!DP22</f>
        <v>20</v>
      </c>
      <c r="AC22" s="1">
        <f>'抽奖|MoonBless'!DQ22</f>
        <v>1</v>
      </c>
      <c r="AD22" s="1">
        <f>'抽奖|MoonBless'!DR22</f>
        <v>6</v>
      </c>
      <c r="AE22" s="158">
        <f>'抽奖|MoonBless'!DS22</f>
        <v>1</v>
      </c>
    </row>
    <row r="23" spans="1:31" s="84" customFormat="1" x14ac:dyDescent="0.35">
      <c r="A23" s="123">
        <v>4509</v>
      </c>
      <c r="B23" s="97">
        <v>1</v>
      </c>
      <c r="C23" s="97">
        <v>1</v>
      </c>
      <c r="D23" s="97">
        <v>1</v>
      </c>
      <c r="E23" s="11">
        <v>-1</v>
      </c>
      <c r="F23" s="124" t="s">
        <v>663</v>
      </c>
      <c r="G23" s="125">
        <v>0</v>
      </c>
      <c r="H23" s="124" t="s">
        <v>640</v>
      </c>
      <c r="I23" s="125">
        <f>1-M23</f>
        <v>0.5</v>
      </c>
      <c r="J23" s="124" t="s">
        <v>630</v>
      </c>
      <c r="K23" s="125">
        <v>0</v>
      </c>
      <c r="L23" s="124" t="s">
        <v>647</v>
      </c>
      <c r="M23" s="125">
        <v>0.5</v>
      </c>
      <c r="N23" s="97"/>
      <c r="O23" s="125"/>
      <c r="P23" s="140"/>
      <c r="Q23" s="146" t="str">
        <f t="shared" si="2"/>
        <v>1，正确</v>
      </c>
      <c r="U23" s="147"/>
      <c r="W23" s="152" t="s">
        <v>665</v>
      </c>
      <c r="X23" s="153">
        <v>3500</v>
      </c>
      <c r="Y23" s="1">
        <f>RIGHT(F38,LEN(F38)-4)*G38+RIGHT(H38,LEN(H38)-4)*I38+RIGHT(J38,LEN(J38)-4)*K38+RIGHT(L38,LEN(L38)-4)*M38+RIGHT(N38,LEN(N38)-4)*O38</f>
        <v>3500.4895781515115</v>
      </c>
      <c r="Z23" s="1" t="str">
        <f>'抽奖|MoonBless'!DN23</f>
        <v>红包【恭】</v>
      </c>
      <c r="AA23" s="1">
        <f>'抽奖|MoonBless'!DO23</f>
        <v>1</v>
      </c>
      <c r="AB23" s="1">
        <f>'抽奖|MoonBless'!DP23</f>
        <v>20</v>
      </c>
      <c r="AC23" s="1">
        <f>'抽奖|MoonBless'!DQ23</f>
        <v>2</v>
      </c>
      <c r="AD23" s="1">
        <f>'抽奖|MoonBless'!DR23</f>
        <v>1301</v>
      </c>
      <c r="AE23" s="158">
        <f>'抽奖|MoonBless'!DS23</f>
        <v>1</v>
      </c>
    </row>
    <row r="24" spans="1:31" s="84" customFormat="1" x14ac:dyDescent="0.35">
      <c r="A24" s="126">
        <v>4510</v>
      </c>
      <c r="B24" s="127">
        <v>1</v>
      </c>
      <c r="C24" s="127">
        <v>1</v>
      </c>
      <c r="D24" s="127">
        <v>1</v>
      </c>
      <c r="E24" s="128">
        <v>-1</v>
      </c>
      <c r="F24" s="129" t="s">
        <v>625</v>
      </c>
      <c r="G24" s="130">
        <v>0.4</v>
      </c>
      <c r="H24" s="129"/>
      <c r="I24" s="130"/>
      <c r="J24" s="141"/>
      <c r="K24" s="130"/>
      <c r="L24" s="141"/>
      <c r="M24" s="130"/>
      <c r="N24" s="127"/>
      <c r="O24" s="130"/>
      <c r="P24" s="142"/>
      <c r="Q24" s="146" t="str">
        <f t="shared" si="2"/>
        <v>0.4，正确</v>
      </c>
      <c r="U24" s="147"/>
      <c r="V24" s="1"/>
      <c r="W24" s="1"/>
      <c r="X24" s="1"/>
      <c r="Y24" s="1"/>
      <c r="Z24" s="1" t="str">
        <f>'抽奖|MoonBless'!DN24</f>
        <v>红包【喜】</v>
      </c>
      <c r="AA24" s="1">
        <f>'抽奖|MoonBless'!DO24</f>
        <v>1</v>
      </c>
      <c r="AB24" s="1">
        <f>'抽奖|MoonBless'!DP24</f>
        <v>20</v>
      </c>
      <c r="AC24" s="1">
        <f>'抽奖|MoonBless'!DQ24</f>
        <v>2</v>
      </c>
      <c r="AD24" s="1">
        <f>'抽奖|MoonBless'!DR24</f>
        <v>1302</v>
      </c>
      <c r="AE24" s="158">
        <f>'抽奖|MoonBless'!DS24</f>
        <v>1</v>
      </c>
    </row>
    <row r="25" spans="1:31" s="84" customFormat="1" x14ac:dyDescent="0.35">
      <c r="A25" s="131">
        <v>4511</v>
      </c>
      <c r="B25" s="119">
        <v>1</v>
      </c>
      <c r="C25" s="119">
        <v>1</v>
      </c>
      <c r="D25" s="119">
        <v>1</v>
      </c>
      <c r="E25" s="120">
        <v>-1</v>
      </c>
      <c r="F25" s="121" t="s">
        <v>666</v>
      </c>
      <c r="G25" s="122">
        <v>1</v>
      </c>
      <c r="H25" s="121"/>
      <c r="I25" s="122"/>
      <c r="J25" s="121"/>
      <c r="K25" s="122"/>
      <c r="L25" s="121"/>
      <c r="M25" s="122"/>
      <c r="N25" s="119"/>
      <c r="O25" s="122"/>
      <c r="P25" s="139"/>
      <c r="Q25" s="146" t="str">
        <f t="shared" si="2"/>
        <v>1，正确</v>
      </c>
      <c r="U25" s="147"/>
      <c r="V25" s="1"/>
      <c r="W25" s="1"/>
      <c r="X25" s="1"/>
      <c r="Y25" s="1"/>
      <c r="Z25" s="1" t="str">
        <f>'抽奖|MoonBless'!DN25</f>
        <v>红包【发】</v>
      </c>
      <c r="AA25" s="1">
        <f>'抽奖|MoonBless'!DO25</f>
        <v>1</v>
      </c>
      <c r="AB25" s="1">
        <f>'抽奖|MoonBless'!DP25</f>
        <v>20</v>
      </c>
      <c r="AC25" s="1">
        <f>'抽奖|MoonBless'!DQ25</f>
        <v>2</v>
      </c>
      <c r="AD25" s="1">
        <f>'抽奖|MoonBless'!DR25</f>
        <v>1303</v>
      </c>
      <c r="AE25" s="158">
        <f>'抽奖|MoonBless'!DS25</f>
        <v>1</v>
      </c>
    </row>
    <row r="26" spans="1:31" s="84" customFormat="1" x14ac:dyDescent="0.35">
      <c r="A26" s="132">
        <v>4512</v>
      </c>
      <c r="B26" s="97">
        <v>1</v>
      </c>
      <c r="C26" s="97">
        <v>1</v>
      </c>
      <c r="D26" s="97">
        <v>1</v>
      </c>
      <c r="E26" s="11">
        <v>-1</v>
      </c>
      <c r="F26" s="124" t="s">
        <v>667</v>
      </c>
      <c r="G26" s="125">
        <v>1</v>
      </c>
      <c r="H26" s="124"/>
      <c r="I26" s="125"/>
      <c r="J26" s="124"/>
      <c r="K26" s="125"/>
      <c r="L26" s="124"/>
      <c r="M26" s="125"/>
      <c r="N26" s="97"/>
      <c r="O26" s="125"/>
      <c r="P26" s="140"/>
      <c r="Q26" s="146" t="str">
        <f t="shared" si="2"/>
        <v>1，正确</v>
      </c>
      <c r="U26" s="147"/>
      <c r="V26" s="1"/>
      <c r="W26" s="1"/>
      <c r="X26" s="1"/>
      <c r="Y26" s="1"/>
      <c r="Z26" s="1" t="str">
        <f>'抽奖|MoonBless'!DN26</f>
        <v>红包【财】</v>
      </c>
      <c r="AA26" s="1">
        <f>'抽奖|MoonBless'!DO26</f>
        <v>1</v>
      </c>
      <c r="AB26" s="1">
        <f>'抽奖|MoonBless'!DP26</f>
        <v>20</v>
      </c>
      <c r="AC26" s="1">
        <f>'抽奖|MoonBless'!DQ26</f>
        <v>2</v>
      </c>
      <c r="AD26" s="1">
        <f>'抽奖|MoonBless'!DR26</f>
        <v>1304</v>
      </c>
      <c r="AE26" s="158">
        <f>'抽奖|MoonBless'!DS26</f>
        <v>1</v>
      </c>
    </row>
    <row r="27" spans="1:31" s="84" customFormat="1" x14ac:dyDescent="0.35">
      <c r="A27" s="132">
        <v>4513</v>
      </c>
      <c r="B27" s="97">
        <v>1</v>
      </c>
      <c r="C27" s="97">
        <v>1</v>
      </c>
      <c r="D27" s="97">
        <v>1</v>
      </c>
      <c r="E27" s="11">
        <v>-1</v>
      </c>
      <c r="F27" s="124" t="s">
        <v>668</v>
      </c>
      <c r="G27" s="125">
        <v>0.6</v>
      </c>
      <c r="H27" s="124" t="s">
        <v>646</v>
      </c>
      <c r="I27" s="125">
        <v>0</v>
      </c>
      <c r="J27" s="124" t="s">
        <v>669</v>
      </c>
      <c r="K27" s="125">
        <f>1-G27</f>
        <v>0.4</v>
      </c>
      <c r="L27" s="124" t="s">
        <v>670</v>
      </c>
      <c r="M27" s="125">
        <v>0</v>
      </c>
      <c r="N27" s="97"/>
      <c r="O27" s="125"/>
      <c r="P27" s="140"/>
      <c r="Q27" s="146" t="str">
        <f t="shared" si="2"/>
        <v>1，正确</v>
      </c>
      <c r="U27" s="147"/>
      <c r="V27" s="1"/>
      <c r="W27" s="1"/>
      <c r="X27" s="1"/>
      <c r="Y27" s="1"/>
      <c r="Z27" s="1" t="str">
        <f>'抽奖|MoonBless'!DN27</f>
        <v>双轮</v>
      </c>
      <c r="AA27" s="1">
        <f>'抽奖|MoonBless'!DO27</f>
        <v>30</v>
      </c>
      <c r="AB27" s="1">
        <f>'抽奖|MoonBless'!DP27</f>
        <v>600</v>
      </c>
      <c r="AC27" s="1">
        <f>'抽奖|MoonBless'!DQ27</f>
        <v>2</v>
      </c>
      <c r="AD27" s="1">
        <f>'抽奖|MoonBless'!DR27</f>
        <v>1500</v>
      </c>
      <c r="AE27" s="158">
        <f>'抽奖|MoonBless'!DS27</f>
        <v>1</v>
      </c>
    </row>
    <row r="28" spans="1:31" s="84" customFormat="1" x14ac:dyDescent="0.35">
      <c r="A28" s="132">
        <v>4514</v>
      </c>
      <c r="B28" s="97">
        <v>1</v>
      </c>
      <c r="C28" s="97">
        <v>1</v>
      </c>
      <c r="D28" s="97">
        <v>1</v>
      </c>
      <c r="E28" s="11">
        <v>-1</v>
      </c>
      <c r="F28" s="124" t="s">
        <v>668</v>
      </c>
      <c r="G28" s="125">
        <v>0</v>
      </c>
      <c r="H28" s="124" t="s">
        <v>646</v>
      </c>
      <c r="I28" s="125">
        <f>1-M28</f>
        <v>0.5</v>
      </c>
      <c r="J28" s="124" t="s">
        <v>669</v>
      </c>
      <c r="K28" s="125">
        <v>0</v>
      </c>
      <c r="L28" s="124" t="s">
        <v>670</v>
      </c>
      <c r="M28" s="125">
        <v>0.5</v>
      </c>
      <c r="N28" s="97"/>
      <c r="O28" s="125"/>
      <c r="P28" s="140"/>
      <c r="Q28" s="146" t="str">
        <f t="shared" si="2"/>
        <v>1，正确</v>
      </c>
      <c r="U28" s="147"/>
      <c r="V28" s="1"/>
      <c r="W28" s="1"/>
      <c r="X28" s="1"/>
      <c r="Y28" s="1"/>
      <c r="Z28" s="1" t="str">
        <f>'抽奖|MoonBless'!DN28</f>
        <v>橄榄油</v>
      </c>
      <c r="AA28" s="1">
        <f>'抽奖|MoonBless'!DO28</f>
        <v>60</v>
      </c>
      <c r="AB28" s="1">
        <f>'抽奖|MoonBless'!DP28</f>
        <v>1200</v>
      </c>
      <c r="AC28" s="1">
        <f>'抽奖|MoonBless'!DQ28</f>
        <v>2</v>
      </c>
      <c r="AD28" s="1">
        <f>'抽奖|MoonBless'!DR28</f>
        <v>1503</v>
      </c>
      <c r="AE28" s="158">
        <f>'抽奖|MoonBless'!DS28</f>
        <v>1</v>
      </c>
    </row>
    <row r="29" spans="1:31" s="84" customFormat="1" x14ac:dyDescent="0.35">
      <c r="A29" s="133">
        <v>4515</v>
      </c>
      <c r="B29" s="127">
        <v>1</v>
      </c>
      <c r="C29" s="127">
        <v>1</v>
      </c>
      <c r="D29" s="127">
        <v>1</v>
      </c>
      <c r="E29" s="128">
        <v>-1</v>
      </c>
      <c r="F29" s="129" t="s">
        <v>625</v>
      </c>
      <c r="G29" s="130">
        <v>0.4</v>
      </c>
      <c r="H29" s="129"/>
      <c r="I29" s="130"/>
      <c r="J29" s="141"/>
      <c r="K29" s="130"/>
      <c r="L29" s="141"/>
      <c r="M29" s="130"/>
      <c r="N29" s="127"/>
      <c r="O29" s="130"/>
      <c r="P29" s="142"/>
      <c r="Q29" s="146" t="str">
        <f t="shared" si="2"/>
        <v>0.4，正确</v>
      </c>
      <c r="U29" s="147"/>
      <c r="V29" s="1"/>
      <c r="W29" s="1"/>
      <c r="X29" s="1"/>
      <c r="Y29" s="1"/>
      <c r="Z29" s="1" t="str">
        <f>'抽奖|MoonBless'!DN29</f>
        <v>米面礼包</v>
      </c>
      <c r="AA29" s="1">
        <f>'抽奖|MoonBless'!DO29</f>
        <v>82.5</v>
      </c>
      <c r="AB29" s="1">
        <f>'抽奖|MoonBless'!DP29</f>
        <v>1650</v>
      </c>
      <c r="AC29" s="1">
        <f>'抽奖|MoonBless'!DQ29</f>
        <v>2</v>
      </c>
      <c r="AD29" s="1">
        <f>'抽奖|MoonBless'!DR29</f>
        <v>1504</v>
      </c>
      <c r="AE29" s="158">
        <f>'抽奖|MoonBless'!DS29</f>
        <v>1</v>
      </c>
    </row>
    <row r="30" spans="1:31" s="84" customFormat="1" x14ac:dyDescent="0.35">
      <c r="A30" s="118">
        <v>4516</v>
      </c>
      <c r="B30" s="119">
        <v>1</v>
      </c>
      <c r="C30" s="119">
        <v>1</v>
      </c>
      <c r="D30" s="119">
        <v>1</v>
      </c>
      <c r="E30" s="120">
        <v>-1</v>
      </c>
      <c r="F30" s="121" t="s">
        <v>666</v>
      </c>
      <c r="G30" s="122">
        <v>1</v>
      </c>
      <c r="H30" s="121"/>
      <c r="I30" s="122"/>
      <c r="J30" s="121"/>
      <c r="K30" s="122"/>
      <c r="L30" s="121"/>
      <c r="M30" s="122"/>
      <c r="N30" s="119"/>
      <c r="O30" s="122"/>
      <c r="P30" s="139"/>
      <c r="Q30" s="146" t="str">
        <f t="shared" si="2"/>
        <v>1，正确</v>
      </c>
      <c r="U30" s="147"/>
      <c r="V30" s="1"/>
      <c r="W30" s="1"/>
      <c r="X30" s="1"/>
      <c r="Y30" s="1"/>
      <c r="Z30" s="1" t="str">
        <f>'抽奖|MoonBless'!DN30</f>
        <v>买单券</v>
      </c>
      <c r="AA30" s="1">
        <f>'抽奖|MoonBless'!DO30</f>
        <v>0.75</v>
      </c>
      <c r="AB30" s="1">
        <f>'抽奖|MoonBless'!DP30</f>
        <v>15</v>
      </c>
      <c r="AC30" s="1">
        <f>'抽奖|MoonBless'!DQ30</f>
        <v>2</v>
      </c>
      <c r="AD30" s="1">
        <f>'抽奖|MoonBless'!DR30</f>
        <v>1213</v>
      </c>
      <c r="AE30" s="158">
        <f>'抽奖|MoonBless'!DS30</f>
        <v>1</v>
      </c>
    </row>
    <row r="31" spans="1:31" s="84" customFormat="1" x14ac:dyDescent="0.35">
      <c r="A31" s="123">
        <v>4517</v>
      </c>
      <c r="B31" s="97">
        <v>1</v>
      </c>
      <c r="C31" s="97">
        <v>1</v>
      </c>
      <c r="D31" s="97">
        <v>1</v>
      </c>
      <c r="E31" s="11">
        <v>-1</v>
      </c>
      <c r="F31" s="124" t="s">
        <v>649</v>
      </c>
      <c r="G31" s="125">
        <v>1</v>
      </c>
      <c r="H31" s="124"/>
      <c r="I31" s="125"/>
      <c r="J31" s="124"/>
      <c r="K31" s="125"/>
      <c r="L31" s="124"/>
      <c r="M31" s="125"/>
      <c r="N31" s="97"/>
      <c r="O31" s="125"/>
      <c r="P31" s="140"/>
      <c r="Q31" s="146" t="str">
        <f t="shared" si="2"/>
        <v>1，正确</v>
      </c>
      <c r="U31" s="147"/>
      <c r="V31" s="1"/>
      <c r="W31" s="1"/>
      <c r="X31" s="1"/>
      <c r="Y31" s="1"/>
      <c r="Z31" s="1" t="str">
        <f>'抽奖|MoonBless'!DN31</f>
        <v>超级武器碎片1</v>
      </c>
      <c r="AA31" s="1">
        <f>'抽奖|MoonBless'!DO31</f>
        <v>0.25</v>
      </c>
      <c r="AB31" s="1">
        <f>'抽奖|MoonBless'!DP31</f>
        <v>5</v>
      </c>
      <c r="AC31" s="1">
        <f>'抽奖|MoonBless'!DQ31</f>
        <v>2</v>
      </c>
      <c r="AD31" s="1">
        <f>'抽奖|MoonBless'!DR31</f>
        <v>1015</v>
      </c>
      <c r="AE31" s="158">
        <f>'抽奖|MoonBless'!DS31</f>
        <v>1</v>
      </c>
    </row>
    <row r="32" spans="1:31" s="84" customFormat="1" x14ac:dyDescent="0.35">
      <c r="A32" s="123">
        <v>4518</v>
      </c>
      <c r="B32" s="97">
        <v>1</v>
      </c>
      <c r="C32" s="97">
        <v>1</v>
      </c>
      <c r="D32" s="97">
        <v>1</v>
      </c>
      <c r="E32" s="11">
        <v>-1</v>
      </c>
      <c r="F32" s="124" t="s">
        <v>671</v>
      </c>
      <c r="G32" s="125">
        <v>0.6</v>
      </c>
      <c r="H32" s="124" t="s">
        <v>651</v>
      </c>
      <c r="I32" s="125">
        <v>0</v>
      </c>
      <c r="J32" s="124" t="s">
        <v>652</v>
      </c>
      <c r="K32" s="125">
        <f>1-G32</f>
        <v>0.4</v>
      </c>
      <c r="L32" s="124" t="s">
        <v>672</v>
      </c>
      <c r="M32" s="125">
        <v>0</v>
      </c>
      <c r="N32" s="97"/>
      <c r="O32" s="125"/>
      <c r="P32" s="140"/>
      <c r="Q32" s="146" t="str">
        <f t="shared" si="2"/>
        <v>1，正确</v>
      </c>
      <c r="U32" s="147"/>
      <c r="V32" s="1"/>
      <c r="W32" s="1"/>
      <c r="X32" s="1"/>
      <c r="Y32" s="1"/>
      <c r="Z32" s="1" t="str">
        <f>'抽奖|MoonBless'!DN32</f>
        <v>超级武器碎片2</v>
      </c>
      <c r="AA32" s="1">
        <f>'抽奖|MoonBless'!DO32</f>
        <v>0.5</v>
      </c>
      <c r="AB32" s="1">
        <f>'抽奖|MoonBless'!DP32</f>
        <v>10</v>
      </c>
      <c r="AC32" s="1">
        <f>'抽奖|MoonBless'!DQ32</f>
        <v>2</v>
      </c>
      <c r="AD32" s="1">
        <f>'抽奖|MoonBless'!DR32</f>
        <v>1016</v>
      </c>
      <c r="AE32" s="158">
        <f>'抽奖|MoonBless'!DS32</f>
        <v>1</v>
      </c>
    </row>
    <row r="33" spans="1:31" s="84" customFormat="1" x14ac:dyDescent="0.35">
      <c r="A33" s="123">
        <v>4519</v>
      </c>
      <c r="B33" s="97">
        <v>1</v>
      </c>
      <c r="C33" s="97">
        <v>1</v>
      </c>
      <c r="D33" s="97">
        <v>1</v>
      </c>
      <c r="E33" s="11">
        <v>-1</v>
      </c>
      <c r="F33" s="124" t="s">
        <v>671</v>
      </c>
      <c r="G33" s="125">
        <v>0</v>
      </c>
      <c r="H33" s="124" t="s">
        <v>651</v>
      </c>
      <c r="I33" s="125">
        <f>1-M33</f>
        <v>0.5</v>
      </c>
      <c r="J33" s="124" t="s">
        <v>652</v>
      </c>
      <c r="K33" s="125">
        <v>0</v>
      </c>
      <c r="L33" s="124" t="s">
        <v>672</v>
      </c>
      <c r="M33" s="125">
        <v>0.5</v>
      </c>
      <c r="N33" s="97"/>
      <c r="O33" s="125"/>
      <c r="P33" s="140"/>
      <c r="Q33" s="146" t="str">
        <f t="shared" si="2"/>
        <v>1，正确</v>
      </c>
      <c r="U33" s="147"/>
      <c r="V33" s="1"/>
      <c r="W33" s="1"/>
      <c r="X33" s="1"/>
      <c r="Y33" s="1"/>
      <c r="Z33" s="1"/>
      <c r="AA33" s="1"/>
      <c r="AB33" s="1"/>
      <c r="AC33" s="1"/>
      <c r="AD33" s="1"/>
      <c r="AE33" s="158"/>
    </row>
    <row r="34" spans="1:31" s="84" customFormat="1" x14ac:dyDescent="0.35">
      <c r="A34" s="126">
        <v>4520</v>
      </c>
      <c r="B34" s="127">
        <v>1</v>
      </c>
      <c r="C34" s="127">
        <v>1</v>
      </c>
      <c r="D34" s="127">
        <v>1</v>
      </c>
      <c r="E34" s="128">
        <v>-1</v>
      </c>
      <c r="F34" s="129" t="s">
        <v>625</v>
      </c>
      <c r="G34" s="130">
        <v>0.4</v>
      </c>
      <c r="H34" s="129"/>
      <c r="I34" s="130"/>
      <c r="J34" s="141"/>
      <c r="K34" s="130"/>
      <c r="L34" s="141"/>
      <c r="M34" s="130"/>
      <c r="N34" s="127"/>
      <c r="O34" s="130"/>
      <c r="P34" s="142"/>
      <c r="Q34" s="146" t="str">
        <f t="shared" si="2"/>
        <v>0.4，正确</v>
      </c>
      <c r="U34" s="147"/>
      <c r="V34" s="1"/>
      <c r="W34" s="1"/>
      <c r="X34" s="1"/>
      <c r="Y34" s="1"/>
      <c r="Z34" s="1"/>
      <c r="AA34" s="1"/>
      <c r="AB34" s="1"/>
      <c r="AC34" s="1"/>
      <c r="AD34" s="1"/>
      <c r="AE34" s="158"/>
    </row>
    <row r="35" spans="1:31" s="84" customFormat="1" ht="16.2" x14ac:dyDescent="0.35">
      <c r="A35" s="84">
        <v>4701</v>
      </c>
      <c r="B35" s="84">
        <v>1</v>
      </c>
      <c r="C35" s="84">
        <v>1</v>
      </c>
      <c r="D35" s="84">
        <v>1</v>
      </c>
      <c r="E35" s="1">
        <v>-1</v>
      </c>
      <c r="F35" s="39" t="s">
        <v>673</v>
      </c>
      <c r="G35" s="116">
        <v>0.27915000000000001</v>
      </c>
      <c r="H35" s="39" t="s">
        <v>674</v>
      </c>
      <c r="I35" s="116">
        <v>0.24198250728862999</v>
      </c>
      <c r="J35" s="39" t="s">
        <v>675</v>
      </c>
      <c r="K35" s="116">
        <v>0.233236151603499</v>
      </c>
      <c r="L35" s="39" t="s">
        <v>676</v>
      </c>
      <c r="M35" s="116">
        <v>0.233236151603499</v>
      </c>
      <c r="N35" s="39" t="s">
        <v>677</v>
      </c>
      <c r="O35" s="116">
        <v>1.23951895043732E-2</v>
      </c>
      <c r="P35" s="143" t="s">
        <v>660</v>
      </c>
      <c r="Q35" s="146" t="str">
        <f t="shared" si="0"/>
        <v>1，正确</v>
      </c>
      <c r="R35" s="143"/>
      <c r="S35" s="147" t="s">
        <v>678</v>
      </c>
      <c r="U35" s="147"/>
    </row>
    <row r="36" spans="1:31" s="84" customFormat="1" ht="16.2" x14ac:dyDescent="0.35">
      <c r="A36" s="84">
        <v>4702</v>
      </c>
      <c r="B36" s="84">
        <v>1</v>
      </c>
      <c r="C36" s="84">
        <v>1</v>
      </c>
      <c r="D36" s="84">
        <v>1</v>
      </c>
      <c r="E36" s="1">
        <v>-1</v>
      </c>
      <c r="F36" s="39" t="s">
        <v>679</v>
      </c>
      <c r="G36" s="116">
        <v>0.28279500000000002</v>
      </c>
      <c r="H36" s="39" t="s">
        <v>680</v>
      </c>
      <c r="I36" s="116">
        <v>0.23623907394283</v>
      </c>
      <c r="J36" s="39" t="s">
        <v>681</v>
      </c>
      <c r="K36" s="116">
        <v>0.23623907394283</v>
      </c>
      <c r="L36" s="39" t="s">
        <v>682</v>
      </c>
      <c r="M36" s="116">
        <v>0.23623907394283</v>
      </c>
      <c r="N36" s="39" t="s">
        <v>683</v>
      </c>
      <c r="O36" s="116">
        <v>8.4877781715096395E-3</v>
      </c>
      <c r="P36" s="143" t="s">
        <v>662</v>
      </c>
      <c r="Q36" s="146" t="str">
        <f t="shared" si="0"/>
        <v>1，正确</v>
      </c>
      <c r="R36" s="143"/>
      <c r="S36" s="68"/>
      <c r="U36" s="147"/>
    </row>
    <row r="37" spans="1:31" s="84" customFormat="1" ht="16.2" x14ac:dyDescent="0.35">
      <c r="A37" s="84">
        <v>4703</v>
      </c>
      <c r="B37" s="84">
        <v>1</v>
      </c>
      <c r="C37" s="84">
        <v>1</v>
      </c>
      <c r="D37" s="84">
        <v>1</v>
      </c>
      <c r="E37" s="1">
        <v>-1</v>
      </c>
      <c r="F37" s="39" t="s">
        <v>684</v>
      </c>
      <c r="G37" s="116">
        <v>0.21572</v>
      </c>
      <c r="H37" s="39" t="s">
        <v>685</v>
      </c>
      <c r="I37" s="116">
        <v>0.23830012576951101</v>
      </c>
      <c r="J37" s="39" t="s">
        <v>686</v>
      </c>
      <c r="K37" s="116">
        <v>0.26477791752167901</v>
      </c>
      <c r="L37" s="39" t="s">
        <v>687</v>
      </c>
      <c r="M37" s="116">
        <v>0.26477791752167901</v>
      </c>
      <c r="N37" s="39" t="s">
        <v>688</v>
      </c>
      <c r="O37" s="116">
        <v>1.6424039187131902E-2</v>
      </c>
      <c r="P37" s="143" t="s">
        <v>664</v>
      </c>
      <c r="Q37" s="146" t="str">
        <f t="shared" si="0"/>
        <v>1，正确</v>
      </c>
      <c r="R37" s="143"/>
      <c r="S37" s="68"/>
      <c r="U37" s="147"/>
    </row>
    <row r="38" spans="1:31" s="84" customFormat="1" ht="16.2" x14ac:dyDescent="0.35">
      <c r="A38" s="84">
        <v>4704</v>
      </c>
      <c r="B38" s="84">
        <v>1</v>
      </c>
      <c r="C38" s="84">
        <v>1</v>
      </c>
      <c r="D38" s="84">
        <v>1</v>
      </c>
      <c r="E38" s="1">
        <v>-1</v>
      </c>
      <c r="F38" s="39" t="s">
        <v>689</v>
      </c>
      <c r="G38" s="116">
        <v>0.206459</v>
      </c>
      <c r="H38" s="39" t="s">
        <v>677</v>
      </c>
      <c r="I38" s="116">
        <v>0.25904260505020998</v>
      </c>
      <c r="J38" s="39" t="s">
        <v>690</v>
      </c>
      <c r="K38" s="116">
        <v>0.25998505085957602</v>
      </c>
      <c r="L38" s="39" t="s">
        <v>691</v>
      </c>
      <c r="M38" s="116">
        <v>0.25998505085957602</v>
      </c>
      <c r="N38" s="39" t="s">
        <v>692</v>
      </c>
      <c r="O38" s="116">
        <v>1.45282932306393E-2</v>
      </c>
      <c r="P38" s="143" t="s">
        <v>665</v>
      </c>
      <c r="Q38" s="146" t="str">
        <f t="shared" si="0"/>
        <v>1，正确</v>
      </c>
      <c r="R38" s="147" t="s">
        <v>693</v>
      </c>
      <c r="S38" s="68" t="s">
        <v>694</v>
      </c>
      <c r="T38" s="84" t="s">
        <v>695</v>
      </c>
      <c r="U38" s="147"/>
    </row>
    <row r="39" spans="1:31" x14ac:dyDescent="0.35">
      <c r="A39" s="1">
        <v>4601</v>
      </c>
      <c r="B39" s="1">
        <v>3</v>
      </c>
      <c r="C39" s="1">
        <v>1</v>
      </c>
      <c r="D39" s="1">
        <v>1</v>
      </c>
      <c r="E39" s="134">
        <f>$R39/(60*5)/$T$39*50%/RIGHT(F39,1)/3+$R39/(60*5)/$T$39*25%/RIGHT(H39,1)/3+$R39/(60*5)/$T$39*25%/RIGHT(J39,1)/3</f>
        <v>2.3148148148148151E-3</v>
      </c>
      <c r="F39" s="39" t="s">
        <v>634</v>
      </c>
      <c r="G39" s="116">
        <f>$R39/(60*5)/$T$39*50%/RIGHT(F39,1)/3</f>
        <v>1.1574074074074076E-3</v>
      </c>
      <c r="H39" s="39" t="s">
        <v>635</v>
      </c>
      <c r="I39" s="116">
        <f>$R39/(60*5)/$T$39*25%/RIGHT(H39,1)/3</f>
        <v>5.7870370370370378E-4</v>
      </c>
      <c r="J39" s="39" t="s">
        <v>636</v>
      </c>
      <c r="K39" s="116">
        <f>$R39/(60*5)/$T$39*25%/RIGHT(J39,1)/3</f>
        <v>5.7870370370370378E-4</v>
      </c>
      <c r="L39" s="39"/>
      <c r="Q39" s="145" t="str">
        <f t="shared" si="0"/>
        <v>0.00231481481481482，正确</v>
      </c>
      <c r="R39" s="63">
        <v>2</v>
      </c>
      <c r="S39" s="154">
        <f t="shared" ref="S39:S88" si="3">G39+I39+K39+M39</f>
        <v>2.3148148148148151E-3</v>
      </c>
      <c r="T39" s="155">
        <v>0.96</v>
      </c>
      <c r="V39" s="84"/>
      <c r="W39" s="84"/>
    </row>
    <row r="40" spans="1:31" x14ac:dyDescent="0.35">
      <c r="A40" s="1">
        <v>4602</v>
      </c>
      <c r="B40" s="1">
        <v>3</v>
      </c>
      <c r="C40" s="1">
        <v>1</v>
      </c>
      <c r="D40" s="1">
        <v>1</v>
      </c>
      <c r="E40" s="134">
        <f t="shared" ref="E40:E88" si="4">$R40/(60*5)/$T$39*50%/RIGHT(F40,1)/3+$R40/(60*5)/$T$39*25%/RIGHT(H40,1)/3+$R40/(60*5)/$T$39*25%/RIGHT(J40,1)/3</f>
        <v>2.3148148148148151E-3</v>
      </c>
      <c r="F40" s="39" t="s">
        <v>634</v>
      </c>
      <c r="G40" s="116">
        <f t="shared" ref="G40:G88" si="5">$R40/(60*5)/$T$39*50%/RIGHT(F40,1)/3</f>
        <v>1.1574074074074076E-3</v>
      </c>
      <c r="H40" s="39" t="s">
        <v>635</v>
      </c>
      <c r="I40" s="116">
        <f t="shared" ref="I40:I88" si="6">$R40/(60*5)/$T$39*25%/RIGHT(H40,1)/3</f>
        <v>5.7870370370370378E-4</v>
      </c>
      <c r="J40" s="39" t="s">
        <v>636</v>
      </c>
      <c r="K40" s="116">
        <f t="shared" ref="K40:K88" si="7">$R40/(60*5)/$T$39*25%/RIGHT(J40,1)/3</f>
        <v>5.7870370370370378E-4</v>
      </c>
      <c r="Q40" s="145" t="str">
        <f t="shared" si="0"/>
        <v>0.00231481481481482，正确</v>
      </c>
      <c r="R40" s="63">
        <v>2</v>
      </c>
      <c r="S40" s="154">
        <f t="shared" si="3"/>
        <v>2.3148148148148151E-3</v>
      </c>
    </row>
    <row r="41" spans="1:31" x14ac:dyDescent="0.35">
      <c r="A41" s="1">
        <v>4603</v>
      </c>
      <c r="B41" s="1">
        <v>3</v>
      </c>
      <c r="C41" s="1">
        <v>1</v>
      </c>
      <c r="D41" s="1">
        <v>1</v>
      </c>
      <c r="E41" s="134">
        <f t="shared" si="4"/>
        <v>3.4722222222222225E-3</v>
      </c>
      <c r="F41" s="39" t="s">
        <v>634</v>
      </c>
      <c r="G41" s="116">
        <f t="shared" si="5"/>
        <v>1.7361111111111112E-3</v>
      </c>
      <c r="H41" s="39" t="s">
        <v>635</v>
      </c>
      <c r="I41" s="116">
        <f t="shared" si="6"/>
        <v>8.6805555555555562E-4</v>
      </c>
      <c r="J41" s="39" t="s">
        <v>636</v>
      </c>
      <c r="K41" s="116">
        <f t="shared" si="7"/>
        <v>8.6805555555555562E-4</v>
      </c>
      <c r="Q41" s="145" t="str">
        <f t="shared" si="0"/>
        <v>0.00347222222222222，正确</v>
      </c>
      <c r="R41" s="63">
        <v>3</v>
      </c>
      <c r="S41" s="154">
        <f t="shared" si="3"/>
        <v>3.4722222222222225E-3</v>
      </c>
      <c r="V41" s="58"/>
      <c r="W41" s="156"/>
      <c r="X41" s="156"/>
    </row>
    <row r="42" spans="1:31" x14ac:dyDescent="0.35">
      <c r="A42" s="1">
        <v>4604</v>
      </c>
      <c r="B42" s="1">
        <v>3</v>
      </c>
      <c r="C42" s="1">
        <v>1</v>
      </c>
      <c r="D42" s="1">
        <v>1</v>
      </c>
      <c r="E42" s="134">
        <f t="shared" si="4"/>
        <v>4.6296296296296302E-3</v>
      </c>
      <c r="F42" s="39" t="s">
        <v>634</v>
      </c>
      <c r="G42" s="116">
        <f t="shared" si="5"/>
        <v>2.3148148148148151E-3</v>
      </c>
      <c r="H42" s="39" t="s">
        <v>635</v>
      </c>
      <c r="I42" s="116">
        <f t="shared" si="6"/>
        <v>1.1574074074074076E-3</v>
      </c>
      <c r="J42" s="39" t="s">
        <v>636</v>
      </c>
      <c r="K42" s="116">
        <f t="shared" si="7"/>
        <v>1.1574074074074076E-3</v>
      </c>
      <c r="Q42" s="145" t="str">
        <f t="shared" si="0"/>
        <v>0.00462962962962963，正确</v>
      </c>
      <c r="R42" s="63">
        <v>4</v>
      </c>
      <c r="S42" s="154">
        <f t="shared" si="3"/>
        <v>4.6296296296296302E-3</v>
      </c>
      <c r="W42" s="157"/>
      <c r="X42" s="157"/>
    </row>
    <row r="43" spans="1:31" x14ac:dyDescent="0.35">
      <c r="A43" s="1">
        <v>4605</v>
      </c>
      <c r="B43" s="1">
        <v>3</v>
      </c>
      <c r="C43" s="1">
        <v>1</v>
      </c>
      <c r="D43" s="1">
        <v>1</v>
      </c>
      <c r="E43" s="134">
        <f t="shared" si="4"/>
        <v>5.7870370370370376E-3</v>
      </c>
      <c r="F43" s="39" t="s">
        <v>634</v>
      </c>
      <c r="G43" s="116">
        <f t="shared" si="5"/>
        <v>2.8935185185185188E-3</v>
      </c>
      <c r="H43" s="39" t="s">
        <v>635</v>
      </c>
      <c r="I43" s="116">
        <f t="shared" si="6"/>
        <v>1.4467592592592594E-3</v>
      </c>
      <c r="J43" s="39" t="s">
        <v>636</v>
      </c>
      <c r="K43" s="116">
        <f t="shared" si="7"/>
        <v>1.4467592592592594E-3</v>
      </c>
      <c r="Q43" s="145" t="str">
        <f t="shared" si="0"/>
        <v>0.00578703703703704，正确</v>
      </c>
      <c r="R43" s="63">
        <v>5</v>
      </c>
      <c r="S43" s="154">
        <f t="shared" si="3"/>
        <v>5.7870370370370376E-3</v>
      </c>
    </row>
    <row r="44" spans="1:31" x14ac:dyDescent="0.35">
      <c r="A44" s="1">
        <v>4606</v>
      </c>
      <c r="B44" s="1">
        <v>3</v>
      </c>
      <c r="C44" s="1">
        <v>1</v>
      </c>
      <c r="D44" s="1">
        <v>1</v>
      </c>
      <c r="E44" s="134">
        <f t="shared" si="4"/>
        <v>5.7870370370370376E-3</v>
      </c>
      <c r="F44" s="39" t="s">
        <v>634</v>
      </c>
      <c r="G44" s="116">
        <f t="shared" si="5"/>
        <v>2.8935185185185188E-3</v>
      </c>
      <c r="H44" s="39" t="s">
        <v>635</v>
      </c>
      <c r="I44" s="116">
        <f t="shared" si="6"/>
        <v>1.4467592592592594E-3</v>
      </c>
      <c r="J44" s="39" t="s">
        <v>636</v>
      </c>
      <c r="K44" s="116">
        <f t="shared" si="7"/>
        <v>1.4467592592592594E-3</v>
      </c>
      <c r="Q44" s="145" t="str">
        <f t="shared" si="0"/>
        <v>0.00578703703703704，正确</v>
      </c>
      <c r="R44" s="63">
        <v>5</v>
      </c>
      <c r="S44" s="154">
        <f t="shared" si="3"/>
        <v>5.7870370370370376E-3</v>
      </c>
    </row>
    <row r="45" spans="1:31" x14ac:dyDescent="0.35">
      <c r="A45" s="1">
        <v>4607</v>
      </c>
      <c r="B45" s="1">
        <v>3</v>
      </c>
      <c r="C45" s="1">
        <v>1</v>
      </c>
      <c r="D45" s="1">
        <v>1</v>
      </c>
      <c r="E45" s="134">
        <f t="shared" si="4"/>
        <v>6.9444444444444449E-3</v>
      </c>
      <c r="F45" s="39" t="s">
        <v>634</v>
      </c>
      <c r="G45" s="116">
        <f t="shared" si="5"/>
        <v>3.4722222222222225E-3</v>
      </c>
      <c r="H45" s="39" t="s">
        <v>635</v>
      </c>
      <c r="I45" s="116">
        <f t="shared" si="6"/>
        <v>1.7361111111111112E-3</v>
      </c>
      <c r="J45" s="39" t="s">
        <v>636</v>
      </c>
      <c r="K45" s="116">
        <f t="shared" si="7"/>
        <v>1.7361111111111112E-3</v>
      </c>
      <c r="Q45" s="145" t="str">
        <f t="shared" si="0"/>
        <v>0.00694444444444444，正确</v>
      </c>
      <c r="R45" s="63">
        <v>6</v>
      </c>
      <c r="S45" s="154">
        <f t="shared" si="3"/>
        <v>6.9444444444444449E-3</v>
      </c>
    </row>
    <row r="46" spans="1:31" x14ac:dyDescent="0.35">
      <c r="A46" s="1">
        <v>4608</v>
      </c>
      <c r="B46" s="1">
        <v>3</v>
      </c>
      <c r="C46" s="1">
        <v>1</v>
      </c>
      <c r="D46" s="1">
        <v>1</v>
      </c>
      <c r="E46" s="134">
        <f t="shared" si="4"/>
        <v>8.1018518518518514E-3</v>
      </c>
      <c r="F46" s="39" t="s">
        <v>634</v>
      </c>
      <c r="G46" s="116">
        <f t="shared" si="5"/>
        <v>4.0509259259259257E-3</v>
      </c>
      <c r="H46" s="39" t="s">
        <v>635</v>
      </c>
      <c r="I46" s="116">
        <f t="shared" si="6"/>
        <v>2.0254629629629629E-3</v>
      </c>
      <c r="J46" s="39" t="s">
        <v>636</v>
      </c>
      <c r="K46" s="116">
        <f t="shared" si="7"/>
        <v>2.0254629629629629E-3</v>
      </c>
      <c r="Q46" s="145" t="str">
        <f t="shared" si="0"/>
        <v>0.00810185185185185，正确</v>
      </c>
      <c r="R46" s="63">
        <v>7</v>
      </c>
      <c r="S46" s="154">
        <f t="shared" si="3"/>
        <v>8.1018518518518514E-3</v>
      </c>
    </row>
    <row r="47" spans="1:31" x14ac:dyDescent="0.35">
      <c r="A47" s="1">
        <v>4609</v>
      </c>
      <c r="B47" s="1">
        <v>3</v>
      </c>
      <c r="C47" s="1">
        <v>1</v>
      </c>
      <c r="D47" s="1">
        <v>1</v>
      </c>
      <c r="E47" s="134">
        <f t="shared" si="4"/>
        <v>4.6296296296296302E-3</v>
      </c>
      <c r="F47" s="39" t="s">
        <v>634</v>
      </c>
      <c r="G47" s="116">
        <f t="shared" si="5"/>
        <v>2.3148148148148151E-3</v>
      </c>
      <c r="H47" s="39" t="s">
        <v>635</v>
      </c>
      <c r="I47" s="116">
        <f t="shared" si="6"/>
        <v>1.1574074074074076E-3</v>
      </c>
      <c r="J47" s="39" t="s">
        <v>636</v>
      </c>
      <c r="K47" s="116">
        <f t="shared" si="7"/>
        <v>1.1574074074074076E-3</v>
      </c>
      <c r="Q47" s="145" t="str">
        <f t="shared" si="0"/>
        <v>0.00462962962962963，正确</v>
      </c>
      <c r="R47" s="63">
        <v>4</v>
      </c>
      <c r="S47" s="154">
        <f t="shared" si="3"/>
        <v>4.6296296296296302E-3</v>
      </c>
    </row>
    <row r="48" spans="1:31" x14ac:dyDescent="0.35">
      <c r="A48" s="1">
        <v>4610</v>
      </c>
      <c r="B48" s="1">
        <v>3</v>
      </c>
      <c r="C48" s="1">
        <v>1</v>
      </c>
      <c r="D48" s="1">
        <v>1</v>
      </c>
      <c r="E48" s="134">
        <f t="shared" si="4"/>
        <v>1.1574074074074075E-2</v>
      </c>
      <c r="F48" s="39" t="s">
        <v>634</v>
      </c>
      <c r="G48" s="116">
        <f t="shared" si="5"/>
        <v>5.7870370370370376E-3</v>
      </c>
      <c r="H48" s="39" t="s">
        <v>635</v>
      </c>
      <c r="I48" s="116">
        <f t="shared" si="6"/>
        <v>2.8935185185185188E-3</v>
      </c>
      <c r="J48" s="39" t="s">
        <v>636</v>
      </c>
      <c r="K48" s="116">
        <f t="shared" si="7"/>
        <v>2.8935185185185188E-3</v>
      </c>
      <c r="Q48" s="145" t="str">
        <f t="shared" si="0"/>
        <v>0.0115740740740741，正确</v>
      </c>
      <c r="R48" s="63">
        <v>10</v>
      </c>
      <c r="S48" s="154">
        <f t="shared" si="3"/>
        <v>1.1574074074074075E-2</v>
      </c>
    </row>
    <row r="49" spans="1:19" x14ac:dyDescent="0.35">
      <c r="A49" s="1">
        <v>4611</v>
      </c>
      <c r="B49" s="1">
        <v>3</v>
      </c>
      <c r="C49" s="1">
        <v>1</v>
      </c>
      <c r="D49" s="1">
        <v>1</v>
      </c>
      <c r="E49" s="134">
        <f t="shared" si="4"/>
        <v>1.388888888888889E-2</v>
      </c>
      <c r="F49" s="39" t="s">
        <v>634</v>
      </c>
      <c r="G49" s="116">
        <f t="shared" si="5"/>
        <v>6.9444444444444449E-3</v>
      </c>
      <c r="H49" s="39" t="s">
        <v>635</v>
      </c>
      <c r="I49" s="116">
        <f t="shared" si="6"/>
        <v>3.4722222222222225E-3</v>
      </c>
      <c r="J49" s="39" t="s">
        <v>636</v>
      </c>
      <c r="K49" s="116">
        <f t="shared" si="7"/>
        <v>3.4722222222222225E-3</v>
      </c>
      <c r="Q49" s="145" t="str">
        <f t="shared" si="0"/>
        <v>0.0138888888888889，正确</v>
      </c>
      <c r="R49" s="63">
        <v>12</v>
      </c>
      <c r="S49" s="154">
        <f t="shared" si="3"/>
        <v>1.388888888888889E-2</v>
      </c>
    </row>
    <row r="50" spans="1:19" x14ac:dyDescent="0.35">
      <c r="A50" s="1">
        <v>4612</v>
      </c>
      <c r="B50" s="1">
        <v>3</v>
      </c>
      <c r="C50" s="1">
        <v>1</v>
      </c>
      <c r="D50" s="1">
        <v>1</v>
      </c>
      <c r="E50" s="134">
        <f t="shared" si="4"/>
        <v>1.388888888888889E-2</v>
      </c>
      <c r="F50" s="39" t="s">
        <v>634</v>
      </c>
      <c r="G50" s="116">
        <f t="shared" si="5"/>
        <v>6.9444444444444449E-3</v>
      </c>
      <c r="H50" s="39" t="s">
        <v>635</v>
      </c>
      <c r="I50" s="116">
        <f t="shared" si="6"/>
        <v>3.4722222222222225E-3</v>
      </c>
      <c r="J50" s="39" t="s">
        <v>636</v>
      </c>
      <c r="K50" s="116">
        <f t="shared" si="7"/>
        <v>3.4722222222222225E-3</v>
      </c>
      <c r="Q50" s="145" t="str">
        <f t="shared" si="0"/>
        <v>0.0138888888888889，正确</v>
      </c>
      <c r="R50" s="63">
        <v>12</v>
      </c>
      <c r="S50" s="154">
        <f t="shared" si="3"/>
        <v>1.388888888888889E-2</v>
      </c>
    </row>
    <row r="51" spans="1:19" x14ac:dyDescent="0.35">
      <c r="A51" s="1">
        <v>4613</v>
      </c>
      <c r="B51" s="1">
        <v>3</v>
      </c>
      <c r="C51" s="1">
        <v>1</v>
      </c>
      <c r="D51" s="1">
        <v>1</v>
      </c>
      <c r="E51" s="134">
        <f t="shared" si="4"/>
        <v>2.0833333333333332E-2</v>
      </c>
      <c r="F51" s="39" t="s">
        <v>634</v>
      </c>
      <c r="G51" s="116">
        <f t="shared" si="5"/>
        <v>1.0416666666666666E-2</v>
      </c>
      <c r="H51" s="39" t="s">
        <v>635</v>
      </c>
      <c r="I51" s="116">
        <f t="shared" si="6"/>
        <v>5.208333333333333E-3</v>
      </c>
      <c r="J51" s="39" t="s">
        <v>636</v>
      </c>
      <c r="K51" s="116">
        <f t="shared" si="7"/>
        <v>5.208333333333333E-3</v>
      </c>
      <c r="Q51" s="145" t="str">
        <f t="shared" si="0"/>
        <v>0.0208333333333333，正确</v>
      </c>
      <c r="R51" s="63">
        <v>18</v>
      </c>
      <c r="S51" s="154">
        <f t="shared" si="3"/>
        <v>2.0833333333333332E-2</v>
      </c>
    </row>
    <row r="52" spans="1:19" x14ac:dyDescent="0.35">
      <c r="A52" s="1">
        <v>4614</v>
      </c>
      <c r="B52" s="1">
        <v>3</v>
      </c>
      <c r="C52" s="1">
        <v>1</v>
      </c>
      <c r="D52" s="1">
        <v>1</v>
      </c>
      <c r="E52" s="134">
        <f t="shared" si="4"/>
        <v>2.314814814814815E-2</v>
      </c>
      <c r="F52" s="39" t="s">
        <v>634</v>
      </c>
      <c r="G52" s="116">
        <f t="shared" si="5"/>
        <v>1.1574074074074075E-2</v>
      </c>
      <c r="H52" s="39" t="s">
        <v>635</v>
      </c>
      <c r="I52" s="116">
        <f t="shared" si="6"/>
        <v>5.7870370370370376E-3</v>
      </c>
      <c r="J52" s="39" t="s">
        <v>636</v>
      </c>
      <c r="K52" s="116">
        <f t="shared" si="7"/>
        <v>5.7870370370370376E-3</v>
      </c>
      <c r="Q52" s="145" t="str">
        <f t="shared" si="0"/>
        <v>0.0231481481481482，正确</v>
      </c>
      <c r="R52" s="63">
        <v>20</v>
      </c>
      <c r="S52" s="154">
        <f t="shared" si="3"/>
        <v>2.314814814814815E-2</v>
      </c>
    </row>
    <row r="53" spans="1:19" x14ac:dyDescent="0.35">
      <c r="A53" s="1">
        <v>4615</v>
      </c>
      <c r="B53" s="1">
        <v>3</v>
      </c>
      <c r="C53" s="1">
        <v>1</v>
      </c>
      <c r="D53" s="1">
        <v>1</v>
      </c>
      <c r="E53" s="134">
        <f t="shared" si="4"/>
        <v>2.314814814814815E-2</v>
      </c>
      <c r="F53" s="39" t="s">
        <v>634</v>
      </c>
      <c r="G53" s="116">
        <f t="shared" si="5"/>
        <v>1.1574074074074075E-2</v>
      </c>
      <c r="H53" s="39" t="s">
        <v>635</v>
      </c>
      <c r="I53" s="116">
        <f t="shared" si="6"/>
        <v>5.7870370370370376E-3</v>
      </c>
      <c r="J53" s="39" t="s">
        <v>636</v>
      </c>
      <c r="K53" s="116">
        <f t="shared" si="7"/>
        <v>5.7870370370370376E-3</v>
      </c>
      <c r="Q53" s="145" t="str">
        <f t="shared" si="0"/>
        <v>0.0231481481481482，正确</v>
      </c>
      <c r="R53" s="63">
        <v>20</v>
      </c>
      <c r="S53" s="154">
        <f t="shared" si="3"/>
        <v>2.314814814814815E-2</v>
      </c>
    </row>
    <row r="54" spans="1:19" x14ac:dyDescent="0.35">
      <c r="A54" s="1">
        <v>4616</v>
      </c>
      <c r="B54" s="1">
        <v>3</v>
      </c>
      <c r="C54" s="1">
        <v>1</v>
      </c>
      <c r="D54" s="1">
        <v>1</v>
      </c>
      <c r="E54" s="134">
        <f t="shared" si="4"/>
        <v>2.314814814814815E-2</v>
      </c>
      <c r="F54" s="39" t="s">
        <v>634</v>
      </c>
      <c r="G54" s="116">
        <f t="shared" si="5"/>
        <v>1.1574074074074075E-2</v>
      </c>
      <c r="H54" s="39" t="s">
        <v>635</v>
      </c>
      <c r="I54" s="116">
        <f t="shared" si="6"/>
        <v>5.7870370370370376E-3</v>
      </c>
      <c r="J54" s="39" t="s">
        <v>636</v>
      </c>
      <c r="K54" s="116">
        <f t="shared" si="7"/>
        <v>5.7870370370370376E-3</v>
      </c>
      <c r="Q54" s="145" t="str">
        <f t="shared" si="0"/>
        <v>0.0231481481481482，正确</v>
      </c>
      <c r="R54" s="63">
        <v>20</v>
      </c>
      <c r="S54" s="154">
        <f t="shared" si="3"/>
        <v>2.314814814814815E-2</v>
      </c>
    </row>
    <row r="55" spans="1:19" x14ac:dyDescent="0.35">
      <c r="A55" s="1">
        <v>4617</v>
      </c>
      <c r="B55" s="1">
        <v>3</v>
      </c>
      <c r="C55" s="1">
        <v>1</v>
      </c>
      <c r="D55" s="1">
        <v>1</v>
      </c>
      <c r="E55" s="134">
        <f t="shared" si="4"/>
        <v>2.314814814814815E-2</v>
      </c>
      <c r="F55" s="39" t="s">
        <v>634</v>
      </c>
      <c r="G55" s="116">
        <f t="shared" si="5"/>
        <v>1.1574074074074075E-2</v>
      </c>
      <c r="H55" s="39" t="s">
        <v>635</v>
      </c>
      <c r="I55" s="116">
        <f t="shared" si="6"/>
        <v>5.7870370370370376E-3</v>
      </c>
      <c r="J55" s="39" t="s">
        <v>636</v>
      </c>
      <c r="K55" s="116">
        <f t="shared" si="7"/>
        <v>5.7870370370370376E-3</v>
      </c>
      <c r="Q55" s="145" t="str">
        <f t="shared" si="0"/>
        <v>0.0231481481481482，正确</v>
      </c>
      <c r="R55" s="63">
        <v>20</v>
      </c>
      <c r="S55" s="154">
        <f t="shared" si="3"/>
        <v>2.314814814814815E-2</v>
      </c>
    </row>
    <row r="56" spans="1:19" x14ac:dyDescent="0.35">
      <c r="A56" s="1">
        <v>4618</v>
      </c>
      <c r="B56" s="1">
        <v>3</v>
      </c>
      <c r="C56" s="1">
        <v>1</v>
      </c>
      <c r="D56" s="1">
        <v>1</v>
      </c>
      <c r="E56" s="134">
        <f t="shared" si="4"/>
        <v>2.8935185185185185E-2</v>
      </c>
      <c r="F56" s="39" t="s">
        <v>634</v>
      </c>
      <c r="G56" s="116">
        <f t="shared" si="5"/>
        <v>1.4467592592592593E-2</v>
      </c>
      <c r="H56" s="39" t="s">
        <v>635</v>
      </c>
      <c r="I56" s="116">
        <f t="shared" si="6"/>
        <v>7.2337962962962963E-3</v>
      </c>
      <c r="J56" s="39" t="s">
        <v>636</v>
      </c>
      <c r="K56" s="116">
        <f t="shared" si="7"/>
        <v>7.2337962962962963E-3</v>
      </c>
      <c r="Q56" s="145" t="str">
        <f t="shared" si="0"/>
        <v>0.0289351851851852，正确</v>
      </c>
      <c r="R56" s="63">
        <v>25</v>
      </c>
      <c r="S56" s="154">
        <f t="shared" si="3"/>
        <v>2.8935185185185185E-2</v>
      </c>
    </row>
    <row r="57" spans="1:19" x14ac:dyDescent="0.35">
      <c r="A57" s="1">
        <v>4619</v>
      </c>
      <c r="B57" s="1">
        <v>3</v>
      </c>
      <c r="C57" s="1">
        <v>1</v>
      </c>
      <c r="D57" s="1">
        <v>1</v>
      </c>
      <c r="E57" s="134">
        <f t="shared" si="4"/>
        <v>1.7361111111111112E-2</v>
      </c>
      <c r="F57" s="39" t="s">
        <v>634</v>
      </c>
      <c r="G57" s="116">
        <f t="shared" si="5"/>
        <v>8.6805555555555559E-3</v>
      </c>
      <c r="H57" s="39" t="s">
        <v>635</v>
      </c>
      <c r="I57" s="116">
        <f t="shared" si="6"/>
        <v>4.340277777777778E-3</v>
      </c>
      <c r="J57" s="39" t="s">
        <v>636</v>
      </c>
      <c r="K57" s="116">
        <f t="shared" si="7"/>
        <v>4.340277777777778E-3</v>
      </c>
      <c r="Q57" s="145" t="str">
        <f t="shared" si="0"/>
        <v>0.0173611111111111，正确</v>
      </c>
      <c r="R57" s="63">
        <v>15</v>
      </c>
      <c r="S57" s="154">
        <f t="shared" si="3"/>
        <v>1.7361111111111112E-2</v>
      </c>
    </row>
    <row r="58" spans="1:19" x14ac:dyDescent="0.35">
      <c r="A58" s="1">
        <v>4620</v>
      </c>
      <c r="B58" s="1">
        <v>3</v>
      </c>
      <c r="C58" s="1">
        <v>1</v>
      </c>
      <c r="D58" s="1">
        <v>1</v>
      </c>
      <c r="E58" s="134">
        <f t="shared" si="4"/>
        <v>9.2592592592592605E-3</v>
      </c>
      <c r="F58" s="39" t="s">
        <v>634</v>
      </c>
      <c r="G58" s="116">
        <f t="shared" si="5"/>
        <v>4.6296296296296302E-3</v>
      </c>
      <c r="H58" s="39" t="s">
        <v>635</v>
      </c>
      <c r="I58" s="116">
        <f t="shared" si="6"/>
        <v>2.3148148148148151E-3</v>
      </c>
      <c r="J58" s="39" t="s">
        <v>636</v>
      </c>
      <c r="K58" s="116">
        <f t="shared" si="7"/>
        <v>2.3148148148148151E-3</v>
      </c>
      <c r="Q58" s="145" t="str">
        <f t="shared" si="0"/>
        <v>0.00925925925925926，正确</v>
      </c>
      <c r="R58" s="63">
        <v>8</v>
      </c>
      <c r="S58" s="154">
        <f t="shared" si="3"/>
        <v>9.2592592592592605E-3</v>
      </c>
    </row>
    <row r="59" spans="1:19" x14ac:dyDescent="0.35">
      <c r="A59" s="1">
        <v>4621</v>
      </c>
      <c r="B59" s="1">
        <v>3</v>
      </c>
      <c r="C59" s="1">
        <v>1</v>
      </c>
      <c r="D59" s="1">
        <v>1</v>
      </c>
      <c r="E59" s="134">
        <f t="shared" si="4"/>
        <v>2.8935185185185185E-2</v>
      </c>
      <c r="F59" s="39" t="s">
        <v>634</v>
      </c>
      <c r="G59" s="116">
        <f t="shared" si="5"/>
        <v>1.4467592592592593E-2</v>
      </c>
      <c r="H59" s="39" t="s">
        <v>635</v>
      </c>
      <c r="I59" s="116">
        <f t="shared" si="6"/>
        <v>7.2337962962962963E-3</v>
      </c>
      <c r="J59" s="39" t="s">
        <v>636</v>
      </c>
      <c r="K59" s="116">
        <f t="shared" si="7"/>
        <v>7.2337962962962963E-3</v>
      </c>
      <c r="Q59" s="145" t="str">
        <f t="shared" si="0"/>
        <v>0.0289351851851852，正确</v>
      </c>
      <c r="R59" s="63">
        <v>25</v>
      </c>
      <c r="S59" s="154">
        <f t="shared" si="3"/>
        <v>2.8935185185185185E-2</v>
      </c>
    </row>
    <row r="60" spans="1:19" x14ac:dyDescent="0.35">
      <c r="A60" s="1">
        <v>4622</v>
      </c>
      <c r="B60" s="1">
        <v>3</v>
      </c>
      <c r="C60" s="1">
        <v>1</v>
      </c>
      <c r="D60" s="1">
        <v>1</v>
      </c>
      <c r="E60" s="134">
        <f t="shared" si="4"/>
        <v>4.6296296296296302E-3</v>
      </c>
      <c r="F60" s="39" t="s">
        <v>634</v>
      </c>
      <c r="G60" s="116">
        <f t="shared" si="5"/>
        <v>2.3148148148148151E-3</v>
      </c>
      <c r="H60" s="39" t="s">
        <v>635</v>
      </c>
      <c r="I60" s="116">
        <f t="shared" si="6"/>
        <v>1.1574074074074076E-3</v>
      </c>
      <c r="J60" s="39" t="s">
        <v>636</v>
      </c>
      <c r="K60" s="116">
        <f t="shared" si="7"/>
        <v>1.1574074074074076E-3</v>
      </c>
      <c r="Q60" s="145" t="str">
        <f t="shared" si="0"/>
        <v>0.00462962962962963，正确</v>
      </c>
      <c r="R60" s="63">
        <v>4</v>
      </c>
      <c r="S60" s="154">
        <f t="shared" si="3"/>
        <v>4.6296296296296302E-3</v>
      </c>
    </row>
    <row r="61" spans="1:19" x14ac:dyDescent="0.35">
      <c r="A61" s="1">
        <v>4623</v>
      </c>
      <c r="B61" s="1">
        <v>3</v>
      </c>
      <c r="C61" s="1">
        <v>1</v>
      </c>
      <c r="D61" s="1">
        <v>1</v>
      </c>
      <c r="E61" s="134">
        <f t="shared" si="4"/>
        <v>4.0509259259259266E-2</v>
      </c>
      <c r="F61" s="39" t="s">
        <v>634</v>
      </c>
      <c r="G61" s="116">
        <f t="shared" si="5"/>
        <v>2.0254629629629633E-2</v>
      </c>
      <c r="H61" s="39" t="s">
        <v>635</v>
      </c>
      <c r="I61" s="116">
        <f t="shared" si="6"/>
        <v>1.0127314814814816E-2</v>
      </c>
      <c r="J61" s="39" t="s">
        <v>636</v>
      </c>
      <c r="K61" s="116">
        <f t="shared" si="7"/>
        <v>1.0127314814814816E-2</v>
      </c>
      <c r="Q61" s="145" t="str">
        <f t="shared" si="0"/>
        <v>0.0405092592592593，正确</v>
      </c>
      <c r="R61" s="63">
        <v>35</v>
      </c>
      <c r="S61" s="154">
        <f t="shared" si="3"/>
        <v>4.0509259259259266E-2</v>
      </c>
    </row>
    <row r="62" spans="1:19" x14ac:dyDescent="0.35">
      <c r="A62" s="1">
        <v>4624</v>
      </c>
      <c r="B62" s="1">
        <v>3</v>
      </c>
      <c r="C62" s="1">
        <v>1</v>
      </c>
      <c r="D62" s="1">
        <v>1</v>
      </c>
      <c r="E62" s="134">
        <f t="shared" si="4"/>
        <v>1.7361111111111112E-2</v>
      </c>
      <c r="F62" s="39" t="s">
        <v>634</v>
      </c>
      <c r="G62" s="116">
        <f t="shared" si="5"/>
        <v>8.6805555555555559E-3</v>
      </c>
      <c r="H62" s="39" t="s">
        <v>635</v>
      </c>
      <c r="I62" s="116">
        <f t="shared" si="6"/>
        <v>4.340277777777778E-3</v>
      </c>
      <c r="J62" s="39" t="s">
        <v>636</v>
      </c>
      <c r="K62" s="116">
        <f t="shared" si="7"/>
        <v>4.340277777777778E-3</v>
      </c>
      <c r="Q62" s="145" t="str">
        <f t="shared" si="0"/>
        <v>0.0173611111111111，正确</v>
      </c>
      <c r="R62" s="63">
        <v>15</v>
      </c>
      <c r="S62" s="154">
        <f t="shared" si="3"/>
        <v>1.7361111111111112E-2</v>
      </c>
    </row>
    <row r="63" spans="1:19" x14ac:dyDescent="0.35">
      <c r="A63" s="1">
        <v>4625</v>
      </c>
      <c r="B63" s="1">
        <v>3</v>
      </c>
      <c r="C63" s="1">
        <v>1</v>
      </c>
      <c r="D63" s="1">
        <v>1</v>
      </c>
      <c r="E63" s="134">
        <f t="shared" si="4"/>
        <v>5.2083333333333336E-2</v>
      </c>
      <c r="F63" s="39" t="s">
        <v>634</v>
      </c>
      <c r="G63" s="116">
        <f t="shared" si="5"/>
        <v>2.6041666666666668E-2</v>
      </c>
      <c r="H63" s="39" t="s">
        <v>635</v>
      </c>
      <c r="I63" s="116">
        <f t="shared" si="6"/>
        <v>1.3020833333333334E-2</v>
      </c>
      <c r="J63" s="39" t="s">
        <v>636</v>
      </c>
      <c r="K63" s="116">
        <f t="shared" si="7"/>
        <v>1.3020833333333334E-2</v>
      </c>
      <c r="Q63" s="145" t="str">
        <f t="shared" si="0"/>
        <v>0.0520833333333333，正确</v>
      </c>
      <c r="R63" s="63">
        <v>45</v>
      </c>
      <c r="S63" s="154">
        <f t="shared" si="3"/>
        <v>5.2083333333333336E-2</v>
      </c>
    </row>
    <row r="64" spans="1:19" x14ac:dyDescent="0.35">
      <c r="A64" s="1">
        <v>4626</v>
      </c>
      <c r="B64" s="1">
        <v>3</v>
      </c>
      <c r="C64" s="1">
        <v>1</v>
      </c>
      <c r="D64" s="1">
        <v>1</v>
      </c>
      <c r="E64" s="134">
        <f t="shared" si="4"/>
        <v>8.1018518518518531E-2</v>
      </c>
      <c r="F64" s="39" t="s">
        <v>634</v>
      </c>
      <c r="G64" s="116">
        <f t="shared" si="5"/>
        <v>4.0509259259259266E-2</v>
      </c>
      <c r="H64" s="39" t="s">
        <v>635</v>
      </c>
      <c r="I64" s="116">
        <f t="shared" si="6"/>
        <v>2.0254629629629633E-2</v>
      </c>
      <c r="J64" s="39" t="s">
        <v>636</v>
      </c>
      <c r="K64" s="116">
        <f t="shared" si="7"/>
        <v>2.0254629629629633E-2</v>
      </c>
      <c r="Q64" s="145" t="str">
        <f t="shared" si="0"/>
        <v>0.0810185185185185，正确</v>
      </c>
      <c r="R64" s="63">
        <v>70</v>
      </c>
      <c r="S64" s="154">
        <f t="shared" si="3"/>
        <v>8.1018518518518531E-2</v>
      </c>
    </row>
    <row r="65" spans="1:19" x14ac:dyDescent="0.35">
      <c r="A65" s="1">
        <v>4627</v>
      </c>
      <c r="B65" s="1">
        <v>3</v>
      </c>
      <c r="C65" s="1">
        <v>1</v>
      </c>
      <c r="D65" s="1">
        <v>1</v>
      </c>
      <c r="E65" s="134">
        <f t="shared" si="4"/>
        <v>9.2592592592592601E-2</v>
      </c>
      <c r="F65" s="39" t="s">
        <v>634</v>
      </c>
      <c r="G65" s="116">
        <f t="shared" si="5"/>
        <v>4.6296296296296301E-2</v>
      </c>
      <c r="H65" s="39" t="s">
        <v>635</v>
      </c>
      <c r="I65" s="116">
        <f t="shared" si="6"/>
        <v>2.314814814814815E-2</v>
      </c>
      <c r="J65" s="39" t="s">
        <v>636</v>
      </c>
      <c r="K65" s="116">
        <f t="shared" si="7"/>
        <v>2.314814814814815E-2</v>
      </c>
      <c r="Q65" s="145" t="str">
        <f t="shared" si="0"/>
        <v>0.0925925925925926，正确</v>
      </c>
      <c r="R65" s="63">
        <v>80</v>
      </c>
      <c r="S65" s="154">
        <f t="shared" si="3"/>
        <v>9.2592592592592601E-2</v>
      </c>
    </row>
    <row r="66" spans="1:19" x14ac:dyDescent="0.35">
      <c r="A66" s="1">
        <v>4628</v>
      </c>
      <c r="B66" s="1">
        <v>3</v>
      </c>
      <c r="C66" s="1">
        <v>1</v>
      </c>
      <c r="D66" s="1">
        <v>1</v>
      </c>
      <c r="E66" s="134">
        <f t="shared" si="4"/>
        <v>0.10416666666666667</v>
      </c>
      <c r="F66" s="39" t="s">
        <v>634</v>
      </c>
      <c r="G66" s="116">
        <f t="shared" si="5"/>
        <v>5.2083333333333336E-2</v>
      </c>
      <c r="H66" s="39" t="s">
        <v>635</v>
      </c>
      <c r="I66" s="116">
        <f t="shared" si="6"/>
        <v>2.6041666666666668E-2</v>
      </c>
      <c r="J66" s="39" t="s">
        <v>636</v>
      </c>
      <c r="K66" s="116">
        <f t="shared" si="7"/>
        <v>2.6041666666666668E-2</v>
      </c>
      <c r="Q66" s="145" t="str">
        <f t="shared" si="0"/>
        <v>0.104166666666667，正确</v>
      </c>
      <c r="R66" s="63">
        <v>90</v>
      </c>
      <c r="S66" s="154">
        <f t="shared" si="3"/>
        <v>0.10416666666666667</v>
      </c>
    </row>
    <row r="67" spans="1:19" x14ac:dyDescent="0.35">
      <c r="A67" s="1">
        <v>4629</v>
      </c>
      <c r="B67" s="1">
        <v>3</v>
      </c>
      <c r="C67" s="1">
        <v>1</v>
      </c>
      <c r="D67" s="1">
        <v>1</v>
      </c>
      <c r="E67" s="134">
        <f t="shared" si="4"/>
        <v>7.8125E-2</v>
      </c>
      <c r="F67" s="159" t="s">
        <v>629</v>
      </c>
      <c r="G67" s="116">
        <f t="shared" si="5"/>
        <v>2.6041666666666668E-2</v>
      </c>
      <c r="H67" s="39" t="s">
        <v>635</v>
      </c>
      <c r="I67" s="116">
        <f t="shared" si="6"/>
        <v>2.6041666666666668E-2</v>
      </c>
      <c r="J67" s="39" t="s">
        <v>636</v>
      </c>
      <c r="K67" s="116">
        <f t="shared" si="7"/>
        <v>2.6041666666666668E-2</v>
      </c>
      <c r="Q67" s="145" t="str">
        <f t="shared" si="0"/>
        <v>0.078125，正确</v>
      </c>
      <c r="R67" s="63">
        <v>90</v>
      </c>
      <c r="S67" s="154">
        <f t="shared" si="3"/>
        <v>7.8125E-2</v>
      </c>
    </row>
    <row r="68" spans="1:19" x14ac:dyDescent="0.35">
      <c r="A68" s="1">
        <v>4630</v>
      </c>
      <c r="B68" s="1">
        <v>3</v>
      </c>
      <c r="C68" s="1">
        <v>1</v>
      </c>
      <c r="D68" s="1">
        <v>1</v>
      </c>
      <c r="E68" s="134">
        <f t="shared" si="4"/>
        <v>9.5486111111111105E-2</v>
      </c>
      <c r="F68" s="159" t="s">
        <v>629</v>
      </c>
      <c r="G68" s="116">
        <f t="shared" si="5"/>
        <v>3.1828703703703699E-2</v>
      </c>
      <c r="H68" s="39" t="s">
        <v>635</v>
      </c>
      <c r="I68" s="116">
        <f t="shared" si="6"/>
        <v>3.1828703703703699E-2</v>
      </c>
      <c r="J68" s="39" t="s">
        <v>636</v>
      </c>
      <c r="K68" s="116">
        <f t="shared" si="7"/>
        <v>3.1828703703703699E-2</v>
      </c>
      <c r="Q68" s="145" t="str">
        <f t="shared" si="0"/>
        <v>0.0954861111111111，正确</v>
      </c>
      <c r="R68" s="63">
        <v>110</v>
      </c>
      <c r="S68" s="154">
        <f t="shared" si="3"/>
        <v>9.5486111111111105E-2</v>
      </c>
    </row>
    <row r="69" spans="1:19" x14ac:dyDescent="0.35">
      <c r="A69" s="1">
        <v>4631</v>
      </c>
      <c r="B69" s="1">
        <v>3</v>
      </c>
      <c r="C69" s="1">
        <v>1</v>
      </c>
      <c r="D69" s="1">
        <v>1</v>
      </c>
      <c r="E69" s="134">
        <f t="shared" si="4"/>
        <v>0.11284722222222222</v>
      </c>
      <c r="F69" s="159" t="s">
        <v>629</v>
      </c>
      <c r="G69" s="116">
        <f t="shared" si="5"/>
        <v>3.7615740740740741E-2</v>
      </c>
      <c r="H69" s="39" t="s">
        <v>635</v>
      </c>
      <c r="I69" s="116">
        <f t="shared" si="6"/>
        <v>3.7615740740740741E-2</v>
      </c>
      <c r="J69" s="39" t="s">
        <v>636</v>
      </c>
      <c r="K69" s="116">
        <f t="shared" si="7"/>
        <v>3.7615740740740741E-2</v>
      </c>
      <c r="Q69" s="145" t="str">
        <f t="shared" si="0"/>
        <v>0.112847222222222，正确</v>
      </c>
      <c r="R69" s="63">
        <v>130</v>
      </c>
      <c r="S69" s="154">
        <f t="shared" si="3"/>
        <v>0.11284722222222222</v>
      </c>
    </row>
    <row r="70" spans="1:19" x14ac:dyDescent="0.35">
      <c r="A70" s="1">
        <v>4632</v>
      </c>
      <c r="B70" s="1">
        <v>3</v>
      </c>
      <c r="C70" s="1">
        <v>1</v>
      </c>
      <c r="D70" s="1">
        <v>1</v>
      </c>
      <c r="E70" s="134">
        <f t="shared" si="4"/>
        <v>0.10489004629629629</v>
      </c>
      <c r="F70" s="159" t="s">
        <v>629</v>
      </c>
      <c r="G70" s="116">
        <f t="shared" si="5"/>
        <v>4.1956018518518517E-2</v>
      </c>
      <c r="H70" s="39" t="s">
        <v>635</v>
      </c>
      <c r="I70" s="116">
        <f t="shared" si="6"/>
        <v>4.1956018518518517E-2</v>
      </c>
      <c r="J70" s="160" t="s">
        <v>631</v>
      </c>
      <c r="K70" s="116">
        <f t="shared" si="7"/>
        <v>2.0978009259259259E-2</v>
      </c>
      <c r="Q70" s="145" t="str">
        <f t="shared" si="0"/>
        <v>0.104890046296296，正确</v>
      </c>
      <c r="R70" s="63">
        <v>145</v>
      </c>
      <c r="S70" s="154">
        <f t="shared" si="3"/>
        <v>0.10489004629629629</v>
      </c>
    </row>
    <row r="71" spans="1:19" x14ac:dyDescent="0.35">
      <c r="A71" s="1">
        <v>4633</v>
      </c>
      <c r="B71" s="1">
        <v>3</v>
      </c>
      <c r="C71" s="1">
        <v>1</v>
      </c>
      <c r="D71" s="1">
        <v>1</v>
      </c>
      <c r="E71" s="134">
        <f t="shared" si="4"/>
        <v>0.10850694444444446</v>
      </c>
      <c r="F71" s="159" t="s">
        <v>629</v>
      </c>
      <c r="G71" s="116">
        <f t="shared" si="5"/>
        <v>4.3402777777777783E-2</v>
      </c>
      <c r="H71" s="39" t="s">
        <v>635</v>
      </c>
      <c r="I71" s="116">
        <f t="shared" si="6"/>
        <v>4.3402777777777783E-2</v>
      </c>
      <c r="J71" s="160" t="s">
        <v>631</v>
      </c>
      <c r="K71" s="116">
        <f t="shared" si="7"/>
        <v>2.1701388888888892E-2</v>
      </c>
      <c r="Q71" s="145" t="str">
        <f t="shared" si="0"/>
        <v>0.108506944444444，正确</v>
      </c>
      <c r="R71" s="63">
        <v>150</v>
      </c>
      <c r="S71" s="154">
        <f t="shared" si="3"/>
        <v>0.10850694444444446</v>
      </c>
    </row>
    <row r="72" spans="1:19" x14ac:dyDescent="0.35">
      <c r="A72" s="1">
        <v>4634</v>
      </c>
      <c r="B72" s="1">
        <v>3</v>
      </c>
      <c r="C72" s="1">
        <v>1</v>
      </c>
      <c r="D72" s="1">
        <v>1</v>
      </c>
      <c r="E72" s="134">
        <f t="shared" si="4"/>
        <v>0.1121238425925926</v>
      </c>
      <c r="F72" s="159" t="s">
        <v>629</v>
      </c>
      <c r="G72" s="116">
        <f t="shared" si="5"/>
        <v>4.4849537037037042E-2</v>
      </c>
      <c r="H72" s="39" t="s">
        <v>635</v>
      </c>
      <c r="I72" s="116">
        <f t="shared" si="6"/>
        <v>4.4849537037037042E-2</v>
      </c>
      <c r="J72" s="160" t="s">
        <v>631</v>
      </c>
      <c r="K72" s="116">
        <f t="shared" si="7"/>
        <v>2.2424768518518521E-2</v>
      </c>
      <c r="Q72" s="145" t="str">
        <f t="shared" si="0"/>
        <v>0.112123842592593，正确</v>
      </c>
      <c r="R72" s="63">
        <v>155</v>
      </c>
      <c r="S72" s="154">
        <f t="shared" si="3"/>
        <v>0.1121238425925926</v>
      </c>
    </row>
    <row r="73" spans="1:19" x14ac:dyDescent="0.35">
      <c r="A73" s="1">
        <v>4635</v>
      </c>
      <c r="B73" s="1">
        <v>3</v>
      </c>
      <c r="C73" s="1">
        <v>1</v>
      </c>
      <c r="D73" s="1">
        <v>1</v>
      </c>
      <c r="E73" s="134">
        <f t="shared" si="4"/>
        <v>0.75954861111111116</v>
      </c>
      <c r="F73" s="159" t="s">
        <v>629</v>
      </c>
      <c r="G73" s="116">
        <f t="shared" si="5"/>
        <v>0.30381944444444448</v>
      </c>
      <c r="H73" s="39" t="s">
        <v>635</v>
      </c>
      <c r="I73" s="116">
        <f t="shared" si="6"/>
        <v>0.30381944444444448</v>
      </c>
      <c r="J73" s="160" t="s">
        <v>631</v>
      </c>
      <c r="K73" s="116">
        <f t="shared" si="7"/>
        <v>0.15190972222222224</v>
      </c>
      <c r="Q73" s="145" t="str">
        <f t="shared" si="0"/>
        <v>0.759548611111111，正确</v>
      </c>
      <c r="R73" s="63">
        <v>1050</v>
      </c>
      <c r="S73" s="154">
        <f t="shared" si="3"/>
        <v>0.75954861111111116</v>
      </c>
    </row>
    <row r="74" spans="1:19" x14ac:dyDescent="0.35">
      <c r="A74" s="1">
        <v>4636</v>
      </c>
      <c r="B74" s="1">
        <v>3</v>
      </c>
      <c r="C74" s="1">
        <v>1</v>
      </c>
      <c r="D74" s="1">
        <v>1</v>
      </c>
      <c r="E74" s="134">
        <f t="shared" si="4"/>
        <v>0.72337962962962965</v>
      </c>
      <c r="F74" s="159" t="s">
        <v>629</v>
      </c>
      <c r="G74" s="116">
        <f t="shared" si="5"/>
        <v>0.28935185185185186</v>
      </c>
      <c r="H74" s="39" t="s">
        <v>635</v>
      </c>
      <c r="I74" s="116">
        <f t="shared" si="6"/>
        <v>0.28935185185185186</v>
      </c>
      <c r="J74" s="160" t="s">
        <v>631</v>
      </c>
      <c r="K74" s="116">
        <f t="shared" si="7"/>
        <v>0.14467592592592593</v>
      </c>
      <c r="Q74" s="145" t="str">
        <f t="shared" si="0"/>
        <v>0.72337962962963，正确</v>
      </c>
      <c r="R74" s="63">
        <v>1000</v>
      </c>
      <c r="S74" s="154">
        <f t="shared" si="3"/>
        <v>0.72337962962962965</v>
      </c>
    </row>
    <row r="75" spans="1:19" x14ac:dyDescent="0.35">
      <c r="A75" s="1">
        <v>4637</v>
      </c>
      <c r="B75" s="1">
        <v>3</v>
      </c>
      <c r="C75" s="1">
        <v>1</v>
      </c>
      <c r="D75" s="1">
        <v>1</v>
      </c>
      <c r="E75" s="134">
        <f t="shared" si="4"/>
        <v>0.37615740740740738</v>
      </c>
      <c r="F75" s="159" t="s">
        <v>629</v>
      </c>
      <c r="G75" s="116">
        <f t="shared" si="5"/>
        <v>0.18807870370370369</v>
      </c>
      <c r="H75" s="159" t="s">
        <v>630</v>
      </c>
      <c r="I75" s="116">
        <f t="shared" si="6"/>
        <v>9.4039351851851846E-2</v>
      </c>
      <c r="J75" s="160" t="s">
        <v>631</v>
      </c>
      <c r="K75" s="116">
        <f t="shared" si="7"/>
        <v>9.4039351851851846E-2</v>
      </c>
      <c r="Q75" s="145" t="str">
        <f t="shared" si="0"/>
        <v>0.376157407407407，正确</v>
      </c>
      <c r="R75" s="63">
        <v>650</v>
      </c>
      <c r="S75" s="154">
        <f t="shared" si="3"/>
        <v>0.37615740740740738</v>
      </c>
    </row>
    <row r="76" spans="1:19" x14ac:dyDescent="0.35">
      <c r="A76" s="1">
        <v>4638</v>
      </c>
      <c r="B76" s="1">
        <v>3</v>
      </c>
      <c r="C76" s="1">
        <v>1</v>
      </c>
      <c r="D76" s="1">
        <v>1</v>
      </c>
      <c r="E76" s="134">
        <f t="shared" si="4"/>
        <v>0.11574074074074076</v>
      </c>
      <c r="F76" s="160" t="s">
        <v>696</v>
      </c>
      <c r="G76" s="116">
        <f t="shared" si="5"/>
        <v>5.7870370370370378E-2</v>
      </c>
      <c r="H76" s="160" t="s">
        <v>669</v>
      </c>
      <c r="I76" s="116">
        <f t="shared" si="6"/>
        <v>2.8935185185185189E-2</v>
      </c>
      <c r="J76" s="159" t="s">
        <v>697</v>
      </c>
      <c r="K76" s="116">
        <f t="shared" si="7"/>
        <v>2.8935185185185189E-2</v>
      </c>
      <c r="Q76" s="145" t="str">
        <f t="shared" si="0"/>
        <v>0.115740740740741，正确</v>
      </c>
      <c r="R76" s="63">
        <v>300</v>
      </c>
      <c r="S76" s="154">
        <f t="shared" si="3"/>
        <v>0.11574074074074076</v>
      </c>
    </row>
    <row r="77" spans="1:19" x14ac:dyDescent="0.35">
      <c r="A77" s="1">
        <v>4639</v>
      </c>
      <c r="B77" s="1">
        <v>3</v>
      </c>
      <c r="C77" s="1">
        <v>1</v>
      </c>
      <c r="D77" s="1">
        <v>1</v>
      </c>
      <c r="E77" s="134">
        <f t="shared" si="4"/>
        <v>0.18084490740740741</v>
      </c>
      <c r="F77" s="160" t="s">
        <v>696</v>
      </c>
      <c r="G77" s="116">
        <f t="shared" si="5"/>
        <v>9.6450617283950615E-2</v>
      </c>
      <c r="H77" s="160" t="s">
        <v>669</v>
      </c>
      <c r="I77" s="116">
        <f t="shared" si="6"/>
        <v>4.8225308641975308E-2</v>
      </c>
      <c r="J77" s="160" t="s">
        <v>642</v>
      </c>
      <c r="K77" s="116">
        <f t="shared" si="7"/>
        <v>3.6168981481481483E-2</v>
      </c>
      <c r="Q77" s="145" t="str">
        <f t="shared" si="0"/>
        <v>0.180844907407407，正确</v>
      </c>
      <c r="R77" s="63">
        <v>500</v>
      </c>
      <c r="S77" s="154">
        <f t="shared" si="3"/>
        <v>0.18084490740740741</v>
      </c>
    </row>
    <row r="78" spans="1:19" x14ac:dyDescent="0.35">
      <c r="A78" s="1">
        <v>4640</v>
      </c>
      <c r="B78" s="1">
        <v>3</v>
      </c>
      <c r="C78" s="1">
        <v>1</v>
      </c>
      <c r="D78" s="1">
        <v>1</v>
      </c>
      <c r="E78" s="134">
        <f t="shared" si="4"/>
        <v>0.1253858024691358</v>
      </c>
      <c r="F78" s="39" t="s">
        <v>640</v>
      </c>
      <c r="G78" s="116">
        <f t="shared" si="5"/>
        <v>5.7870370370370371E-2</v>
      </c>
      <c r="H78" s="160" t="s">
        <v>669</v>
      </c>
      <c r="I78" s="116">
        <f t="shared" si="6"/>
        <v>3.8580246913580245E-2</v>
      </c>
      <c r="J78" s="160" t="s">
        <v>642</v>
      </c>
      <c r="K78" s="116">
        <f t="shared" si="7"/>
        <v>2.8935185185185185E-2</v>
      </c>
      <c r="Q78" s="145" t="str">
        <f t="shared" si="0"/>
        <v>0.125385802469136，正确</v>
      </c>
      <c r="R78" s="63">
        <v>400</v>
      </c>
      <c r="S78" s="154">
        <f t="shared" si="3"/>
        <v>0.1253858024691358</v>
      </c>
    </row>
    <row r="79" spans="1:19" x14ac:dyDescent="0.35">
      <c r="A79" s="1">
        <v>4641</v>
      </c>
      <c r="B79" s="1">
        <v>3</v>
      </c>
      <c r="C79" s="1">
        <v>1</v>
      </c>
      <c r="D79" s="1">
        <v>1</v>
      </c>
      <c r="E79" s="134">
        <f t="shared" si="4"/>
        <v>0.25077160493827161</v>
      </c>
      <c r="F79" s="39" t="s">
        <v>640</v>
      </c>
      <c r="G79" s="116">
        <f t="shared" si="5"/>
        <v>0.11574074074074074</v>
      </c>
      <c r="H79" s="160" t="s">
        <v>669</v>
      </c>
      <c r="I79" s="116">
        <f t="shared" si="6"/>
        <v>7.716049382716049E-2</v>
      </c>
      <c r="J79" s="160" t="s">
        <v>642</v>
      </c>
      <c r="K79" s="116">
        <f t="shared" si="7"/>
        <v>5.7870370370370371E-2</v>
      </c>
      <c r="Q79" s="145" t="str">
        <f t="shared" si="0"/>
        <v>0.250771604938272，正确</v>
      </c>
      <c r="R79" s="63">
        <v>800</v>
      </c>
      <c r="S79" s="154">
        <f t="shared" si="3"/>
        <v>0.25077160493827161</v>
      </c>
    </row>
    <row r="80" spans="1:19" x14ac:dyDescent="0.35">
      <c r="A80" s="1">
        <v>4642</v>
      </c>
      <c r="B80" s="1">
        <v>3</v>
      </c>
      <c r="C80" s="1">
        <v>1</v>
      </c>
      <c r="D80" s="1">
        <v>1</v>
      </c>
      <c r="E80" s="134">
        <f t="shared" si="4"/>
        <v>0.18229166666666669</v>
      </c>
      <c r="F80" s="160" t="s">
        <v>656</v>
      </c>
      <c r="G80" s="116">
        <f t="shared" si="5"/>
        <v>8.1018518518518531E-2</v>
      </c>
      <c r="H80" s="159" t="s">
        <v>698</v>
      </c>
      <c r="I80" s="116">
        <f t="shared" si="6"/>
        <v>5.0636574074074077E-2</v>
      </c>
      <c r="J80" s="160" t="s">
        <v>642</v>
      </c>
      <c r="K80" s="116">
        <f t="shared" si="7"/>
        <v>5.0636574074074077E-2</v>
      </c>
      <c r="Q80" s="145" t="str">
        <f t="shared" si="0"/>
        <v>0.182291666666667，正确</v>
      </c>
      <c r="R80" s="63">
        <v>700</v>
      </c>
      <c r="S80" s="154">
        <f t="shared" si="3"/>
        <v>0.18229166666666669</v>
      </c>
    </row>
    <row r="81" spans="1:20" x14ac:dyDescent="0.35">
      <c r="A81" s="1">
        <v>4643</v>
      </c>
      <c r="B81" s="1">
        <v>3</v>
      </c>
      <c r="C81" s="1">
        <v>1</v>
      </c>
      <c r="D81" s="1">
        <v>1</v>
      </c>
      <c r="E81" s="134">
        <f t="shared" si="4"/>
        <v>0.26041666666666669</v>
      </c>
      <c r="F81" s="160" t="s">
        <v>656</v>
      </c>
      <c r="G81" s="116">
        <f t="shared" si="5"/>
        <v>0.11574074074074074</v>
      </c>
      <c r="H81" s="159" t="s">
        <v>698</v>
      </c>
      <c r="I81" s="116">
        <f t="shared" si="6"/>
        <v>7.2337962962962965E-2</v>
      </c>
      <c r="J81" s="160" t="s">
        <v>642</v>
      </c>
      <c r="K81" s="116">
        <f t="shared" si="7"/>
        <v>7.2337962962962965E-2</v>
      </c>
      <c r="Q81" s="145" t="str">
        <f t="shared" si="0"/>
        <v>0.260416666666667，正确</v>
      </c>
      <c r="R81" s="63">
        <v>1000</v>
      </c>
      <c r="S81" s="154">
        <f t="shared" si="3"/>
        <v>0.26041666666666669</v>
      </c>
    </row>
    <row r="82" spans="1:20" x14ac:dyDescent="0.35">
      <c r="A82" s="1">
        <v>4644</v>
      </c>
      <c r="B82" s="1">
        <v>3</v>
      </c>
      <c r="C82" s="1">
        <v>1</v>
      </c>
      <c r="D82" s="1">
        <v>1</v>
      </c>
      <c r="E82" s="134">
        <f t="shared" si="4"/>
        <v>0.11574074074074074</v>
      </c>
      <c r="F82" s="39" t="s">
        <v>629</v>
      </c>
      <c r="G82" s="116">
        <f t="shared" si="5"/>
        <v>5.7870370370370371E-2</v>
      </c>
      <c r="H82" s="160" t="s">
        <v>630</v>
      </c>
      <c r="I82" s="116">
        <f t="shared" si="6"/>
        <v>2.8935185185185185E-2</v>
      </c>
      <c r="J82" s="159" t="s">
        <v>631</v>
      </c>
      <c r="K82" s="116">
        <f t="shared" si="7"/>
        <v>2.8935185185185185E-2</v>
      </c>
      <c r="Q82" s="145" t="str">
        <f t="shared" si="0"/>
        <v>0.115740740740741，正确</v>
      </c>
      <c r="R82" s="63">
        <v>200</v>
      </c>
      <c r="S82" s="154">
        <f t="shared" si="3"/>
        <v>0.11574074074074074</v>
      </c>
    </row>
    <row r="83" spans="1:20" x14ac:dyDescent="0.35">
      <c r="A83" s="1">
        <v>4645</v>
      </c>
      <c r="B83" s="1">
        <v>3</v>
      </c>
      <c r="C83" s="1">
        <v>1</v>
      </c>
      <c r="D83" s="1">
        <v>1</v>
      </c>
      <c r="E83" s="134">
        <f t="shared" si="4"/>
        <v>0.11574074074074074</v>
      </c>
      <c r="F83" s="39" t="s">
        <v>629</v>
      </c>
      <c r="G83" s="116">
        <f t="shared" si="5"/>
        <v>5.7870370370370371E-2</v>
      </c>
      <c r="H83" s="160" t="s">
        <v>630</v>
      </c>
      <c r="I83" s="116">
        <f t="shared" si="6"/>
        <v>2.8935185185185185E-2</v>
      </c>
      <c r="J83" s="159" t="s">
        <v>631</v>
      </c>
      <c r="K83" s="116">
        <f t="shared" si="7"/>
        <v>2.8935185185185185E-2</v>
      </c>
      <c r="Q83" s="145" t="str">
        <f t="shared" si="0"/>
        <v>0.115740740740741，正确</v>
      </c>
      <c r="R83" s="63">
        <v>200</v>
      </c>
      <c r="S83" s="154">
        <f t="shared" si="3"/>
        <v>0.11574074074074074</v>
      </c>
    </row>
    <row r="84" spans="1:20" x14ac:dyDescent="0.35">
      <c r="A84" s="1">
        <v>4646</v>
      </c>
      <c r="B84" s="1">
        <v>3</v>
      </c>
      <c r="C84" s="1">
        <v>1</v>
      </c>
      <c r="D84" s="1">
        <v>1</v>
      </c>
      <c r="E84" s="134">
        <f t="shared" si="4"/>
        <v>0.17361111111111113</v>
      </c>
      <c r="F84" s="39" t="s">
        <v>629</v>
      </c>
      <c r="G84" s="116">
        <f t="shared" si="5"/>
        <v>8.6805555555555566E-2</v>
      </c>
      <c r="H84" s="160" t="s">
        <v>630</v>
      </c>
      <c r="I84" s="116">
        <f t="shared" si="6"/>
        <v>4.3402777777777783E-2</v>
      </c>
      <c r="J84" s="159" t="s">
        <v>631</v>
      </c>
      <c r="K84" s="116">
        <f t="shared" si="7"/>
        <v>4.3402777777777783E-2</v>
      </c>
      <c r="Q84" s="145" t="str">
        <f t="shared" si="0"/>
        <v>0.173611111111111，正确</v>
      </c>
      <c r="R84" s="63">
        <v>300</v>
      </c>
      <c r="S84" s="154">
        <f t="shared" si="3"/>
        <v>0.17361111111111113</v>
      </c>
    </row>
    <row r="85" spans="1:20" x14ac:dyDescent="0.35">
      <c r="A85" s="1">
        <v>4647</v>
      </c>
      <c r="B85" s="1">
        <v>3</v>
      </c>
      <c r="C85" s="1">
        <v>1</v>
      </c>
      <c r="D85" s="1">
        <v>1</v>
      </c>
      <c r="E85" s="134">
        <f t="shared" si="4"/>
        <v>0.17361111111111113</v>
      </c>
      <c r="F85" s="39" t="s">
        <v>629</v>
      </c>
      <c r="G85" s="116">
        <f t="shared" si="5"/>
        <v>8.6805555555555566E-2</v>
      </c>
      <c r="H85" s="160" t="s">
        <v>630</v>
      </c>
      <c r="I85" s="116">
        <f t="shared" si="6"/>
        <v>4.3402777777777783E-2</v>
      </c>
      <c r="J85" s="159" t="s">
        <v>631</v>
      </c>
      <c r="K85" s="116">
        <f t="shared" si="7"/>
        <v>4.3402777777777783E-2</v>
      </c>
      <c r="Q85" s="145" t="str">
        <f t="shared" si="0"/>
        <v>0.173611111111111，正确</v>
      </c>
      <c r="R85" s="63">
        <v>300</v>
      </c>
      <c r="S85" s="154">
        <f t="shared" si="3"/>
        <v>0.17361111111111113</v>
      </c>
    </row>
    <row r="86" spans="1:20" x14ac:dyDescent="0.35">
      <c r="A86" s="1">
        <v>4648</v>
      </c>
      <c r="B86" s="1">
        <v>3</v>
      </c>
      <c r="C86" s="1">
        <v>1</v>
      </c>
      <c r="D86" s="1">
        <v>1</v>
      </c>
      <c r="E86" s="134">
        <f t="shared" si="4"/>
        <v>0.23148148148148148</v>
      </c>
      <c r="F86" s="160" t="s">
        <v>634</v>
      </c>
      <c r="G86" s="116">
        <f t="shared" si="5"/>
        <v>0.11574074074074074</v>
      </c>
      <c r="H86" s="39" t="s">
        <v>635</v>
      </c>
      <c r="I86" s="116">
        <f t="shared" si="6"/>
        <v>5.7870370370370371E-2</v>
      </c>
      <c r="J86" s="39" t="s">
        <v>636</v>
      </c>
      <c r="K86" s="116">
        <f t="shared" si="7"/>
        <v>5.7870370370370371E-2</v>
      </c>
      <c r="Q86" s="145" t="str">
        <f t="shared" si="0"/>
        <v>0.231481481481481，正确</v>
      </c>
      <c r="R86" s="63">
        <v>200</v>
      </c>
      <c r="S86" s="154">
        <f t="shared" si="3"/>
        <v>0.23148148148148148</v>
      </c>
    </row>
    <row r="87" spans="1:20" x14ac:dyDescent="0.35">
      <c r="A87" s="1">
        <v>4649</v>
      </c>
      <c r="B87" s="1">
        <v>3</v>
      </c>
      <c r="C87" s="1">
        <v>1</v>
      </c>
      <c r="D87" s="1">
        <v>1</v>
      </c>
      <c r="E87" s="134">
        <f t="shared" si="4"/>
        <v>0.17361111111111113</v>
      </c>
      <c r="F87" s="160" t="s">
        <v>634</v>
      </c>
      <c r="G87" s="116">
        <f t="shared" si="5"/>
        <v>8.6805555555555566E-2</v>
      </c>
      <c r="H87" s="39" t="s">
        <v>635</v>
      </c>
      <c r="I87" s="116">
        <f t="shared" si="6"/>
        <v>4.3402777777777783E-2</v>
      </c>
      <c r="J87" s="39" t="s">
        <v>636</v>
      </c>
      <c r="K87" s="116">
        <f t="shared" si="7"/>
        <v>4.3402777777777783E-2</v>
      </c>
      <c r="Q87" s="145" t="str">
        <f t="shared" si="0"/>
        <v>0.173611111111111，正确</v>
      </c>
      <c r="R87" s="63">
        <v>150</v>
      </c>
      <c r="S87" s="154">
        <f t="shared" si="3"/>
        <v>0.17361111111111113</v>
      </c>
    </row>
    <row r="88" spans="1:20" x14ac:dyDescent="0.35">
      <c r="A88" s="1">
        <v>4650</v>
      </c>
      <c r="B88" s="1">
        <v>3</v>
      </c>
      <c r="C88" s="1">
        <v>1</v>
      </c>
      <c r="D88" s="1">
        <v>1</v>
      </c>
      <c r="E88" s="134">
        <f t="shared" si="4"/>
        <v>0.17361111111111113</v>
      </c>
      <c r="F88" s="39" t="s">
        <v>629</v>
      </c>
      <c r="G88" s="116">
        <f t="shared" si="5"/>
        <v>8.6805555555555566E-2</v>
      </c>
      <c r="H88" s="39" t="s">
        <v>630</v>
      </c>
      <c r="I88" s="116">
        <f t="shared" si="6"/>
        <v>4.3402777777777783E-2</v>
      </c>
      <c r="J88" s="39" t="s">
        <v>631</v>
      </c>
      <c r="K88" s="116">
        <f t="shared" si="7"/>
        <v>4.3402777777777783E-2</v>
      </c>
      <c r="Q88" s="145" t="str">
        <f t="shared" si="0"/>
        <v>0.173611111111111，正确</v>
      </c>
      <c r="R88" s="63">
        <v>300</v>
      </c>
      <c r="S88" s="154">
        <f t="shared" si="3"/>
        <v>0.17361111111111113</v>
      </c>
    </row>
    <row r="89" spans="1:20" ht="15.6" customHeight="1" x14ac:dyDescent="0.25">
      <c r="A89" s="1">
        <v>4801</v>
      </c>
      <c r="B89" s="1">
        <v>1</v>
      </c>
      <c r="C89" s="1">
        <v>1</v>
      </c>
      <c r="D89" s="1">
        <v>1</v>
      </c>
      <c r="E89" s="1">
        <v>-1</v>
      </c>
      <c r="F89" s="1" t="s">
        <v>670</v>
      </c>
      <c r="G89" s="73">
        <v>0.15</v>
      </c>
      <c r="H89" s="1" t="s">
        <v>699</v>
      </c>
      <c r="I89" s="73">
        <v>0.05</v>
      </c>
      <c r="J89" s="1" t="s">
        <v>672</v>
      </c>
      <c r="K89" s="73">
        <v>0.3</v>
      </c>
      <c r="L89" s="1" t="s">
        <v>700</v>
      </c>
      <c r="M89" s="73">
        <v>0.1</v>
      </c>
      <c r="T89" s="161" t="s">
        <v>701</v>
      </c>
    </row>
    <row r="90" spans="1:20" x14ac:dyDescent="0.25">
      <c r="T90" s="161"/>
    </row>
    <row r="91" spans="1:20" x14ac:dyDescent="0.25">
      <c r="T91" s="161"/>
    </row>
    <row r="92" spans="1:20" x14ac:dyDescent="0.25">
      <c r="T92" s="161"/>
    </row>
  </sheetData>
  <phoneticPr fontId="40" type="noConversion"/>
  <conditionalFormatting sqref="K14">
    <cfRule type="containsText" dxfId="545" priority="503" operator="containsText" text=" ">
      <formula>NOT(ISERROR(SEARCH(" ",K14)))</formula>
    </cfRule>
  </conditionalFormatting>
  <conditionalFormatting sqref="M14">
    <cfRule type="containsText" dxfId="544" priority="502" operator="containsText" text=" ">
      <formula>NOT(ISERROR(SEARCH(" ",M14)))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M16">
    <cfRule type="cellIs" dxfId="543" priority="441" operator="equal">
      <formula>0</formula>
    </cfRule>
  </conditionalFormatting>
  <conditionalFormatting sqref="H1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ntainsText" dxfId="542" priority="448" operator="containsText" text=" ">
      <formula>NOT(ISERROR(SEARCH(" ",I16)))</formula>
    </cfRule>
  </conditionalFormatting>
  <conditionalFormatting sqref="K16">
    <cfRule type="containsText" dxfId="541" priority="447" operator="containsText" text=" ">
      <formula>NOT(ISERROR(SEARCH(" ",K16)))</formula>
    </cfRule>
  </conditionalFormatting>
  <conditionalFormatting sqref="M16">
    <cfRule type="containsText" dxfId="540" priority="446" operator="containsText" text=" ">
      <formula>NOT(ISERROR(SEARCH(" ",M16)))</formula>
    </cfRule>
  </conditionalFormatting>
  <conditionalFormatting sqref="O16">
    <cfRule type="containsText" dxfId="539" priority="453" operator="containsText" text=" ">
      <formula>NOT(ISERROR(SEARCH(" ",O16)))</formula>
    </cfRule>
  </conditionalFormatting>
  <conditionalFormatting sqref="Q16">
    <cfRule type="containsText" dxfId="538" priority="450" operator="containsText" text="正确">
      <formula>NOT(ISERROR(SEARCH("正确",Q16)))</formula>
    </cfRule>
    <cfRule type="cellIs" dxfId="537" priority="451" operator="equal">
      <formula>"正确"</formula>
    </cfRule>
    <cfRule type="containsText" dxfId="536" priority="452" operator="containsText" text="错误">
      <formula>NOT(ISERROR(SEARCH("错误",Q16)))</formula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">
    <cfRule type="containsText" dxfId="535" priority="176" operator="containsText" text=" ">
      <formula>NOT(ISERROR(SEARCH(" ",O20)))</formula>
    </cfRule>
  </conditionalFormatting>
  <conditionalFormatting sqref="F21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M21">
    <cfRule type="cellIs" dxfId="534" priority="145" operator="equal">
      <formula>0</formula>
    </cfRule>
  </conditionalFormatting>
  <conditionalFormatting sqref="H2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ntainsText" dxfId="533" priority="152" operator="containsText" text=" ">
      <formula>NOT(ISERROR(SEARCH(" ",I21)))</formula>
    </cfRule>
  </conditionalFormatting>
  <conditionalFormatting sqref="K21">
    <cfRule type="containsText" dxfId="532" priority="151" operator="containsText" text=" ">
      <formula>NOT(ISERROR(SEARCH(" ",K21)))</formula>
    </cfRule>
  </conditionalFormatting>
  <conditionalFormatting sqref="M21">
    <cfRule type="containsText" dxfId="531" priority="150" operator="containsText" text=" ">
      <formula>NOT(ISERROR(SEARCH(" ",M21)))</formula>
    </cfRule>
  </conditionalFormatting>
  <conditionalFormatting sqref="O21">
    <cfRule type="containsText" dxfId="530" priority="157" operator="containsText" text=" ">
      <formula>NOT(ISERROR(SEARCH(" ",O21)))</formula>
    </cfRule>
  </conditionalFormatting>
  <conditionalFormatting sqref="Q21">
    <cfRule type="containsText" dxfId="529" priority="154" operator="containsText" text="正确">
      <formula>NOT(ISERROR(SEARCH("正确",Q21)))</formula>
    </cfRule>
    <cfRule type="cellIs" dxfId="528" priority="155" operator="equal">
      <formula>"正确"</formula>
    </cfRule>
    <cfRule type="containsText" dxfId="527" priority="156" operator="containsText" text="错误">
      <formula>NOT(ISERROR(SEARCH("错误",Q21)))</formula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">
    <cfRule type="containsText" dxfId="526" priority="179" operator="containsText" text=" ">
      <formula>NOT(ISERROR(SEARCH(" ",I24)))</formula>
    </cfRule>
  </conditionalFormatting>
  <conditionalFormatting sqref="K24">
    <cfRule type="containsText" dxfId="525" priority="178" operator="containsText" text=" ">
      <formula>NOT(ISERROR(SEARCH(" ",K24)))</formula>
    </cfRule>
  </conditionalFormatting>
  <conditionalFormatting sqref="M24">
    <cfRule type="containsText" dxfId="524" priority="177" operator="containsText" text=" ">
      <formula>NOT(ISERROR(SEARCH(" ",M24)))</formula>
    </cfRule>
  </conditionalFormatting>
  <conditionalFormatting sqref="F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ellIs" dxfId="523" priority="9" operator="equal">
      <formula>0</formula>
    </cfRule>
    <cfRule type="containsText" dxfId="522" priority="10" operator="containsText" text=" ">
      <formula>NOT(ISERROR(SEARCH(" ",G25)))</formula>
    </cfRule>
  </conditionalFormatting>
  <conditionalFormatting sqref="O25">
    <cfRule type="containsText" dxfId="521" priority="132" operator="containsText" text=" ">
      <formula>NOT(ISERROR(SEARCH(" ",O25)))</formula>
    </cfRule>
  </conditionalFormatting>
  <conditionalFormatting sqref="F26">
    <cfRule type="cellIs" dxfId="520" priority="41" operator="equal">
      <formula>0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19" priority="44" operator="containsText" text=" ">
      <formula>NOT(ISERROR(SEARCH(" ",F26)))</formula>
    </cfRule>
  </conditionalFormatting>
  <conditionalFormatting sqref="G26:M26">
    <cfRule type="cellIs" dxfId="518" priority="101" operator="equal">
      <formula>0</formula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ntainsText" dxfId="517" priority="108" operator="containsText" text=" ">
      <formula>NOT(ISERROR(SEARCH(" ",I26)))</formula>
    </cfRule>
  </conditionalFormatting>
  <conditionalFormatting sqref="K26">
    <cfRule type="containsText" dxfId="516" priority="107" operator="containsText" text=" ">
      <formula>NOT(ISERROR(SEARCH(" ",K26)))</formula>
    </cfRule>
  </conditionalFormatting>
  <conditionalFormatting sqref="M26">
    <cfRule type="containsText" dxfId="515" priority="106" operator="containsText" text=" ">
      <formula>NOT(ISERROR(SEARCH(" ",M26)))</formula>
    </cfRule>
  </conditionalFormatting>
  <conditionalFormatting sqref="O26">
    <cfRule type="containsText" dxfId="514" priority="113" operator="containsText" text=" ">
      <formula>NOT(ISERROR(SEARCH(" ",O26)))</formula>
    </cfRule>
  </conditionalFormatting>
  <conditionalFormatting sqref="Q26">
    <cfRule type="containsText" dxfId="513" priority="110" operator="containsText" text="正确">
      <formula>NOT(ISERROR(SEARCH("正确",Q26)))</formula>
    </cfRule>
    <cfRule type="cellIs" dxfId="512" priority="111" operator="equal">
      <formula>"正确"</formula>
    </cfRule>
    <cfRule type="containsText" dxfId="511" priority="112" operator="containsText" text="错误">
      <formula>NOT(ISERROR(SEARCH("错误",Q26)))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0" priority="31" operator="equal">
      <formula>0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09" priority="34" operator="containsText" text=" ">
      <formula>NOT(ISERROR(SEARCH(" ",F27)))</formula>
    </cfRule>
  </conditionalFormatting>
  <conditionalFormatting sqref="F2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08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07" priority="28" operator="containsText" text=" ">
      <formula>NOT(ISERROR(SEARCH(" ",F28)))</formula>
    </cfRule>
  </conditionalFormatting>
  <conditionalFormatting sqref="F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ntainsText" dxfId="506" priority="135" operator="containsText" text=" ">
      <formula>NOT(ISERROR(SEARCH(" ",I29)))</formula>
    </cfRule>
  </conditionalFormatting>
  <conditionalFormatting sqref="K29">
    <cfRule type="containsText" dxfId="505" priority="134" operator="containsText" text=" ">
      <formula>NOT(ISERROR(SEARCH(" ",K29)))</formula>
    </cfRule>
  </conditionalFormatting>
  <conditionalFormatting sqref="M29">
    <cfRule type="containsText" dxfId="504" priority="133" operator="containsText" text=" ">
      <formula>NOT(ISERROR(SEARCH(" ",M29)))</formula>
    </cfRule>
  </conditionalFormatting>
  <conditionalFormatting sqref="F30">
    <cfRule type="cellIs" dxfId="503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02" priority="6" operator="containsText" text=" ">
      <formula>NOT(ISERROR(SEARCH(" ",F30)))</formula>
    </cfRule>
  </conditionalFormatting>
  <conditionalFormatting sqref="G30">
    <cfRule type="cellIs" dxfId="501" priority="7" operator="equal">
      <formula>0</formula>
    </cfRule>
    <cfRule type="containsText" dxfId="500" priority="8" operator="containsText" text=" ">
      <formula>NOT(ISERROR(SEARCH(" ",G30)))</formula>
    </cfRule>
  </conditionalFormatting>
  <conditionalFormatting sqref="O30">
    <cfRule type="containsText" dxfId="499" priority="88" operator="containsText" text=" ">
      <formula>NOT(ISERROR(SEARCH(" ",O30)))</formula>
    </cfRule>
  </conditionalFormatting>
  <conditionalFormatting sqref="F31">
    <cfRule type="cellIs" dxfId="498" priority="37" operator="equal">
      <formula>0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97" priority="40" operator="containsText" text=" ">
      <formula>NOT(ISERROR(SEARCH(" ",F31)))</formula>
    </cfRule>
  </conditionalFormatting>
  <conditionalFormatting sqref="G31:M31">
    <cfRule type="cellIs" dxfId="496" priority="57" operator="equal">
      <formula>0</formula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ntainsText" dxfId="495" priority="64" operator="containsText" text=" ">
      <formula>NOT(ISERROR(SEARCH(" ",I31)))</formula>
    </cfRule>
  </conditionalFormatting>
  <conditionalFormatting sqref="K31">
    <cfRule type="containsText" dxfId="494" priority="63" operator="containsText" text=" ">
      <formula>NOT(ISERROR(SEARCH(" ",K31)))</formula>
    </cfRule>
  </conditionalFormatting>
  <conditionalFormatting sqref="M31">
    <cfRule type="containsText" dxfId="493" priority="62" operator="containsText" text=" ">
      <formula>NOT(ISERROR(SEARCH(" ",M31)))</formula>
    </cfRule>
  </conditionalFormatting>
  <conditionalFormatting sqref="O31">
    <cfRule type="containsText" dxfId="492" priority="69" operator="containsText" text=" ">
      <formula>NOT(ISERROR(SEARCH(" ",O31)))</formula>
    </cfRule>
  </conditionalFormatting>
  <conditionalFormatting sqref="Q31">
    <cfRule type="containsText" dxfId="491" priority="66" operator="containsText" text="正确">
      <formula>NOT(ISERROR(SEARCH("正确",Q31)))</formula>
    </cfRule>
    <cfRule type="cellIs" dxfId="490" priority="67" operator="equal">
      <formula>"正确"</formula>
    </cfRule>
    <cfRule type="containsText" dxfId="489" priority="68" operator="containsText" text="错误">
      <formula>NOT(ISERROR(SEARCH("错误",Q31)))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8" priority="19" operator="equal">
      <formula>0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87" priority="22" operator="containsText" text=" ">
      <formula>NOT(ISERROR(SEARCH(" ",F32)))</formula>
    </cfRule>
  </conditionalFormatting>
  <conditionalFormatting sqref="F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6" priority="13" operator="equal">
      <formula>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85" priority="16" operator="containsText" text=" ">
      <formula>NOT(ISERROR(SEARCH(" ",F33)))</formula>
    </cfRule>
  </conditionalFormatting>
  <conditionalFormatting sqref="F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ntainsText" dxfId="484" priority="91" operator="containsText" text=" ">
      <formula>NOT(ISERROR(SEARCH(" ",I34)))</formula>
    </cfRule>
  </conditionalFormatting>
  <conditionalFormatting sqref="K34">
    <cfRule type="containsText" dxfId="483" priority="90" operator="containsText" text=" ">
      <formula>NOT(ISERROR(SEARCH(" ",K34)))</formula>
    </cfRule>
  </conditionalFormatting>
  <conditionalFormatting sqref="M34">
    <cfRule type="containsText" dxfId="482" priority="89" operator="containsText" text=" ">
      <formula>NOT(ISERROR(SEARCH(" ",M34)))</formula>
    </cfRule>
  </conditionalFormatting>
  <conditionalFormatting sqref="B35:D35">
    <cfRule type="containsText" dxfId="481" priority="432" operator="containsText" text=" ">
      <formula>NOT(ISERROR(SEARCH(" ",B35)))</formula>
    </cfRule>
  </conditionalFormatting>
  <conditionalFormatting sqref="F35">
    <cfRule type="containsText" dxfId="480" priority="288" operator="containsText" text=" ">
      <formula>NOT(ISERROR(SEARCH(" ",F35)))</formula>
    </cfRule>
  </conditionalFormatting>
  <conditionalFormatting sqref="H35">
    <cfRule type="containsText" dxfId="479" priority="287" operator="containsText" text=" ">
      <formula>NOT(ISERROR(SEARCH(" ",H35)))</formula>
    </cfRule>
  </conditionalFormatting>
  <conditionalFormatting sqref="J35">
    <cfRule type="containsText" dxfId="478" priority="305" operator="containsText" text=" ">
      <formula>NOT(ISERROR(SEARCH(" ",J35)))</formula>
    </cfRule>
  </conditionalFormatting>
  <conditionalFormatting sqref="L35">
    <cfRule type="containsText" dxfId="477" priority="329" operator="containsText" text=" ">
      <formula>NOT(ISERROR(SEARCH(" ",L35)))</formula>
    </cfRule>
  </conditionalFormatting>
  <conditionalFormatting sqref="N35">
    <cfRule type="containsText" dxfId="476" priority="307" operator="containsText" text=" ">
      <formula>NOT(ISERROR(SEARCH(" ",N35)))</formula>
    </cfRule>
  </conditionalFormatting>
  <conditionalFormatting sqref="B36:D36">
    <cfRule type="containsText" dxfId="475" priority="416" operator="containsText" text=" ">
      <formula>NOT(ISERROR(SEARCH(" ",B36)))</formula>
    </cfRule>
  </conditionalFormatting>
  <conditionalFormatting sqref="F36">
    <cfRule type="containsText" dxfId="474" priority="325" operator="containsText" text=" ">
      <formula>NOT(ISERROR(SEARCH(" ",F36)))</formula>
    </cfRule>
  </conditionalFormatting>
  <conditionalFormatting sqref="H36">
    <cfRule type="containsText" dxfId="473" priority="289" operator="containsText" text=" ">
      <formula>NOT(ISERROR(SEARCH(" ",H36)))</formula>
    </cfRule>
  </conditionalFormatting>
  <conditionalFormatting sqref="J36">
    <cfRule type="containsText" dxfId="472" priority="290" operator="containsText" text=" ">
      <formula>NOT(ISERROR(SEARCH(" ",J36)))</formula>
    </cfRule>
  </conditionalFormatting>
  <conditionalFormatting sqref="L36">
    <cfRule type="containsText" dxfId="471" priority="285" operator="containsText" text=" ">
      <formula>NOT(ISERROR(SEARCH(" ",L36)))</formula>
    </cfRule>
  </conditionalFormatting>
  <conditionalFormatting sqref="N36">
    <cfRule type="containsText" dxfId="470" priority="286" operator="containsText" text=" ">
      <formula>NOT(ISERROR(SEARCH(" ",N36)))</formula>
    </cfRule>
  </conditionalFormatting>
  <conditionalFormatting sqref="B37:D37">
    <cfRule type="containsText" dxfId="469" priority="400" operator="containsText" text=" ">
      <formula>NOT(ISERROR(SEARCH(" ",B37)))</formula>
    </cfRule>
  </conditionalFormatting>
  <conditionalFormatting sqref="F37">
    <cfRule type="containsText" dxfId="468" priority="293" operator="containsText" text=" ">
      <formula>NOT(ISERROR(SEARCH(" ",F37)))</formula>
    </cfRule>
    <cfRule type="containsText" dxfId="467" priority="347" operator="containsText" text=" ">
      <formula>NOT(ISERROR(SEARCH(" ",F37)))</formula>
    </cfRule>
  </conditionalFormatting>
  <conditionalFormatting sqref="H37">
    <cfRule type="containsText" dxfId="466" priority="295" operator="containsText" text=" ">
      <formula>NOT(ISERROR(SEARCH(" ",H37)))</formula>
    </cfRule>
    <cfRule type="containsText" dxfId="465" priority="335" operator="containsText" text=" ">
      <formula>NOT(ISERROR(SEARCH(" ",H37)))</formula>
    </cfRule>
  </conditionalFormatting>
  <conditionalFormatting sqref="J37">
    <cfRule type="containsText" dxfId="464" priority="298" operator="containsText" text=" ">
      <formula>NOT(ISERROR(SEARCH(" ",J37)))</formula>
    </cfRule>
    <cfRule type="containsText" dxfId="463" priority="331" operator="containsText" text=" ">
      <formula>NOT(ISERROR(SEARCH(" ",J37)))</formula>
    </cfRule>
  </conditionalFormatting>
  <conditionalFormatting sqref="L37">
    <cfRule type="containsText" dxfId="462" priority="300" operator="containsText" text=" ">
      <formula>NOT(ISERROR(SEARCH(" ",L37)))</formula>
    </cfRule>
    <cfRule type="containsText" dxfId="461" priority="327" operator="containsText" text=" ">
      <formula>NOT(ISERROR(SEARCH(" ",L37)))</formula>
    </cfRule>
  </conditionalFormatting>
  <conditionalFormatting sqref="N37">
    <cfRule type="containsText" dxfId="460" priority="301" operator="containsText" text=" ">
      <formula>NOT(ISERROR(SEARCH(" ",N37)))</formula>
    </cfRule>
    <cfRule type="containsText" dxfId="459" priority="319" operator="containsText" text=" ">
      <formula>NOT(ISERROR(SEARCH(" ",N37)))</formula>
    </cfRule>
  </conditionalFormatting>
  <conditionalFormatting sqref="B38:D38">
    <cfRule type="containsText" dxfId="458" priority="368" operator="containsText" text=" ">
      <formula>NOT(ISERROR(SEARCH(" ",B38)))</formula>
    </cfRule>
  </conditionalFormatting>
  <conditionalFormatting sqref="F38">
    <cfRule type="containsText" dxfId="457" priority="294" operator="containsText" text=" ">
      <formula>NOT(ISERROR(SEARCH(" ",F38)))</formula>
    </cfRule>
    <cfRule type="containsText" dxfId="456" priority="346" operator="containsText" text=" ">
      <formula>NOT(ISERROR(SEARCH(" ",F38)))</formula>
    </cfRule>
  </conditionalFormatting>
  <conditionalFormatting sqref="H38">
    <cfRule type="containsText" dxfId="455" priority="296" operator="containsText" text=" ">
      <formula>NOT(ISERROR(SEARCH(" ",H38)))</formula>
    </cfRule>
    <cfRule type="containsText" dxfId="454" priority="334" operator="containsText" text=" ">
      <formula>NOT(ISERROR(SEARCH(" ",H38)))</formula>
    </cfRule>
  </conditionalFormatting>
  <conditionalFormatting sqref="J38">
    <cfRule type="containsText" dxfId="453" priority="297" operator="containsText" text=" ">
      <formula>NOT(ISERROR(SEARCH(" ",J38)))</formula>
    </cfRule>
    <cfRule type="containsText" dxfId="452" priority="330" operator="containsText" text=" ">
      <formula>NOT(ISERROR(SEARCH(" ",J38)))</formula>
    </cfRule>
  </conditionalFormatting>
  <conditionalFormatting sqref="L38">
    <cfRule type="containsText" dxfId="451" priority="299" operator="containsText" text=" ">
      <formula>NOT(ISERROR(SEARCH(" ",L38)))</formula>
    </cfRule>
    <cfRule type="containsText" dxfId="450" priority="326" operator="containsText" text=" ">
      <formula>NOT(ISERROR(SEARCH(" ",L38)))</formula>
    </cfRule>
  </conditionalFormatting>
  <conditionalFormatting sqref="N38">
    <cfRule type="containsText" dxfId="449" priority="302" operator="containsText" text=" ">
      <formula>NOT(ISERROR(SEARCH(" ",N38)))</formula>
    </cfRule>
    <cfRule type="containsText" dxfId="448" priority="318" operator="containsText" text=" ">
      <formula>NOT(ISERROR(SEARCH(" ",N38)))</formula>
    </cfRule>
  </conditionalFormatting>
  <conditionalFormatting sqref="F78">
    <cfRule type="containsText" dxfId="447" priority="493" operator="containsText" text=" ">
      <formula>NOT(ISERROR(SEARCH(" ",F78)))</formula>
    </cfRule>
  </conditionalFormatting>
  <conditionalFormatting sqref="F79">
    <cfRule type="containsText" dxfId="446" priority="495" operator="containsText" text=" ">
      <formula>NOT(ISERROR(SEARCH(" ",F79)))</formula>
    </cfRule>
  </conditionalFormatting>
  <conditionalFormatting sqref="F80">
    <cfRule type="containsText" dxfId="445" priority="479" operator="containsText" text=" ">
      <formula>NOT(ISERROR(SEARCH(" ",F80)))</formula>
    </cfRule>
  </conditionalFormatting>
  <conditionalFormatting sqref="F81">
    <cfRule type="containsText" dxfId="444" priority="480" operator="containsText" text=" ">
      <formula>NOT(ISERROR(SEARCH(" ",F81)))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8">
    <cfRule type="cellIs" dxfId="443" priority="423" operator="equal">
      <formula>0</formula>
    </cfRule>
    <cfRule type="containsText" dxfId="442" priority="431" operator="containsText" text=" ">
      <formula>NOT(ISERROR(SEARCH(" ",G35)))</formula>
    </cfRule>
  </conditionalFormatting>
  <conditionalFormatting sqref="G39:G88">
    <cfRule type="containsText" dxfId="441" priority="496" operator="containsText" text=" ">
      <formula>NOT(ISERROR(SEARCH(" ",G39)))</formula>
    </cfRule>
  </conditionalFormatting>
  <conditionalFormatting sqref="I35:I38">
    <cfRule type="cellIs" dxfId="440" priority="316" operator="equal">
      <formula>0</formula>
    </cfRule>
    <cfRule type="containsText" dxfId="439" priority="317" operator="containsText" text=" ">
      <formula>NOT(ISERROR(SEARCH(" ",I35)))</formula>
    </cfRule>
  </conditionalFormatting>
  <conditionalFormatting sqref="I39:I88">
    <cfRule type="containsText" dxfId="438" priority="473" operator="containsText" text=" ">
      <formula>NOT(ISERROR(SEARCH(" ",I39)))</formula>
    </cfRule>
  </conditionalFormatting>
  <conditionalFormatting sqref="K35:K38">
    <cfRule type="cellIs" dxfId="437" priority="314" operator="equal">
      <formula>0</formula>
    </cfRule>
    <cfRule type="containsText" dxfId="436" priority="315" operator="containsText" text=" ">
      <formula>NOT(ISERROR(SEARCH(" ",K35)))</formula>
    </cfRule>
  </conditionalFormatting>
  <conditionalFormatting sqref="K39:K88">
    <cfRule type="containsText" dxfId="435" priority="472" operator="containsText" text=" ">
      <formula>NOT(ISERROR(SEARCH(" ",K39)))</formula>
    </cfRule>
  </conditionalFormatting>
  <conditionalFormatting sqref="M35:M38">
    <cfRule type="cellIs" dxfId="434" priority="340" operator="equal">
      <formula>0</formula>
    </cfRule>
    <cfRule type="containsText" dxfId="433" priority="341" operator="containsText" text=" ">
      <formula>NOT(ISERROR(SEARCH(" ",M35)))</formula>
    </cfRule>
  </conditionalFormatting>
  <conditionalFormatting sqref="O5:O15">
    <cfRule type="containsText" dxfId="432" priority="504" operator="containsText" text=" ">
      <formula>NOT(ISERROR(SEARCH(" ",O5)))</formula>
    </cfRule>
  </conditionalFormatting>
  <conditionalFormatting sqref="O35:O38">
    <cfRule type="cellIs" dxfId="431" priority="312" operator="equal">
      <formula>0</formula>
    </cfRule>
    <cfRule type="containsText" dxfId="430" priority="313" operator="containsText" text=" ">
      <formula>NOT(ISERROR(SEARCH(" ",O35)))</formula>
    </cfRule>
  </conditionalFormatting>
  <conditionalFormatting sqref="R39:R88">
    <cfRule type="containsText" dxfId="429" priority="508" operator="containsText" text=" ">
      <formula>NOT(ISERROR(SEARCH(" ",R39)))</formula>
    </cfRule>
    <cfRule type="containsText" dxfId="428" priority="509" operator="containsText" text=" ">
      <formula>NOT(ISERROR(SEARCH(" ",R39)))</formula>
    </cfRule>
  </conditionalFormatting>
  <conditionalFormatting sqref="R7:R8 R10 R12 R14:R15 A5:H5 L5:L14 N5:N15 H14 S5:Y15 R89:XFD89 T48:XFD88 H86:H87 H39:H79 J86:J87 J5:J14 J19 L19 U39 P1:Q15 B17:D18 S17:Y18 P17:P19 A17 A19:D19 J39:J79 R1:XFD4 AF17:XFD18 AF39:XFD47 AF5:XFD15 Z5:AE19 F19:H19 F86:F87 F39:F77 F14 A6:D15 F6:H13 E6:E19 A39:D88 E35:E88 A22 A27 A32 A34 A20 A24:A25 A29:A30 R93:XFD1048576 R90:S92 U90:XFD92 J91:P91 L39:P88 L90:P90 N89:P89">
    <cfRule type="containsText" dxfId="427" priority="510" operator="containsText" text=" ">
      <formula>NOT(ISERROR(SEARCH(" ",A1)))</formula>
    </cfRule>
  </conditionalFormatting>
  <conditionalFormatting sqref="Q1:Q15 Q17:Q19 Q35:Q1048576">
    <cfRule type="containsText" dxfId="426" priority="498" operator="containsText" text="正确">
      <formula>NOT(ISERROR(SEARCH("正确",Q1)))</formula>
    </cfRule>
  </conditionalFormatting>
  <conditionalFormatting sqref="I5:I14 I19">
    <cfRule type="containsText" dxfId="425" priority="507" operator="containsText" text=" ">
      <formula>NOT(ISERROR(SEARCH(" ",I5)))</formula>
    </cfRule>
  </conditionalFormatting>
  <conditionalFormatting sqref="K5 K19 K7:K9 K11 K13">
    <cfRule type="containsText" dxfId="424" priority="506" operator="containsText" text=" ">
      <formula>NOT(ISERROR(SEARCH(" ",K5)))</formula>
    </cfRule>
  </conditionalFormatting>
  <conditionalFormatting sqref="M19 M5:M13">
    <cfRule type="containsText" dxfId="423" priority="505" operator="containsText" text=" ">
      <formula>NOT(ISERROR(SEARCH(" ",M5)))</formula>
    </cfRule>
  </conditionalFormatting>
  <conditionalFormatting sqref="Q5:Q15 Q17:Q19 Q35:Q88">
    <cfRule type="cellIs" dxfId="422" priority="499" operator="equal">
      <formula>"正确"</formula>
    </cfRule>
    <cfRule type="containsText" dxfId="421" priority="500" operator="containsText" text="错误">
      <formula>NOT(ISERROR(SEARCH("错误",Q5)))</formula>
    </cfRule>
  </conditionalFormatting>
  <conditionalFormatting sqref="K6 R17:R18 S35:T35 P36:P38 R36:T38 N17:O19 U19:U38 AF19:XFD38 A35:A38 Y19 Q17:Q19 Q35:Q1048576 V33:Y34 V24:X32">
    <cfRule type="containsText" dxfId="420" priority="471" operator="containsText" text=" ">
      <formula>NOT(ISERROR(SEARCH(" ",A6)))</formula>
    </cfRule>
  </conditionalFormatting>
  <conditionalFormatting sqref="K10 T40:X47 Y25:Y32 Z20:AE32 Y33:AE34 Y20:Y23">
    <cfRule type="containsText" dxfId="419" priority="470" operator="containsText" text=" ">
      <formula>NOT(ISERROR(SEARCH(" ",K10)))</formula>
    </cfRule>
  </conditionalFormatting>
  <conditionalFormatting sqref="K12 H92:P92 A89:M89 A94:P1048576 A93:D93 F93:P93 A90:E92">
    <cfRule type="containsText" dxfId="418" priority="469" operator="containsText" text=" ">
      <formula>NOT(ISERROR(SEARCH(" ",A12)))</formula>
    </cfRule>
  </conditionalFormatting>
  <conditionalFormatting sqref="G14 V39:W39">
    <cfRule type="containsText" dxfId="417" priority="501" operator="containsText" text=" ">
      <formula>NOT(ISERROR(SEARCH(" ",G14)))</formula>
    </cfRule>
  </conditionalFormatting>
  <conditionalFormatting sqref="J15 F15:H15 L15 L17:L18 J17:J18 F17:H18">
    <cfRule type="containsText" dxfId="416" priority="464" operator="containsText" text=" ">
      <formula>NOT(ISERROR(SEARCH(" ",F15)))</formula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M15 F17:M18">
    <cfRule type="cellIs" dxfId="415" priority="455" operator="equal">
      <formula>0</formula>
    </cfRule>
  </conditionalFormatting>
  <conditionalFormatting sqref="H17:H18 H15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 I17:I18">
    <cfRule type="containsText" dxfId="414" priority="463" operator="containsText" text=" ">
      <formula>NOT(ISERROR(SEARCH(" ",I15)))</formula>
    </cfRule>
  </conditionalFormatting>
  <conditionalFormatting sqref="K15 K17:K18">
    <cfRule type="containsText" dxfId="413" priority="462" operator="containsText" text=" ">
      <formula>NOT(ISERROR(SEARCH(" ",K15)))</formula>
    </cfRule>
  </conditionalFormatting>
  <conditionalFormatting sqref="M15 M17:M18">
    <cfRule type="containsText" dxfId="412" priority="461" operator="containsText" text=" ">
      <formula>NOT(ISERROR(SEARCH(" ",M15)))</formula>
    </cfRule>
  </conditionalFormatting>
  <conditionalFormatting sqref="A16:D16 N16 P16:Y16 A18 AF16:XFD16 A21 A26 A31 A23 A28 A33">
    <cfRule type="containsText" dxfId="411" priority="454" operator="containsText" text=" ">
      <formula>NOT(ISERROR(SEARCH(" ",A16)))</formula>
    </cfRule>
  </conditionalFormatting>
  <conditionalFormatting sqref="L16 F16:H16 J16">
    <cfRule type="containsText" dxfId="410" priority="449" operator="containsText" text=" ">
      <formula>NOT(ISERROR(SEARCH(" ",F16)))</formula>
    </cfRule>
  </conditionalFormatting>
  <conditionalFormatting sqref="W20:X23 W19 W24:W34">
    <cfRule type="containsText" dxfId="409" priority="350" operator="containsText" text=" ">
      <formula>NOT(ISERROR(SEARCH(" ",W19)))</formula>
    </cfRule>
    <cfRule type="containsText" dxfId="408" priority="351" operator="containsText" text=" ">
      <formula>NOT(ISERROR(SEARCH(" ",W19)))</formula>
    </cfRule>
  </conditionalFormatting>
  <conditionalFormatting sqref="N20 J24 L24 P20:Q20 P22:P24 B22:D24 F24:H24 B20:D20 E20:E24">
    <cfRule type="containsText" dxfId="407" priority="180" operator="containsText" text=" ">
      <formula>NOT(ISERROR(SEARCH(" ",B20)))</formula>
    </cfRule>
  </conditionalFormatting>
  <conditionalFormatting sqref="J20 F20:H20 L20 L22:L23 F22:H23 J22:J23">
    <cfRule type="containsText" dxfId="406" priority="167" operator="containsText" text=" ">
      <formula>NOT(ISERROR(SEARCH(" ",F20)))</formula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M20 F22:M23">
    <cfRule type="cellIs" dxfId="405" priority="159" operator="equal">
      <formula>0</formula>
    </cfRule>
  </conditionalFormatting>
  <conditionalFormatting sqref="H22:H23 H2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 I22:I23">
    <cfRule type="containsText" dxfId="404" priority="166" operator="containsText" text=" ">
      <formula>NOT(ISERROR(SEARCH(" ",I20)))</formula>
    </cfRule>
  </conditionalFormatting>
  <conditionalFormatting sqref="K20 K22:K23">
    <cfRule type="containsText" dxfId="403" priority="165" operator="containsText" text=" ">
      <formula>NOT(ISERROR(SEARCH(" ",K20)))</formula>
    </cfRule>
  </conditionalFormatting>
  <conditionalFormatting sqref="M20 M22:M23">
    <cfRule type="containsText" dxfId="402" priority="164" operator="containsText" text=" ">
      <formula>NOT(ISERROR(SEARCH(" ",M20)))</formula>
    </cfRule>
  </conditionalFormatting>
  <conditionalFormatting sqref="Q20 Q22:Q24">
    <cfRule type="containsText" dxfId="401" priority="173" operator="containsText" text="正确">
      <formula>NOT(ISERROR(SEARCH("正确",Q20)))</formula>
    </cfRule>
    <cfRule type="cellIs" dxfId="400" priority="174" operator="equal">
      <formula>"正确"</formula>
    </cfRule>
    <cfRule type="containsText" dxfId="399" priority="175" operator="containsText" text="错误">
      <formula>NOT(ISERROR(SEARCH("错误",Q20)))</formula>
    </cfRule>
  </conditionalFormatting>
  <conditionalFormatting sqref="B21:D21 N21 P21:Q21">
    <cfRule type="containsText" dxfId="398" priority="158" operator="containsText" text=" ">
      <formula>NOT(ISERROR(SEARCH(" ",B21)))</formula>
    </cfRule>
  </conditionalFormatting>
  <conditionalFormatting sqref="L21 F21:H21 J21">
    <cfRule type="containsText" dxfId="397" priority="153" operator="containsText" text=" ">
      <formula>NOT(ISERROR(SEARCH(" ",F21)))</formula>
    </cfRule>
  </conditionalFormatting>
  <conditionalFormatting sqref="N22:O24 Q22:Q24">
    <cfRule type="containsText" dxfId="396" priority="172" operator="containsText" text=" ">
      <formula>NOT(ISERROR(SEARCH(" ",N22)))</formula>
    </cfRule>
  </conditionalFormatting>
  <conditionalFormatting sqref="N25 J29 L29 P25:Q25 P27:P29 B27:D29 F29:H29 B25:D25 E25:E29">
    <cfRule type="containsText" dxfId="395" priority="136" operator="containsText" text=" ">
      <formula>NOT(ISERROR(SEARCH(" ",B25)))</formula>
    </cfRule>
  </conditionalFormatting>
  <conditionalFormatting sqref="J25 F25 L25 L27:L28 J27:J28 G27:H28 H25">
    <cfRule type="containsText" dxfId="394" priority="123" operator="containsText" text=" ">
      <formula>NOT(ISERROR(SEARCH(" ",F25)))</formula>
    </cfRule>
  </conditionalFormatting>
  <conditionalFormatting sqref="F25 G27:M28 H25:M25">
    <cfRule type="cellIs" dxfId="393" priority="115" operator="equal">
      <formula>0</formula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 I27:I28">
    <cfRule type="containsText" dxfId="392" priority="122" operator="containsText" text=" ">
      <formula>NOT(ISERROR(SEARCH(" ",I25)))</formula>
    </cfRule>
  </conditionalFormatting>
  <conditionalFormatting sqref="K25 K27:K28">
    <cfRule type="containsText" dxfId="391" priority="121" operator="containsText" text=" ">
      <formula>NOT(ISERROR(SEARCH(" ",K25)))</formula>
    </cfRule>
  </conditionalFormatting>
  <conditionalFormatting sqref="M25 M27:M28">
    <cfRule type="containsText" dxfId="390" priority="120" operator="containsText" text=" ">
      <formula>NOT(ISERROR(SEARCH(" ",M25)))</formula>
    </cfRule>
  </conditionalFormatting>
  <conditionalFormatting sqref="Q25 Q27:Q29">
    <cfRule type="containsText" dxfId="389" priority="129" operator="containsText" text="正确">
      <formula>NOT(ISERROR(SEARCH("正确",Q25)))</formula>
    </cfRule>
    <cfRule type="cellIs" dxfId="388" priority="130" operator="equal">
      <formula>"正确"</formula>
    </cfRule>
    <cfRule type="containsText" dxfId="387" priority="131" operator="containsText" text="错误">
      <formula>NOT(ISERROR(SEARCH("错误",Q25)))</formula>
    </cfRule>
  </conditionalFormatting>
  <conditionalFormatting sqref="B26:D26 N26 P26:Q26">
    <cfRule type="containsText" dxfId="386" priority="114" operator="containsText" text=" ">
      <formula>NOT(ISERROR(SEARCH(" ",B26)))</formula>
    </cfRule>
  </conditionalFormatting>
  <conditionalFormatting sqref="L26 G26:H26 J26">
    <cfRule type="containsText" dxfId="385" priority="109" operator="containsText" text=" ">
      <formula>NOT(ISERROR(SEARCH(" ",G26)))</formula>
    </cfRule>
  </conditionalFormatting>
  <conditionalFormatting sqref="N27:O29 Q27:Q29">
    <cfRule type="containsText" dxfId="384" priority="128" operator="containsText" text=" ">
      <formula>NOT(ISERROR(SEARCH(" ",N27)))</formula>
    </cfRule>
  </conditionalFormatting>
  <conditionalFormatting sqref="N30 J34 L34 P30:Q30 P32:P34 B32:D34 F34:H34 B30:D30 E30:E34">
    <cfRule type="containsText" dxfId="383" priority="92" operator="containsText" text=" ">
      <formula>NOT(ISERROR(SEARCH(" ",B30)))</formula>
    </cfRule>
  </conditionalFormatting>
  <conditionalFormatting sqref="J30 L30 L32:L33 J32:J33 G32:H33 H30">
    <cfRule type="containsText" dxfId="382" priority="79" operator="containsText" text=" ">
      <formula>NOT(ISERROR(SEARCH(" ",G30)))</formula>
    </cfRule>
  </conditionalFormatting>
  <conditionalFormatting sqref="G32:M33 H30:M30">
    <cfRule type="cellIs" dxfId="381" priority="71" operator="equal">
      <formula>0</formula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 I32:I33">
    <cfRule type="containsText" dxfId="380" priority="78" operator="containsText" text=" ">
      <formula>NOT(ISERROR(SEARCH(" ",I30)))</formula>
    </cfRule>
  </conditionalFormatting>
  <conditionalFormatting sqref="K30 K32:K33">
    <cfRule type="containsText" dxfId="379" priority="77" operator="containsText" text=" ">
      <formula>NOT(ISERROR(SEARCH(" ",K30)))</formula>
    </cfRule>
  </conditionalFormatting>
  <conditionalFormatting sqref="M30 M32:M33">
    <cfRule type="containsText" dxfId="378" priority="76" operator="containsText" text=" ">
      <formula>NOT(ISERROR(SEARCH(" ",M30)))</formula>
    </cfRule>
  </conditionalFormatting>
  <conditionalFormatting sqref="Q30 Q32:Q34">
    <cfRule type="containsText" dxfId="377" priority="85" operator="containsText" text="正确">
      <formula>NOT(ISERROR(SEARCH("正确",Q30)))</formula>
    </cfRule>
    <cfRule type="cellIs" dxfId="376" priority="86" operator="equal">
      <formula>"正确"</formula>
    </cfRule>
    <cfRule type="containsText" dxfId="375" priority="87" operator="containsText" text="错误">
      <formula>NOT(ISERROR(SEARCH("错误",Q30)))</formula>
    </cfRule>
  </conditionalFormatting>
  <conditionalFormatting sqref="B31:D31 N31 P31:Q31">
    <cfRule type="containsText" dxfId="374" priority="70" operator="containsText" text=" ">
      <formula>NOT(ISERROR(SEARCH(" ",B31)))</formula>
    </cfRule>
  </conditionalFormatting>
  <conditionalFormatting sqref="L31 G31:H31 J31">
    <cfRule type="containsText" dxfId="373" priority="65" operator="containsText" text=" ">
      <formula>NOT(ISERROR(SEARCH(" ",G31)))</formula>
    </cfRule>
  </conditionalFormatting>
  <conditionalFormatting sqref="N32:O34 Q32:Q34">
    <cfRule type="containsText" dxfId="372" priority="84" operator="containsText" text=" ">
      <formula>NOT(ISERROR(SEARCH(" ",N32)))</formula>
    </cfRule>
  </conditionalFormatting>
  <conditionalFormatting sqref="S40:S88 S39:T39">
    <cfRule type="containsText" dxfId="371" priority="497" operator="containsText" text=" ">
      <formula>NOT(ISERROR(SEARCH(" ",S39)))</formula>
    </cfRule>
  </conditionalFormatting>
  <conditionalFormatting sqref="H80:H81 J80:J81">
    <cfRule type="containsText" dxfId="370" priority="481" operator="containsText" text=" ">
      <formula>NOT(ISERROR(SEARCH(" ",H80)))</formula>
    </cfRule>
  </conditionalFormatting>
  <conditionalFormatting sqref="F82 H82 J82">
    <cfRule type="containsText" dxfId="369" priority="491" operator="containsText" text=" ">
      <formula>NOT(ISERROR(SEARCH(" ",F82)))</formula>
    </cfRule>
  </conditionalFormatting>
  <conditionalFormatting sqref="F83 H83 J83">
    <cfRule type="containsText" dxfId="368" priority="489" operator="containsText" text=" ">
      <formula>NOT(ISERROR(SEARCH(" ",F83)))</formula>
    </cfRule>
  </conditionalFormatting>
  <conditionalFormatting sqref="F84 H84 J84">
    <cfRule type="containsText" dxfId="367" priority="487" operator="containsText" text=" ">
      <formula>NOT(ISERROR(SEARCH(" ",F84)))</formula>
    </cfRule>
  </conditionalFormatting>
  <conditionalFormatting sqref="F85 H85 J85">
    <cfRule type="containsText" dxfId="366" priority="485" operator="containsText" text=" ">
      <formula>NOT(ISERROR(SEARCH(" ",F85)))</formula>
    </cfRule>
  </conditionalFormatting>
  <conditionalFormatting sqref="F88 H88 J88">
    <cfRule type="containsText" dxfId="365" priority="483" operator="containsText" text=" ">
      <formula>NOT(ISERROR(SEARCH(" ",F88)))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7"/>
  <sheetViews>
    <sheetView topLeftCell="I1" workbookViewId="0">
      <selection activeCell="W12" sqref="W12"/>
    </sheetView>
  </sheetViews>
  <sheetFormatPr defaultColWidth="9" defaultRowHeight="15.6" x14ac:dyDescent="0.25"/>
  <cols>
    <col min="1" max="1" width="9" style="1"/>
    <col min="2" max="2" width="15.109375" style="1" customWidth="1"/>
    <col min="3" max="3" width="21.33203125" style="1" customWidth="1"/>
    <col min="4" max="4" width="9.88671875" style="1" customWidth="1"/>
    <col min="5" max="5" width="21.33203125" style="1" customWidth="1"/>
    <col min="6" max="6" width="17.44140625" style="1" customWidth="1"/>
    <col min="7" max="9" width="9.6640625" style="1" customWidth="1"/>
    <col min="10" max="10" width="12.44140625" style="1" customWidth="1"/>
    <col min="11" max="11" width="12" style="1" customWidth="1"/>
    <col min="12" max="12" width="10.21875" style="1" customWidth="1"/>
    <col min="13" max="13" width="7.88671875" style="1" customWidth="1"/>
    <col min="14" max="14" width="9" style="1"/>
    <col min="15" max="15" width="13.88671875" style="84" customWidth="1"/>
    <col min="16" max="16" width="8" style="84" customWidth="1"/>
    <col min="17" max="17" width="7.6640625" style="84" customWidth="1"/>
    <col min="18" max="18" width="10.77734375" style="84" customWidth="1"/>
    <col min="19" max="19" width="11.88671875" style="84" customWidth="1"/>
    <col min="20" max="20" width="9" style="84"/>
    <col min="21" max="21" width="9" style="1"/>
    <col min="22" max="22" width="10.33203125" style="1" customWidth="1"/>
    <col min="23" max="23" width="13.44140625" style="1" customWidth="1"/>
    <col min="24" max="16384" width="9" style="1"/>
  </cols>
  <sheetData>
    <row r="1" spans="1:39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2</v>
      </c>
      <c r="H1" s="2" t="s">
        <v>2</v>
      </c>
      <c r="I1" s="2" t="s">
        <v>0</v>
      </c>
      <c r="J1" s="2" t="s">
        <v>2</v>
      </c>
      <c r="V1" s="12" t="s">
        <v>406</v>
      </c>
      <c r="W1" s="56"/>
      <c r="X1" s="56"/>
      <c r="Y1" s="56"/>
      <c r="Z1" s="56"/>
      <c r="AA1" s="56"/>
      <c r="AB1" s="56"/>
    </row>
    <row r="2" spans="1:39" x14ac:dyDescent="0.35">
      <c r="A2" s="2" t="s">
        <v>7</v>
      </c>
      <c r="B2" s="2" t="s">
        <v>7</v>
      </c>
      <c r="C2" s="2" t="s">
        <v>9</v>
      </c>
      <c r="D2" s="2" t="s">
        <v>7</v>
      </c>
      <c r="E2" s="2" t="s">
        <v>7</v>
      </c>
      <c r="F2" s="2" t="s">
        <v>9</v>
      </c>
      <c r="G2" s="2" t="s">
        <v>7</v>
      </c>
      <c r="H2" s="2" t="s">
        <v>7</v>
      </c>
      <c r="I2" s="2" t="s">
        <v>7</v>
      </c>
      <c r="J2" s="2" t="s">
        <v>7</v>
      </c>
      <c r="K2" s="12"/>
      <c r="V2" s="106" t="s">
        <v>702</v>
      </c>
      <c r="W2" s="56"/>
      <c r="X2" s="56"/>
      <c r="Y2" s="56"/>
      <c r="Z2" s="56"/>
      <c r="AB2" s="56"/>
    </row>
    <row r="3" spans="1:39" ht="16.2" x14ac:dyDescent="0.35">
      <c r="A3" s="2" t="s">
        <v>10</v>
      </c>
      <c r="B3" s="2" t="s">
        <v>703</v>
      </c>
      <c r="C3" s="2" t="s">
        <v>704</v>
      </c>
      <c r="D3" s="2" t="s">
        <v>705</v>
      </c>
      <c r="E3" s="2" t="s">
        <v>706</v>
      </c>
      <c r="F3" s="2" t="s">
        <v>707</v>
      </c>
      <c r="G3" s="2" t="s">
        <v>708</v>
      </c>
      <c r="H3" s="99" t="s">
        <v>709</v>
      </c>
      <c r="I3" s="99" t="s">
        <v>710</v>
      </c>
      <c r="J3" s="99" t="s">
        <v>711</v>
      </c>
      <c r="O3" s="100" t="s">
        <v>712</v>
      </c>
      <c r="V3" s="106" t="s">
        <v>506</v>
      </c>
    </row>
    <row r="4" spans="1:39" ht="79.2" x14ac:dyDescent="0.25">
      <c r="A4" s="4" t="s">
        <v>713</v>
      </c>
      <c r="B4" s="4" t="s">
        <v>714</v>
      </c>
      <c r="C4" s="4" t="s">
        <v>715</v>
      </c>
      <c r="D4" s="4" t="s">
        <v>716</v>
      </c>
      <c r="E4" s="4" t="s">
        <v>717</v>
      </c>
      <c r="F4" s="4" t="s">
        <v>718</v>
      </c>
      <c r="G4" s="4" t="s">
        <v>719</v>
      </c>
      <c r="H4" s="4" t="s">
        <v>720</v>
      </c>
      <c r="I4" s="4" t="s">
        <v>721</v>
      </c>
      <c r="J4" s="4" t="s">
        <v>722</v>
      </c>
      <c r="K4" s="101" t="s">
        <v>723</v>
      </c>
      <c r="L4" s="56" t="s">
        <v>724</v>
      </c>
      <c r="M4" s="56"/>
      <c r="O4" s="36" t="s">
        <v>544</v>
      </c>
      <c r="P4" s="37" t="s">
        <v>390</v>
      </c>
      <c r="Q4" s="37" t="s">
        <v>391</v>
      </c>
      <c r="R4" s="38" t="s">
        <v>392</v>
      </c>
      <c r="S4" s="90" t="s">
        <v>553</v>
      </c>
      <c r="U4" s="101"/>
      <c r="V4" s="47">
        <f>'抽奖|MoonBless'!DN4</f>
        <v>0</v>
      </c>
      <c r="W4" s="48" t="str">
        <f>'抽奖|MoonBless'!DO4</f>
        <v>人民币价值</v>
      </c>
      <c r="X4" s="49" t="str">
        <f>'抽奖|MoonBless'!DP4</f>
        <v>价值
钻石价值</v>
      </c>
      <c r="Y4" s="48" t="str">
        <f>'抽奖|MoonBless'!DQ4</f>
        <v>物品类型</v>
      </c>
      <c r="Z4" s="50" t="str">
        <f>'抽奖|MoonBless'!DR4</f>
        <v>id</v>
      </c>
      <c r="AA4" s="56" t="s">
        <v>725</v>
      </c>
      <c r="AJ4" s="56" t="s">
        <v>554</v>
      </c>
      <c r="AK4" s="1" t="s">
        <v>390</v>
      </c>
      <c r="AL4" s="1" t="s">
        <v>10</v>
      </c>
      <c r="AM4" s="1" t="s">
        <v>553</v>
      </c>
    </row>
    <row r="5" spans="1:39" x14ac:dyDescent="0.25">
      <c r="A5" s="1">
        <v>1</v>
      </c>
      <c r="B5" s="1">
        <v>1</v>
      </c>
      <c r="C5" s="1" t="str">
        <f>P5&amp;"|"&amp;Q5&amp;"|"&amp;R5</f>
        <v>2|1008|1</v>
      </c>
      <c r="D5" s="1">
        <v>1</v>
      </c>
      <c r="E5" s="1">
        <v>1</v>
      </c>
      <c r="F5" s="1" t="str">
        <f t="shared" ref="F5:F28" si="0">"2|1204|"&amp;K5</f>
        <v>2|1204|66000</v>
      </c>
      <c r="G5" s="1">
        <v>0</v>
      </c>
      <c r="H5" s="1">
        <v>1</v>
      </c>
      <c r="K5" s="59">
        <v>66000</v>
      </c>
      <c r="L5" s="84">
        <f t="shared" ref="L5:L28" si="1">ROUND(S5/$W$12,0)</f>
        <v>66667</v>
      </c>
      <c r="O5" s="40" t="s">
        <v>361</v>
      </c>
      <c r="P5" s="11">
        <f t="shared" ref="P5:P43" si="2">VLOOKUP(O5,V:Z,4,0)</f>
        <v>2</v>
      </c>
      <c r="Q5" s="11">
        <f t="shared" ref="Q5:Q43" si="3">VLOOKUP(O5,V:Z,5,0)</f>
        <v>1008</v>
      </c>
      <c r="R5" s="41">
        <v>1</v>
      </c>
      <c r="S5" s="19">
        <f t="shared" ref="S5:S43" si="4">VLOOKUP(O5,V:Z,2,0)*R5</f>
        <v>66.666666666666671</v>
      </c>
      <c r="V5" s="107" t="str">
        <f>'抽奖|MoonBless'!DN5</f>
        <v>人民币</v>
      </c>
      <c r="W5" s="108">
        <f>'抽奖|MoonBless'!DO5</f>
        <v>1</v>
      </c>
      <c r="X5" s="108">
        <f>'抽奖|MoonBless'!DP5</f>
        <v>20</v>
      </c>
      <c r="Y5" s="11">
        <f>'抽奖|MoonBless'!DQ5</f>
        <v>1</v>
      </c>
      <c r="Z5" s="19">
        <f>'抽奖|MoonBless'!DR5</f>
        <v>0</v>
      </c>
      <c r="AA5" s="110">
        <v>1</v>
      </c>
      <c r="AI5" s="1" t="s">
        <v>559</v>
      </c>
      <c r="AJ5" s="1">
        <v>0.1</v>
      </c>
      <c r="AK5" s="1">
        <v>1</v>
      </c>
      <c r="AM5" s="1">
        <v>1</v>
      </c>
    </row>
    <row r="6" spans="1:39" x14ac:dyDescent="0.25">
      <c r="A6" s="1">
        <v>2</v>
      </c>
      <c r="B6" s="1">
        <v>1</v>
      </c>
      <c r="C6" s="1" t="str">
        <f>P6&amp;"|"&amp;Q6&amp;"|"&amp;R6</f>
        <v>2|1007|1</v>
      </c>
      <c r="D6" s="1">
        <v>1</v>
      </c>
      <c r="E6" s="1">
        <v>1</v>
      </c>
      <c r="F6" s="1" t="str">
        <f t="shared" si="0"/>
        <v>2|1204|33000</v>
      </c>
      <c r="G6" s="1">
        <v>0</v>
      </c>
      <c r="H6" s="1">
        <v>2</v>
      </c>
      <c r="K6" s="59">
        <v>33000</v>
      </c>
      <c r="L6" s="84">
        <f t="shared" si="1"/>
        <v>33333</v>
      </c>
      <c r="O6" s="40" t="s">
        <v>374</v>
      </c>
      <c r="P6" s="11">
        <f t="shared" si="2"/>
        <v>2</v>
      </c>
      <c r="Q6" s="11">
        <f t="shared" si="3"/>
        <v>1007</v>
      </c>
      <c r="R6" s="41">
        <v>1</v>
      </c>
      <c r="S6" s="19">
        <f t="shared" si="4"/>
        <v>33.333333333333336</v>
      </c>
      <c r="V6" s="10" t="str">
        <f>'抽奖|MoonBless'!DN6</f>
        <v>钻石</v>
      </c>
      <c r="W6" s="41">
        <f>'抽奖|MoonBless'!DO6</f>
        <v>0.1</v>
      </c>
      <c r="X6" s="41">
        <f>'抽奖|MoonBless'!DP6</f>
        <v>2</v>
      </c>
      <c r="Y6" s="11">
        <f>'抽奖|MoonBless'!DQ6</f>
        <v>1</v>
      </c>
      <c r="Z6" s="19">
        <f>'抽奖|MoonBless'!DR6</f>
        <v>1</v>
      </c>
      <c r="AA6" s="110">
        <v>1</v>
      </c>
      <c r="AI6" s="1" t="s">
        <v>360</v>
      </c>
      <c r="AJ6" s="1">
        <v>1</v>
      </c>
      <c r="AK6" s="1">
        <v>1</v>
      </c>
      <c r="AL6" s="1">
        <v>1</v>
      </c>
      <c r="AM6" s="1">
        <f>AJ6/10</f>
        <v>0.1</v>
      </c>
    </row>
    <row r="7" spans="1:39" x14ac:dyDescent="0.25">
      <c r="A7" s="1">
        <v>3</v>
      </c>
      <c r="B7" s="1">
        <v>1</v>
      </c>
      <c r="C7" s="1" t="str">
        <f>P7&amp;"|"&amp;Q7&amp;"|"&amp;R7</f>
        <v>2|1006|1</v>
      </c>
      <c r="D7" s="1">
        <v>1</v>
      </c>
      <c r="E7" s="1">
        <v>1</v>
      </c>
      <c r="F7" s="1" t="str">
        <f t="shared" si="0"/>
        <v>2|1204|13300</v>
      </c>
      <c r="G7" s="1">
        <v>0</v>
      </c>
      <c r="H7" s="1">
        <v>100</v>
      </c>
      <c r="K7" s="59">
        <v>13300</v>
      </c>
      <c r="L7" s="84">
        <f t="shared" si="1"/>
        <v>13333</v>
      </c>
      <c r="O7" s="40" t="s">
        <v>363</v>
      </c>
      <c r="P7" s="11">
        <f t="shared" si="2"/>
        <v>2</v>
      </c>
      <c r="Q7" s="11">
        <f t="shared" si="3"/>
        <v>1006</v>
      </c>
      <c r="R7" s="41">
        <v>1</v>
      </c>
      <c r="S7" s="19">
        <f t="shared" si="4"/>
        <v>13.333333333333336</v>
      </c>
      <c r="V7" s="10" t="str">
        <f>'抽奖|MoonBless'!DN7</f>
        <v>金币</v>
      </c>
      <c r="W7" s="11">
        <f>W12*(1000/150000)</f>
        <v>6.6666666666666675E-6</v>
      </c>
      <c r="X7" s="11">
        <f>W7*10</f>
        <v>6.666666666666667E-5</v>
      </c>
      <c r="Y7" s="11">
        <f>'抽奖|MoonBless'!DQ7</f>
        <v>1</v>
      </c>
      <c r="Z7" s="19">
        <f>'抽奖|MoonBless'!DR7</f>
        <v>2</v>
      </c>
      <c r="AA7" s="110">
        <v>1</v>
      </c>
      <c r="AI7" s="1" t="s">
        <v>375</v>
      </c>
      <c r="AJ7" s="1">
        <f>1/500</f>
        <v>2E-3</v>
      </c>
      <c r="AK7" s="1">
        <v>1</v>
      </c>
      <c r="AL7" s="1">
        <v>2</v>
      </c>
      <c r="AM7" s="1">
        <f t="shared" ref="AM7:AM24" si="5">AJ7/10</f>
        <v>2.0000000000000001E-4</v>
      </c>
    </row>
    <row r="8" spans="1:39" x14ac:dyDescent="0.25">
      <c r="A8" s="1">
        <v>4</v>
      </c>
      <c r="B8" s="1">
        <v>1</v>
      </c>
      <c r="C8" s="1" t="str">
        <f>P8&amp;"|"&amp;Q8&amp;"|"&amp;R8</f>
        <v>2|1005|1</v>
      </c>
      <c r="D8" s="1">
        <v>1</v>
      </c>
      <c r="E8" s="1">
        <v>1</v>
      </c>
      <c r="F8" s="1" t="str">
        <f t="shared" si="0"/>
        <v>2|1204|6650</v>
      </c>
      <c r="G8" s="1">
        <v>0</v>
      </c>
      <c r="H8" s="1">
        <v>100</v>
      </c>
      <c r="K8" s="84">
        <v>6650</v>
      </c>
      <c r="L8" s="84">
        <f t="shared" si="1"/>
        <v>6667</v>
      </c>
      <c r="M8" s="1">
        <f>K8*5/2</f>
        <v>16625</v>
      </c>
      <c r="O8" s="40" t="s">
        <v>570</v>
      </c>
      <c r="P8" s="11">
        <f t="shared" si="2"/>
        <v>2</v>
      </c>
      <c r="Q8" s="11">
        <f t="shared" si="3"/>
        <v>1005</v>
      </c>
      <c r="R8" s="41">
        <v>1</v>
      </c>
      <c r="S8" s="19">
        <f t="shared" si="4"/>
        <v>6.6666666666666679</v>
      </c>
      <c r="V8" s="10" t="str">
        <f>'抽奖|MoonBless'!DN8</f>
        <v>锁定</v>
      </c>
      <c r="W8" s="11">
        <f>'抽奖|MoonBless'!DO8*2</f>
        <v>0.2</v>
      </c>
      <c r="X8" s="11">
        <f>'抽奖|MoonBless'!DP8/AA8</f>
        <v>2</v>
      </c>
      <c r="Y8" s="11">
        <f>'抽奖|MoonBless'!DQ8</f>
        <v>2</v>
      </c>
      <c r="Z8" s="19">
        <f>'抽奖|MoonBless'!DR8</f>
        <v>1001</v>
      </c>
      <c r="AA8" s="110">
        <v>1</v>
      </c>
      <c r="AI8" s="1" t="s">
        <v>397</v>
      </c>
      <c r="AJ8" s="1">
        <v>2</v>
      </c>
      <c r="AK8" s="1">
        <v>2</v>
      </c>
      <c r="AL8" s="1">
        <v>1001</v>
      </c>
      <c r="AM8" s="1">
        <f t="shared" si="5"/>
        <v>0.2</v>
      </c>
    </row>
    <row r="9" spans="1:39" x14ac:dyDescent="0.25">
      <c r="A9" s="1">
        <v>5</v>
      </c>
      <c r="B9" s="1">
        <v>1</v>
      </c>
      <c r="C9" s="1" t="str">
        <f t="shared" ref="C9:C43" si="6">P9&amp;"|"&amp;Q9&amp;"|"&amp;R9</f>
        <v>2|1018|5</v>
      </c>
      <c r="D9" s="1">
        <v>1</v>
      </c>
      <c r="E9" s="1">
        <v>1</v>
      </c>
      <c r="F9" s="1" t="str">
        <f t="shared" si="0"/>
        <v>2|1204|16600</v>
      </c>
      <c r="G9" s="1">
        <v>0</v>
      </c>
      <c r="H9" s="1">
        <v>100</v>
      </c>
      <c r="K9" s="84">
        <v>16600</v>
      </c>
      <c r="L9" s="84">
        <f t="shared" si="1"/>
        <v>16667</v>
      </c>
      <c r="O9" s="40" t="s">
        <v>588</v>
      </c>
      <c r="P9" s="11">
        <f t="shared" si="2"/>
        <v>2</v>
      </c>
      <c r="Q9" s="11">
        <f t="shared" si="3"/>
        <v>1018</v>
      </c>
      <c r="R9" s="41">
        <v>5</v>
      </c>
      <c r="S9" s="19">
        <f t="shared" si="4"/>
        <v>16.666666666666668</v>
      </c>
      <c r="V9" s="10" t="str">
        <f>'抽奖|MoonBless'!DN9</f>
        <v>冰冻</v>
      </c>
      <c r="W9" s="11">
        <f>'抽奖|MoonBless'!DO9*2</f>
        <v>0.5</v>
      </c>
      <c r="X9" s="11">
        <f>'抽奖|MoonBless'!DP9</f>
        <v>5</v>
      </c>
      <c r="Y9" s="11">
        <f>'抽奖|MoonBless'!DQ9</f>
        <v>2</v>
      </c>
      <c r="Z9" s="19">
        <f>'抽奖|MoonBless'!DR9</f>
        <v>1002</v>
      </c>
      <c r="AA9" s="110">
        <v>1</v>
      </c>
      <c r="AI9" s="1" t="s">
        <v>398</v>
      </c>
      <c r="AJ9" s="1">
        <v>5</v>
      </c>
      <c r="AK9" s="1">
        <v>2</v>
      </c>
      <c r="AL9" s="1">
        <v>1002</v>
      </c>
      <c r="AM9" s="1">
        <f t="shared" si="5"/>
        <v>0.5</v>
      </c>
    </row>
    <row r="10" spans="1:39" x14ac:dyDescent="0.25">
      <c r="A10" s="1">
        <v>6</v>
      </c>
      <c r="B10" s="1">
        <v>1</v>
      </c>
      <c r="C10" s="1" t="str">
        <f t="shared" si="6"/>
        <v>2|1017|5</v>
      </c>
      <c r="D10" s="1">
        <v>1</v>
      </c>
      <c r="E10" s="1">
        <v>1</v>
      </c>
      <c r="F10" s="1" t="str">
        <f t="shared" si="0"/>
        <v>2|1204|8300</v>
      </c>
      <c r="G10" s="1">
        <v>0</v>
      </c>
      <c r="H10" s="1">
        <v>100</v>
      </c>
      <c r="K10" s="84">
        <v>8300</v>
      </c>
      <c r="L10" s="84">
        <f t="shared" si="1"/>
        <v>8333</v>
      </c>
      <c r="O10" s="40" t="s">
        <v>587</v>
      </c>
      <c r="P10" s="11">
        <f t="shared" si="2"/>
        <v>2</v>
      </c>
      <c r="Q10" s="11">
        <f t="shared" si="3"/>
        <v>1017</v>
      </c>
      <c r="R10" s="41">
        <v>5</v>
      </c>
      <c r="S10" s="19">
        <f t="shared" si="4"/>
        <v>8.3333333333333339</v>
      </c>
      <c r="V10" s="10" t="str">
        <f>'抽奖|MoonBless'!DN10</f>
        <v>狂暴</v>
      </c>
      <c r="W10" s="11">
        <f>'抽奖|MoonBless'!DO10*2</f>
        <v>1</v>
      </c>
      <c r="X10" s="41">
        <f>'抽奖|MoonBless'!DP10</f>
        <v>10</v>
      </c>
      <c r="Y10" s="11">
        <f>'抽奖|MoonBless'!DQ10</f>
        <v>2</v>
      </c>
      <c r="Z10" s="19">
        <f>'抽奖|MoonBless'!DR10</f>
        <v>1003</v>
      </c>
      <c r="AA10" s="110">
        <v>1</v>
      </c>
      <c r="AI10" s="1" t="s">
        <v>402</v>
      </c>
      <c r="AJ10" s="1">
        <v>20</v>
      </c>
      <c r="AK10" s="1">
        <v>2</v>
      </c>
      <c r="AL10" s="1">
        <v>1003</v>
      </c>
      <c r="AM10" s="1">
        <f t="shared" si="5"/>
        <v>2</v>
      </c>
    </row>
    <row r="11" spans="1:39" x14ac:dyDescent="0.25">
      <c r="A11" s="1">
        <v>7</v>
      </c>
      <c r="B11" s="1">
        <v>1</v>
      </c>
      <c r="C11" s="1" t="str">
        <f t="shared" si="6"/>
        <v>2|1016|5</v>
      </c>
      <c r="D11" s="1">
        <v>1</v>
      </c>
      <c r="E11" s="1">
        <v>1</v>
      </c>
      <c r="F11" s="1" t="str">
        <f t="shared" si="0"/>
        <v>2|1204|3350</v>
      </c>
      <c r="G11" s="1">
        <v>0</v>
      </c>
      <c r="H11" s="1">
        <v>100</v>
      </c>
      <c r="K11" s="84">
        <v>3350</v>
      </c>
      <c r="L11" s="84">
        <f t="shared" si="1"/>
        <v>3333</v>
      </c>
      <c r="O11" s="40" t="s">
        <v>586</v>
      </c>
      <c r="P11" s="11">
        <f t="shared" si="2"/>
        <v>2</v>
      </c>
      <c r="Q11" s="11">
        <f t="shared" si="3"/>
        <v>1016</v>
      </c>
      <c r="R11" s="41">
        <v>5</v>
      </c>
      <c r="S11" s="19">
        <f t="shared" si="4"/>
        <v>3.3333333333333339</v>
      </c>
      <c r="V11" s="10" t="str">
        <f>'抽奖|MoonBless'!DN11</f>
        <v>召唤</v>
      </c>
      <c r="W11" s="11">
        <f>'抽奖|MoonBless'!DO11*2</f>
        <v>0.2</v>
      </c>
      <c r="X11" s="11">
        <f>'抽奖|MoonBless'!DP11</f>
        <v>2</v>
      </c>
      <c r="Y11" s="11">
        <f>'抽奖|MoonBless'!DQ11</f>
        <v>2</v>
      </c>
      <c r="Z11" s="19">
        <f>'抽奖|MoonBless'!DR11</f>
        <v>1004</v>
      </c>
      <c r="AA11" s="110">
        <v>1</v>
      </c>
      <c r="AI11" s="1" t="s">
        <v>401</v>
      </c>
      <c r="AJ11" s="1">
        <v>2</v>
      </c>
      <c r="AK11" s="1">
        <v>2</v>
      </c>
      <c r="AL11" s="1">
        <v>1004</v>
      </c>
      <c r="AM11" s="1">
        <f t="shared" si="5"/>
        <v>0.2</v>
      </c>
    </row>
    <row r="12" spans="1:39" x14ac:dyDescent="0.25">
      <c r="A12" s="1">
        <v>8</v>
      </c>
      <c r="B12" s="1">
        <v>1</v>
      </c>
      <c r="C12" s="1" t="str">
        <f t="shared" si="6"/>
        <v>2|1015|5</v>
      </c>
      <c r="D12" s="1">
        <v>1</v>
      </c>
      <c r="E12" s="1">
        <v>1</v>
      </c>
      <c r="F12" s="1" t="str">
        <f t="shared" si="0"/>
        <v>2|1204|1700</v>
      </c>
      <c r="G12" s="1">
        <v>0</v>
      </c>
      <c r="H12" s="1">
        <v>100</v>
      </c>
      <c r="K12" s="84">
        <v>1700</v>
      </c>
      <c r="L12" s="84">
        <f t="shared" si="1"/>
        <v>1667</v>
      </c>
      <c r="O12" s="40" t="s">
        <v>585</v>
      </c>
      <c r="P12" s="14">
        <f t="shared" si="2"/>
        <v>2</v>
      </c>
      <c r="Q12" s="14">
        <f t="shared" si="3"/>
        <v>1015</v>
      </c>
      <c r="R12" s="45">
        <v>5</v>
      </c>
      <c r="S12" s="21">
        <f t="shared" si="4"/>
        <v>1.666666666666667</v>
      </c>
      <c r="V12" s="10" t="str">
        <f>'抽奖|MoonBless'!DN12</f>
        <v>福卡</v>
      </c>
      <c r="W12" s="11">
        <f>W5/1000</f>
        <v>1E-3</v>
      </c>
      <c r="X12" s="11">
        <f>X5/1000</f>
        <v>0.02</v>
      </c>
      <c r="Y12" s="11">
        <f>'抽奖|MoonBless'!DQ12</f>
        <v>2</v>
      </c>
      <c r="Z12" s="19">
        <f>'抽奖|MoonBless'!DR12</f>
        <v>1204</v>
      </c>
      <c r="AA12" s="110">
        <v>1</v>
      </c>
      <c r="AI12" s="1" t="s">
        <v>364</v>
      </c>
      <c r="AJ12" s="1">
        <f>1000*AJ7</f>
        <v>2</v>
      </c>
      <c r="AK12" s="1">
        <v>2</v>
      </c>
      <c r="AL12" s="1">
        <v>1204</v>
      </c>
      <c r="AM12" s="1">
        <f t="shared" si="5"/>
        <v>0.2</v>
      </c>
    </row>
    <row r="13" spans="1:39" x14ac:dyDescent="0.25">
      <c r="A13" s="1">
        <v>9</v>
      </c>
      <c r="B13" s="1">
        <v>1</v>
      </c>
      <c r="C13" s="1" t="str">
        <f t="shared" si="6"/>
        <v>2|1210|1</v>
      </c>
      <c r="D13" s="1">
        <v>1</v>
      </c>
      <c r="E13" s="1">
        <v>2</v>
      </c>
      <c r="F13" s="1" t="str">
        <f t="shared" si="0"/>
        <v>2|1204|49800</v>
      </c>
      <c r="G13" s="1">
        <v>0</v>
      </c>
      <c r="H13" s="1">
        <v>1</v>
      </c>
      <c r="K13" s="59">
        <v>49800</v>
      </c>
      <c r="L13" s="84">
        <f t="shared" si="1"/>
        <v>50000</v>
      </c>
      <c r="O13" s="40" t="s">
        <v>575</v>
      </c>
      <c r="P13" s="11">
        <f t="shared" si="2"/>
        <v>2</v>
      </c>
      <c r="Q13" s="11">
        <f t="shared" si="3"/>
        <v>1210</v>
      </c>
      <c r="R13" s="41">
        <v>1</v>
      </c>
      <c r="S13" s="19">
        <f t="shared" si="4"/>
        <v>50</v>
      </c>
      <c r="V13" s="10" t="str">
        <f>'抽奖|MoonBless'!DN13</f>
        <v>超级武器1</v>
      </c>
      <c r="W13" s="11">
        <f>W7*1000000</f>
        <v>6.6666666666666679</v>
      </c>
      <c r="X13" s="11">
        <f>W13*10</f>
        <v>66.666666666666686</v>
      </c>
      <c r="Y13" s="11">
        <f>'抽奖|MoonBless'!DQ13</f>
        <v>2</v>
      </c>
      <c r="Z13" s="19">
        <f>'抽奖|MoonBless'!DR13</f>
        <v>1005</v>
      </c>
      <c r="AA13" s="110">
        <v>1</v>
      </c>
    </row>
    <row r="14" spans="1:39" x14ac:dyDescent="0.25">
      <c r="A14" s="1">
        <v>10</v>
      </c>
      <c r="B14" s="1">
        <v>1</v>
      </c>
      <c r="C14" s="1" t="str">
        <f t="shared" si="6"/>
        <v>2|1209|1</v>
      </c>
      <c r="D14" s="1">
        <v>1</v>
      </c>
      <c r="E14" s="1">
        <v>2</v>
      </c>
      <c r="F14" s="1" t="str">
        <f t="shared" si="0"/>
        <v>2|1204|30000</v>
      </c>
      <c r="G14" s="1">
        <v>0</v>
      </c>
      <c r="H14" s="1">
        <v>2</v>
      </c>
      <c r="K14" s="59">
        <v>30000</v>
      </c>
      <c r="L14" s="84">
        <f t="shared" si="1"/>
        <v>30000</v>
      </c>
      <c r="O14" s="40" t="s">
        <v>574</v>
      </c>
      <c r="P14" s="11">
        <f t="shared" si="2"/>
        <v>2</v>
      </c>
      <c r="Q14" s="11">
        <f t="shared" si="3"/>
        <v>1209</v>
      </c>
      <c r="R14" s="41">
        <v>1</v>
      </c>
      <c r="S14" s="19">
        <f t="shared" si="4"/>
        <v>30</v>
      </c>
      <c r="V14" s="10" t="str">
        <f>'抽奖|MoonBless'!DN14</f>
        <v>超级武器2</v>
      </c>
      <c r="W14" s="11">
        <f>W7*2000000</f>
        <v>13.333333333333336</v>
      </c>
      <c r="X14" s="11">
        <f t="shared" ref="X14:X16" si="7">W14*10</f>
        <v>133.33333333333337</v>
      </c>
      <c r="Y14" s="11">
        <f>'抽奖|MoonBless'!DQ14</f>
        <v>2</v>
      </c>
      <c r="Z14" s="19">
        <f>'抽奖|MoonBless'!DR14</f>
        <v>1006</v>
      </c>
      <c r="AA14" s="110">
        <v>1</v>
      </c>
    </row>
    <row r="15" spans="1:39" x14ac:dyDescent="0.25">
      <c r="A15" s="1">
        <v>11</v>
      </c>
      <c r="B15" s="1">
        <v>1</v>
      </c>
      <c r="C15" s="1" t="str">
        <f t="shared" si="6"/>
        <v>2|1007|1</v>
      </c>
      <c r="D15" s="1">
        <v>1</v>
      </c>
      <c r="E15" s="1">
        <v>2</v>
      </c>
      <c r="F15" s="1" t="str">
        <f t="shared" si="0"/>
        <v>2|1204|33000</v>
      </c>
      <c r="G15" s="1">
        <v>0</v>
      </c>
      <c r="H15" s="1">
        <v>100</v>
      </c>
      <c r="K15" s="59">
        <v>33000</v>
      </c>
      <c r="L15" s="84">
        <f t="shared" si="1"/>
        <v>33333</v>
      </c>
      <c r="O15" s="40" t="s">
        <v>374</v>
      </c>
      <c r="P15" s="11">
        <f t="shared" si="2"/>
        <v>2</v>
      </c>
      <c r="Q15" s="11">
        <f t="shared" si="3"/>
        <v>1007</v>
      </c>
      <c r="R15" s="41">
        <v>1</v>
      </c>
      <c r="S15" s="19">
        <f t="shared" si="4"/>
        <v>33.333333333333336</v>
      </c>
      <c r="V15" s="10" t="str">
        <f>'抽奖|MoonBless'!DN15</f>
        <v>超级武器3</v>
      </c>
      <c r="W15" s="11">
        <f>W7*5000000</f>
        <v>33.333333333333336</v>
      </c>
      <c r="X15" s="11">
        <f t="shared" si="7"/>
        <v>333.33333333333337</v>
      </c>
      <c r="Y15" s="11">
        <f>'抽奖|MoonBless'!DQ15</f>
        <v>2</v>
      </c>
      <c r="Z15" s="19">
        <f>'抽奖|MoonBless'!DR15</f>
        <v>1007</v>
      </c>
      <c r="AA15" s="110">
        <v>1</v>
      </c>
    </row>
    <row r="16" spans="1:39" x14ac:dyDescent="0.25">
      <c r="A16" s="1">
        <v>12</v>
      </c>
      <c r="B16" s="1">
        <v>1</v>
      </c>
      <c r="C16" s="1" t="str">
        <f t="shared" si="6"/>
        <v>1|1|100</v>
      </c>
      <c r="D16" s="1">
        <v>1</v>
      </c>
      <c r="E16" s="1">
        <v>2</v>
      </c>
      <c r="F16" s="1" t="str">
        <f t="shared" si="0"/>
        <v>2|1204|10000</v>
      </c>
      <c r="G16" s="1">
        <v>0</v>
      </c>
      <c r="H16" s="1">
        <v>100</v>
      </c>
      <c r="K16" s="84">
        <f t="shared" ref="K16:K20" si="8">L16</f>
        <v>10000</v>
      </c>
      <c r="L16" s="84">
        <f t="shared" si="1"/>
        <v>10000</v>
      </c>
      <c r="M16" s="1">
        <f>K16*5/2</f>
        <v>25000</v>
      </c>
      <c r="O16" s="40" t="s">
        <v>360</v>
      </c>
      <c r="P16" s="11">
        <f t="shared" si="2"/>
        <v>1</v>
      </c>
      <c r="Q16" s="11">
        <f t="shared" si="3"/>
        <v>1</v>
      </c>
      <c r="R16" s="41">
        <v>100</v>
      </c>
      <c r="S16" s="19">
        <f t="shared" si="4"/>
        <v>10</v>
      </c>
      <c r="V16" s="10" t="str">
        <f>'抽奖|MoonBless'!DN16</f>
        <v>超级武器4</v>
      </c>
      <c r="W16" s="11">
        <f>W7*10000000</f>
        <v>66.666666666666671</v>
      </c>
      <c r="X16" s="11">
        <f t="shared" si="7"/>
        <v>666.66666666666674</v>
      </c>
      <c r="Y16" s="11">
        <f>'抽奖|MoonBless'!DQ16</f>
        <v>2</v>
      </c>
      <c r="Z16" s="19">
        <f>'抽奖|MoonBless'!DR16</f>
        <v>1008</v>
      </c>
      <c r="AA16" s="110">
        <v>1</v>
      </c>
    </row>
    <row r="17" spans="1:39" x14ac:dyDescent="0.25">
      <c r="A17" s="1">
        <v>13</v>
      </c>
      <c r="B17" s="1">
        <v>1</v>
      </c>
      <c r="C17" s="1" t="str">
        <f t="shared" si="6"/>
        <v>2|1003|20</v>
      </c>
      <c r="D17" s="1">
        <v>1</v>
      </c>
      <c r="E17" s="1">
        <v>2</v>
      </c>
      <c r="F17" s="1" t="str">
        <f t="shared" si="0"/>
        <v>2|1204|20000</v>
      </c>
      <c r="G17" s="1">
        <v>0</v>
      </c>
      <c r="H17" s="1">
        <v>100</v>
      </c>
      <c r="K17" s="84">
        <f t="shared" si="8"/>
        <v>20000</v>
      </c>
      <c r="L17" s="84">
        <f t="shared" si="1"/>
        <v>20000</v>
      </c>
      <c r="O17" s="40" t="s">
        <v>402</v>
      </c>
      <c r="P17" s="11">
        <f t="shared" si="2"/>
        <v>2</v>
      </c>
      <c r="Q17" s="11">
        <f t="shared" si="3"/>
        <v>1003</v>
      </c>
      <c r="R17" s="41">
        <v>20</v>
      </c>
      <c r="S17" s="19">
        <f t="shared" si="4"/>
        <v>20</v>
      </c>
      <c r="V17" s="10" t="str">
        <f>'抽奖|MoonBless'!DN17</f>
        <v>5元话费卡</v>
      </c>
      <c r="W17" s="11">
        <f>'抽奖|MoonBless'!DO17</f>
        <v>5</v>
      </c>
      <c r="X17" s="11">
        <f>'抽奖|MoonBless'!DP17</f>
        <v>100</v>
      </c>
      <c r="Y17" s="11">
        <f>'抽奖|MoonBless'!DQ17</f>
        <v>2</v>
      </c>
      <c r="Z17" s="19">
        <f>'抽奖|MoonBless'!DR17</f>
        <v>1206</v>
      </c>
      <c r="AA17" s="110">
        <v>1</v>
      </c>
    </row>
    <row r="18" spans="1:39" x14ac:dyDescent="0.25">
      <c r="A18" s="1">
        <v>14</v>
      </c>
      <c r="B18" s="1">
        <v>1</v>
      </c>
      <c r="C18" s="1" t="str">
        <f t="shared" si="6"/>
        <v>2|1003|10</v>
      </c>
      <c r="D18" s="1">
        <v>1</v>
      </c>
      <c r="E18" s="1">
        <v>2</v>
      </c>
      <c r="F18" s="1" t="str">
        <f t="shared" si="0"/>
        <v>2|1204|10000</v>
      </c>
      <c r="G18" s="1">
        <v>0</v>
      </c>
      <c r="H18" s="1">
        <v>100</v>
      </c>
      <c r="K18" s="84">
        <f t="shared" si="8"/>
        <v>10000</v>
      </c>
      <c r="L18" s="84">
        <f t="shared" si="1"/>
        <v>10000</v>
      </c>
      <c r="O18" s="40" t="s">
        <v>402</v>
      </c>
      <c r="P18" s="11">
        <f t="shared" si="2"/>
        <v>2</v>
      </c>
      <c r="Q18" s="11">
        <f t="shared" si="3"/>
        <v>1003</v>
      </c>
      <c r="R18" s="41">
        <v>10</v>
      </c>
      <c r="S18" s="19">
        <f t="shared" si="4"/>
        <v>10</v>
      </c>
      <c r="V18" s="10" t="str">
        <f>'抽奖|MoonBless'!DN18</f>
        <v>2元话费卡</v>
      </c>
      <c r="W18" s="11">
        <f>'抽奖|MoonBless'!DO18</f>
        <v>2</v>
      </c>
      <c r="X18" s="11">
        <f>'抽奖|MoonBless'!DP18</f>
        <v>40</v>
      </c>
      <c r="Y18" s="11">
        <f>'抽奖|MoonBless'!DQ18</f>
        <v>2</v>
      </c>
      <c r="Z18" s="19">
        <f>'抽奖|MoonBless'!DR18</f>
        <v>1205</v>
      </c>
      <c r="AA18" s="110">
        <v>1</v>
      </c>
    </row>
    <row r="19" spans="1:39" x14ac:dyDescent="0.25">
      <c r="A19" s="1">
        <v>15</v>
      </c>
      <c r="B19" s="1">
        <v>1</v>
      </c>
      <c r="C19" s="1" t="str">
        <f t="shared" si="6"/>
        <v>1|2|3000000</v>
      </c>
      <c r="D19" s="1">
        <v>1</v>
      </c>
      <c r="E19" s="1">
        <v>2</v>
      </c>
      <c r="F19" s="1" t="str">
        <f t="shared" si="0"/>
        <v>2|1204|20000</v>
      </c>
      <c r="G19" s="1">
        <v>0</v>
      </c>
      <c r="H19" s="1">
        <v>100</v>
      </c>
      <c r="K19" s="84">
        <f t="shared" si="8"/>
        <v>20000</v>
      </c>
      <c r="L19" s="84">
        <f t="shared" si="1"/>
        <v>20000</v>
      </c>
      <c r="O19" s="40" t="s">
        <v>375</v>
      </c>
      <c r="P19" s="11">
        <f t="shared" si="2"/>
        <v>1</v>
      </c>
      <c r="Q19" s="11">
        <f t="shared" si="3"/>
        <v>2</v>
      </c>
      <c r="R19" s="41">
        <v>3000000</v>
      </c>
      <c r="S19" s="19">
        <f t="shared" si="4"/>
        <v>20.000000000000004</v>
      </c>
      <c r="V19" s="13" t="str">
        <f>'抽奖|MoonBless'!DN19</f>
        <v>高压锅</v>
      </c>
      <c r="W19" s="14">
        <f>'抽奖|MoonBless'!DO19</f>
        <v>200</v>
      </c>
      <c r="X19" s="14">
        <f>'抽奖|MoonBless'!DP19</f>
        <v>4000</v>
      </c>
      <c r="Y19" s="14">
        <f>'抽奖|MoonBless'!DQ19</f>
        <v>2</v>
      </c>
      <c r="Z19" s="21">
        <f>'抽奖|MoonBless'!DR19</f>
        <v>1208</v>
      </c>
      <c r="AA19" s="110">
        <v>1</v>
      </c>
    </row>
    <row r="20" spans="1:39" x14ac:dyDescent="0.25">
      <c r="A20" s="1">
        <v>16</v>
      </c>
      <c r="B20" s="1">
        <v>1</v>
      </c>
      <c r="C20" s="1" t="str">
        <f t="shared" si="6"/>
        <v>1|2|1500000</v>
      </c>
      <c r="D20" s="1">
        <v>1</v>
      </c>
      <c r="E20" s="1">
        <v>2</v>
      </c>
      <c r="F20" s="1" t="str">
        <f t="shared" si="0"/>
        <v>2|1204|10000</v>
      </c>
      <c r="G20" s="1">
        <v>0</v>
      </c>
      <c r="H20" s="1">
        <v>100</v>
      </c>
      <c r="K20" s="84">
        <f t="shared" si="8"/>
        <v>10000</v>
      </c>
      <c r="L20" s="84">
        <f t="shared" si="1"/>
        <v>10000</v>
      </c>
      <c r="O20" s="102" t="s">
        <v>375</v>
      </c>
      <c r="P20" s="14">
        <f t="shared" si="2"/>
        <v>1</v>
      </c>
      <c r="Q20" s="14">
        <f t="shared" si="3"/>
        <v>2</v>
      </c>
      <c r="R20" s="45">
        <v>1500000</v>
      </c>
      <c r="S20" s="21">
        <f t="shared" si="4"/>
        <v>10.000000000000002</v>
      </c>
      <c r="V20" s="1" t="str">
        <f>'抽奖|MoonBless'!DN20</f>
        <v>30元话费卡</v>
      </c>
      <c r="W20" s="1">
        <f>'抽奖|MoonBless'!DO20</f>
        <v>30</v>
      </c>
      <c r="X20" s="1">
        <f>'抽奖|MoonBless'!DP20</f>
        <v>600</v>
      </c>
      <c r="Y20" s="1">
        <f>'抽奖|MoonBless'!DQ20</f>
        <v>2</v>
      </c>
      <c r="Z20" s="1">
        <f>'抽奖|MoonBless'!DR20</f>
        <v>1209</v>
      </c>
      <c r="AA20" s="110">
        <v>1</v>
      </c>
    </row>
    <row r="21" spans="1:39" x14ac:dyDescent="0.25">
      <c r="A21" s="1">
        <v>17</v>
      </c>
      <c r="B21" s="1">
        <v>2</v>
      </c>
      <c r="C21" s="1" t="str">
        <f t="shared" si="6"/>
        <v>2|1008|1</v>
      </c>
      <c r="D21" s="1">
        <v>1</v>
      </c>
      <c r="E21" s="1">
        <v>3</v>
      </c>
      <c r="F21" s="1" t="str">
        <f t="shared" si="0"/>
        <v>2|1204|66000</v>
      </c>
      <c r="G21" s="1">
        <v>0</v>
      </c>
      <c r="H21" s="1">
        <v>100</v>
      </c>
      <c r="K21" s="59">
        <v>66000</v>
      </c>
      <c r="L21" s="84">
        <f t="shared" si="1"/>
        <v>66667</v>
      </c>
      <c r="O21" s="40" t="s">
        <v>361</v>
      </c>
      <c r="P21" s="11">
        <f t="shared" si="2"/>
        <v>2</v>
      </c>
      <c r="Q21" s="11">
        <f t="shared" si="3"/>
        <v>1008</v>
      </c>
      <c r="R21" s="41">
        <v>1</v>
      </c>
      <c r="S21" s="19">
        <f t="shared" si="4"/>
        <v>66.666666666666671</v>
      </c>
      <c r="V21" s="1" t="str">
        <f>'抽奖|MoonBless'!DN21</f>
        <v>50元话费卡</v>
      </c>
      <c r="W21" s="1">
        <f>'抽奖|MoonBless'!DO21</f>
        <v>50</v>
      </c>
      <c r="X21" s="1">
        <f>'抽奖|MoonBless'!DP21</f>
        <v>1000</v>
      </c>
      <c r="Y21" s="1">
        <f>'抽奖|MoonBless'!DQ21</f>
        <v>2</v>
      </c>
      <c r="Z21" s="1">
        <f>'抽奖|MoonBless'!DR21</f>
        <v>1210</v>
      </c>
      <c r="AA21" s="110">
        <v>1</v>
      </c>
      <c r="AI21" s="1" t="s">
        <v>570</v>
      </c>
      <c r="AJ21" s="1">
        <f>AJ7*75000</f>
        <v>150</v>
      </c>
      <c r="AK21" s="1">
        <v>2</v>
      </c>
      <c r="AL21" s="1">
        <v>1005</v>
      </c>
      <c r="AM21" s="1">
        <f t="shared" si="5"/>
        <v>15</v>
      </c>
    </row>
    <row r="22" spans="1:39" x14ac:dyDescent="0.25">
      <c r="A22" s="1">
        <v>18</v>
      </c>
      <c r="B22" s="1">
        <v>2</v>
      </c>
      <c r="C22" s="1" t="str">
        <f t="shared" si="6"/>
        <v>2|1007|1</v>
      </c>
      <c r="D22" s="1">
        <v>1</v>
      </c>
      <c r="E22" s="1">
        <v>3</v>
      </c>
      <c r="F22" s="1" t="str">
        <f t="shared" si="0"/>
        <v>2|1204|33000</v>
      </c>
      <c r="G22" s="1">
        <v>0</v>
      </c>
      <c r="H22" s="1">
        <v>100</v>
      </c>
      <c r="K22" s="59">
        <v>33000</v>
      </c>
      <c r="L22" s="84">
        <f t="shared" si="1"/>
        <v>33333</v>
      </c>
      <c r="O22" s="40" t="s">
        <v>374</v>
      </c>
      <c r="P22" s="11">
        <f t="shared" si="2"/>
        <v>2</v>
      </c>
      <c r="Q22" s="11">
        <f t="shared" si="3"/>
        <v>1007</v>
      </c>
      <c r="R22" s="41">
        <v>1</v>
      </c>
      <c r="S22" s="19">
        <f t="shared" si="4"/>
        <v>33.333333333333336</v>
      </c>
      <c r="V22" s="1" t="str">
        <f>'抽奖|MoonBless'!DN22</f>
        <v>活跃度</v>
      </c>
      <c r="W22" s="1">
        <f>'抽奖|MoonBless'!DO22</f>
        <v>1</v>
      </c>
      <c r="X22" s="1">
        <f>'抽奖|MoonBless'!DP22</f>
        <v>20</v>
      </c>
      <c r="Y22" s="1">
        <f>'抽奖|MoonBless'!DQ22</f>
        <v>1</v>
      </c>
      <c r="Z22" s="1">
        <f>'抽奖|MoonBless'!DR22</f>
        <v>6</v>
      </c>
      <c r="AA22" s="110">
        <v>1</v>
      </c>
      <c r="AI22" s="1" t="s">
        <v>363</v>
      </c>
      <c r="AJ22" s="1">
        <f>AJ7*125000</f>
        <v>250</v>
      </c>
      <c r="AK22" s="1">
        <v>2</v>
      </c>
      <c r="AL22" s="1">
        <v>1006</v>
      </c>
      <c r="AM22" s="1">
        <f t="shared" si="5"/>
        <v>25</v>
      </c>
    </row>
    <row r="23" spans="1:39" x14ac:dyDescent="0.25">
      <c r="A23" s="1">
        <v>19</v>
      </c>
      <c r="B23" s="1">
        <v>2</v>
      </c>
      <c r="C23" s="1" t="str">
        <f t="shared" si="6"/>
        <v>2|1006|1</v>
      </c>
      <c r="D23" s="1">
        <v>1</v>
      </c>
      <c r="E23" s="1">
        <v>3</v>
      </c>
      <c r="F23" s="1" t="str">
        <f t="shared" si="0"/>
        <v>2|1204|13300</v>
      </c>
      <c r="G23" s="1">
        <v>0</v>
      </c>
      <c r="H23" s="1">
        <v>100</v>
      </c>
      <c r="K23" s="59">
        <v>13300</v>
      </c>
      <c r="L23" s="84">
        <f t="shared" si="1"/>
        <v>13333</v>
      </c>
      <c r="O23" s="40" t="s">
        <v>363</v>
      </c>
      <c r="P23" s="11">
        <f t="shared" si="2"/>
        <v>2</v>
      </c>
      <c r="Q23" s="11">
        <f t="shared" si="3"/>
        <v>1006</v>
      </c>
      <c r="R23" s="41">
        <v>1</v>
      </c>
      <c r="S23" s="19">
        <f t="shared" si="4"/>
        <v>13.333333333333336</v>
      </c>
      <c r="V23" s="1" t="str">
        <f>'抽奖|MoonBless'!DN23</f>
        <v>红包【恭】</v>
      </c>
      <c r="W23" s="1">
        <f>'抽奖|MoonBless'!DO23</f>
        <v>1</v>
      </c>
      <c r="X23" s="1">
        <f>'抽奖|MoonBless'!DP23</f>
        <v>20</v>
      </c>
      <c r="Y23" s="1">
        <f>'抽奖|MoonBless'!DQ23</f>
        <v>2</v>
      </c>
      <c r="Z23" s="1">
        <f>'抽奖|MoonBless'!DR23</f>
        <v>1301</v>
      </c>
      <c r="AA23" s="110">
        <v>1</v>
      </c>
      <c r="AI23" s="1" t="s">
        <v>374</v>
      </c>
      <c r="AJ23" s="1">
        <f>AJ7*250000</f>
        <v>500</v>
      </c>
      <c r="AK23" s="1">
        <v>2</v>
      </c>
      <c r="AL23" s="1">
        <v>1007</v>
      </c>
      <c r="AM23" s="1">
        <f t="shared" si="5"/>
        <v>50</v>
      </c>
    </row>
    <row r="24" spans="1:39" x14ac:dyDescent="0.25">
      <c r="A24" s="1">
        <v>20</v>
      </c>
      <c r="B24" s="1">
        <v>2</v>
      </c>
      <c r="C24" s="1" t="str">
        <f t="shared" si="6"/>
        <v>2|1005|1</v>
      </c>
      <c r="D24" s="1">
        <v>1</v>
      </c>
      <c r="E24" s="1">
        <v>3</v>
      </c>
      <c r="F24" s="1" t="str">
        <f t="shared" si="0"/>
        <v>2|1204|6650</v>
      </c>
      <c r="G24" s="1">
        <v>0</v>
      </c>
      <c r="H24" s="1">
        <v>100</v>
      </c>
      <c r="K24" s="84">
        <v>6650</v>
      </c>
      <c r="L24" s="84">
        <f t="shared" si="1"/>
        <v>6667</v>
      </c>
      <c r="O24" s="40" t="s">
        <v>570</v>
      </c>
      <c r="P24" s="11">
        <f t="shared" si="2"/>
        <v>2</v>
      </c>
      <c r="Q24" s="11">
        <f t="shared" si="3"/>
        <v>1005</v>
      </c>
      <c r="R24" s="41">
        <v>1</v>
      </c>
      <c r="S24" s="19">
        <f t="shared" si="4"/>
        <v>6.6666666666666679</v>
      </c>
      <c r="V24" s="1" t="str">
        <f>'抽奖|MoonBless'!DN24</f>
        <v>红包【喜】</v>
      </c>
      <c r="W24" s="1">
        <f>'抽奖|MoonBless'!DO24</f>
        <v>1</v>
      </c>
      <c r="X24" s="1">
        <f>'抽奖|MoonBless'!DP24</f>
        <v>20</v>
      </c>
      <c r="Y24" s="1">
        <f>'抽奖|MoonBless'!DQ24</f>
        <v>2</v>
      </c>
      <c r="Z24" s="1">
        <f>'抽奖|MoonBless'!DR24</f>
        <v>1302</v>
      </c>
      <c r="AA24" s="110">
        <v>1</v>
      </c>
      <c r="AI24" s="1" t="s">
        <v>361</v>
      </c>
      <c r="AJ24" s="1">
        <f>AJ7*500000</f>
        <v>1000</v>
      </c>
      <c r="AK24" s="1">
        <v>2</v>
      </c>
      <c r="AL24" s="1">
        <v>1008</v>
      </c>
      <c r="AM24" s="1">
        <f t="shared" si="5"/>
        <v>100</v>
      </c>
    </row>
    <row r="25" spans="1:39" x14ac:dyDescent="0.25">
      <c r="A25" s="1">
        <v>21</v>
      </c>
      <c r="B25" s="1">
        <v>2</v>
      </c>
      <c r="C25" s="1" t="str">
        <f t="shared" si="6"/>
        <v>2|1018|5</v>
      </c>
      <c r="D25" s="1">
        <v>1</v>
      </c>
      <c r="E25" s="1">
        <v>3</v>
      </c>
      <c r="F25" s="1" t="str">
        <f t="shared" si="0"/>
        <v>2|1204|16600</v>
      </c>
      <c r="G25" s="1">
        <v>0</v>
      </c>
      <c r="H25" s="1">
        <v>100</v>
      </c>
      <c r="K25" s="84">
        <v>16600</v>
      </c>
      <c r="L25" s="84">
        <f t="shared" si="1"/>
        <v>16667</v>
      </c>
      <c r="O25" s="40" t="s">
        <v>588</v>
      </c>
      <c r="P25" s="11">
        <f t="shared" si="2"/>
        <v>2</v>
      </c>
      <c r="Q25" s="11">
        <f t="shared" si="3"/>
        <v>1018</v>
      </c>
      <c r="R25" s="41">
        <v>5</v>
      </c>
      <c r="S25" s="19">
        <f t="shared" si="4"/>
        <v>16.666666666666668</v>
      </c>
      <c r="V25" s="1" t="str">
        <f>'抽奖|MoonBless'!DN25</f>
        <v>红包【发】</v>
      </c>
      <c r="W25" s="1">
        <f>'抽奖|MoonBless'!DO25</f>
        <v>1</v>
      </c>
      <c r="X25" s="1">
        <f>'抽奖|MoonBless'!DP25</f>
        <v>20</v>
      </c>
      <c r="Y25" s="1">
        <f>'抽奖|MoonBless'!DQ25</f>
        <v>2</v>
      </c>
      <c r="Z25" s="1">
        <f>'抽奖|MoonBless'!DR25</f>
        <v>1303</v>
      </c>
      <c r="AA25" s="110">
        <v>1</v>
      </c>
    </row>
    <row r="26" spans="1:39" x14ac:dyDescent="0.25">
      <c r="A26" s="1">
        <v>22</v>
      </c>
      <c r="B26" s="1">
        <v>2</v>
      </c>
      <c r="C26" s="1" t="str">
        <f t="shared" si="6"/>
        <v>2|1017|5</v>
      </c>
      <c r="D26" s="1">
        <v>1</v>
      </c>
      <c r="E26" s="1">
        <v>3</v>
      </c>
      <c r="F26" s="1" t="str">
        <f t="shared" si="0"/>
        <v>2|1204|8300</v>
      </c>
      <c r="G26" s="1">
        <v>0</v>
      </c>
      <c r="H26" s="1">
        <v>100</v>
      </c>
      <c r="K26" s="84">
        <v>8300</v>
      </c>
      <c r="L26" s="84">
        <f t="shared" si="1"/>
        <v>8333</v>
      </c>
      <c r="O26" s="40" t="s">
        <v>587</v>
      </c>
      <c r="P26" s="11">
        <f t="shared" si="2"/>
        <v>2</v>
      </c>
      <c r="Q26" s="11">
        <f t="shared" si="3"/>
        <v>1017</v>
      </c>
      <c r="R26" s="41">
        <v>5</v>
      </c>
      <c r="S26" s="19">
        <f t="shared" si="4"/>
        <v>8.3333333333333339</v>
      </c>
      <c r="V26" s="1" t="str">
        <f>'抽奖|MoonBless'!DN26</f>
        <v>红包【财】</v>
      </c>
      <c r="W26" s="1">
        <f>'抽奖|MoonBless'!DO26</f>
        <v>1</v>
      </c>
      <c r="X26" s="1">
        <f>'抽奖|MoonBless'!DP26</f>
        <v>20</v>
      </c>
      <c r="Y26" s="1">
        <f>'抽奖|MoonBless'!DQ26</f>
        <v>2</v>
      </c>
      <c r="Z26" s="1">
        <f>'抽奖|MoonBless'!DR26</f>
        <v>1304</v>
      </c>
      <c r="AA26" s="110">
        <v>1</v>
      </c>
    </row>
    <row r="27" spans="1:39" x14ac:dyDescent="0.25">
      <c r="A27" s="1">
        <v>23</v>
      </c>
      <c r="B27" s="1">
        <v>2</v>
      </c>
      <c r="C27" s="1" t="str">
        <f t="shared" si="6"/>
        <v>2|1016|5</v>
      </c>
      <c r="D27" s="1">
        <v>1</v>
      </c>
      <c r="E27" s="1">
        <v>3</v>
      </c>
      <c r="F27" s="1" t="str">
        <f t="shared" si="0"/>
        <v>2|1204|3350</v>
      </c>
      <c r="G27" s="1">
        <v>0</v>
      </c>
      <c r="H27" s="1">
        <v>100</v>
      </c>
      <c r="K27" s="84">
        <v>3350</v>
      </c>
      <c r="L27" s="84">
        <f t="shared" si="1"/>
        <v>3333</v>
      </c>
      <c r="O27" s="40" t="s">
        <v>586</v>
      </c>
      <c r="P27" s="11">
        <f t="shared" si="2"/>
        <v>2</v>
      </c>
      <c r="Q27" s="11">
        <f t="shared" si="3"/>
        <v>1016</v>
      </c>
      <c r="R27" s="41">
        <v>5</v>
      </c>
      <c r="S27" s="19">
        <f t="shared" si="4"/>
        <v>3.3333333333333339</v>
      </c>
      <c r="V27" s="1" t="str">
        <f>'抽奖|MoonBless'!DN27</f>
        <v>双轮</v>
      </c>
      <c r="W27" s="1">
        <f>'抽奖|MoonBless'!DO27</f>
        <v>30</v>
      </c>
      <c r="X27" s="1">
        <f>'抽奖|MoonBless'!DP27</f>
        <v>600</v>
      </c>
      <c r="Y27" s="1">
        <f>'抽奖|MoonBless'!DQ27</f>
        <v>2</v>
      </c>
      <c r="Z27" s="1">
        <f>'抽奖|MoonBless'!DR27</f>
        <v>1500</v>
      </c>
      <c r="AA27" s="110">
        <v>1</v>
      </c>
    </row>
    <row r="28" spans="1:39" x14ac:dyDescent="0.25">
      <c r="A28" s="1">
        <v>24</v>
      </c>
      <c r="B28" s="1">
        <v>2</v>
      </c>
      <c r="C28" s="1" t="str">
        <f t="shared" si="6"/>
        <v>2|1015|5</v>
      </c>
      <c r="D28" s="1">
        <v>1</v>
      </c>
      <c r="E28" s="1">
        <v>3</v>
      </c>
      <c r="F28" s="1" t="str">
        <f t="shared" si="0"/>
        <v>2|1204|1700</v>
      </c>
      <c r="G28" s="1">
        <v>0</v>
      </c>
      <c r="H28" s="1">
        <v>100</v>
      </c>
      <c r="K28" s="84">
        <v>1700</v>
      </c>
      <c r="L28" s="84">
        <f t="shared" si="1"/>
        <v>1667</v>
      </c>
      <c r="O28" s="40" t="s">
        <v>585</v>
      </c>
      <c r="P28" s="14">
        <f t="shared" si="2"/>
        <v>2</v>
      </c>
      <c r="Q28" s="14">
        <f t="shared" si="3"/>
        <v>1015</v>
      </c>
      <c r="R28" s="45">
        <v>5</v>
      </c>
      <c r="S28" s="21">
        <f t="shared" si="4"/>
        <v>1.666666666666667</v>
      </c>
      <c r="V28" s="1" t="str">
        <f>'抽奖|MoonBless'!DN28</f>
        <v>橄榄油</v>
      </c>
      <c r="W28" s="1">
        <f>'抽奖|MoonBless'!DO28</f>
        <v>60</v>
      </c>
      <c r="X28" s="1">
        <f>'抽奖|MoonBless'!DP28</f>
        <v>1200</v>
      </c>
      <c r="Y28" s="1">
        <f>'抽奖|MoonBless'!DQ28</f>
        <v>2</v>
      </c>
      <c r="Z28" s="1">
        <f>'抽奖|MoonBless'!DR28</f>
        <v>1503</v>
      </c>
      <c r="AA28" s="110">
        <v>1</v>
      </c>
    </row>
    <row r="29" spans="1:39" x14ac:dyDescent="0.25">
      <c r="A29" s="1">
        <v>25</v>
      </c>
      <c r="B29" s="1">
        <v>1</v>
      </c>
      <c r="C29" s="1" t="str">
        <f t="shared" si="6"/>
        <v>2|1007|1</v>
      </c>
      <c r="D29" s="1">
        <v>2</v>
      </c>
      <c r="E29" s="1">
        <v>1</v>
      </c>
      <c r="F29" s="1" t="str">
        <f t="shared" ref="F29:F43" si="9">"2|1213|"&amp;K29</f>
        <v>2|1213|30</v>
      </c>
      <c r="G29" s="1">
        <v>0</v>
      </c>
      <c r="I29" s="1">
        <v>1</v>
      </c>
      <c r="J29" s="1">
        <v>1</v>
      </c>
      <c r="K29" s="59">
        <v>30</v>
      </c>
      <c r="L29" s="84">
        <f t="shared" ref="L29:L43" si="10">ROUND(S29/$W$30,0)</f>
        <v>33</v>
      </c>
      <c r="O29" s="40" t="s">
        <v>374</v>
      </c>
      <c r="P29" s="48">
        <f t="shared" si="2"/>
        <v>2</v>
      </c>
      <c r="Q29" s="48">
        <f t="shared" si="3"/>
        <v>1007</v>
      </c>
      <c r="R29" s="109">
        <v>1</v>
      </c>
      <c r="S29" s="50">
        <f t="shared" si="4"/>
        <v>33.333333333333336</v>
      </c>
      <c r="V29" s="1" t="str">
        <f>'抽奖|MoonBless'!DN29</f>
        <v>米面礼包</v>
      </c>
      <c r="W29" s="1">
        <f>'抽奖|MoonBless'!DO29</f>
        <v>82.5</v>
      </c>
      <c r="X29" s="1">
        <f>'抽奖|MoonBless'!DP29</f>
        <v>1650</v>
      </c>
      <c r="Y29" s="1">
        <f>'抽奖|MoonBless'!DQ29</f>
        <v>2</v>
      </c>
      <c r="Z29" s="1">
        <f>'抽奖|MoonBless'!DR29</f>
        <v>1504</v>
      </c>
      <c r="AA29" s="110">
        <v>1</v>
      </c>
    </row>
    <row r="30" spans="1:39" x14ac:dyDescent="0.25">
      <c r="A30" s="1">
        <v>26</v>
      </c>
      <c r="B30" s="1">
        <v>1</v>
      </c>
      <c r="C30" s="1" t="str">
        <f t="shared" si="6"/>
        <v>2|1006|1</v>
      </c>
      <c r="D30" s="1">
        <v>2</v>
      </c>
      <c r="E30" s="1">
        <v>1</v>
      </c>
      <c r="F30" s="1" t="str">
        <f t="shared" si="9"/>
        <v>2|1213|12</v>
      </c>
      <c r="G30" s="1">
        <v>0</v>
      </c>
      <c r="I30" s="1">
        <v>1</v>
      </c>
      <c r="K30" s="59">
        <v>12</v>
      </c>
      <c r="L30" s="84">
        <f t="shared" si="10"/>
        <v>13</v>
      </c>
      <c r="O30" s="40" t="s">
        <v>363</v>
      </c>
      <c r="P30" s="11">
        <f t="shared" si="2"/>
        <v>2</v>
      </c>
      <c r="Q30" s="11">
        <f t="shared" si="3"/>
        <v>1006</v>
      </c>
      <c r="R30" s="41">
        <v>1</v>
      </c>
      <c r="S30" s="19">
        <f t="shared" si="4"/>
        <v>13.333333333333336</v>
      </c>
      <c r="V30" s="1" t="str">
        <f>'抽奖|MoonBless'!DN30</f>
        <v>买单券</v>
      </c>
      <c r="W30" s="1">
        <f>W12*1000</f>
        <v>1</v>
      </c>
      <c r="X30" s="1">
        <f>W30*10</f>
        <v>10</v>
      </c>
      <c r="Y30" s="1">
        <f>'抽奖|MoonBless'!DQ30</f>
        <v>2</v>
      </c>
      <c r="Z30" s="1">
        <f>'抽奖|MoonBless'!DR30</f>
        <v>1213</v>
      </c>
      <c r="AA30" s="110">
        <v>1</v>
      </c>
    </row>
    <row r="31" spans="1:39" x14ac:dyDescent="0.25">
      <c r="A31" s="1">
        <v>27</v>
      </c>
      <c r="B31" s="1">
        <v>1</v>
      </c>
      <c r="C31" s="1" t="str">
        <f t="shared" si="6"/>
        <v>1|2|3000000</v>
      </c>
      <c r="D31" s="1">
        <v>2</v>
      </c>
      <c r="E31" s="1">
        <v>1</v>
      </c>
      <c r="F31" s="1" t="str">
        <f t="shared" si="9"/>
        <v>2|1213|20</v>
      </c>
      <c r="G31" s="1">
        <v>0</v>
      </c>
      <c r="I31" s="1">
        <v>3</v>
      </c>
      <c r="K31" s="84">
        <f t="shared" ref="K31:K33" si="11">L31</f>
        <v>20</v>
      </c>
      <c r="L31" s="84">
        <f t="shared" si="10"/>
        <v>20</v>
      </c>
      <c r="O31" s="40" t="s">
        <v>375</v>
      </c>
      <c r="P31" s="11">
        <f t="shared" si="2"/>
        <v>1</v>
      </c>
      <c r="Q31" s="11">
        <f t="shared" si="3"/>
        <v>2</v>
      </c>
      <c r="R31" s="41">
        <v>3000000</v>
      </c>
      <c r="S31" s="19">
        <f t="shared" si="4"/>
        <v>20.000000000000004</v>
      </c>
      <c r="V31" s="1" t="str">
        <f>'抽奖|MoonBless'!DN31</f>
        <v>超级武器碎片1</v>
      </c>
      <c r="W31" s="1">
        <f>W13/20</f>
        <v>0.33333333333333337</v>
      </c>
      <c r="X31" s="1">
        <f t="shared" ref="X31:X34" si="12">W31*10</f>
        <v>3.3333333333333339</v>
      </c>
      <c r="Y31" s="1">
        <f>'抽奖|MoonBless'!DQ31</f>
        <v>2</v>
      </c>
      <c r="Z31" s="1">
        <f>'抽奖|MoonBless'!DR31</f>
        <v>1015</v>
      </c>
      <c r="AA31" s="110">
        <v>2</v>
      </c>
    </row>
    <row r="32" spans="1:39" x14ac:dyDescent="0.25">
      <c r="A32" s="1">
        <v>28</v>
      </c>
      <c r="B32" s="1">
        <v>1</v>
      </c>
      <c r="C32" s="1" t="str">
        <f t="shared" si="6"/>
        <v>1|2|1500000</v>
      </c>
      <c r="D32" s="1">
        <v>2</v>
      </c>
      <c r="E32" s="1">
        <v>1</v>
      </c>
      <c r="F32" s="1" t="str">
        <f t="shared" si="9"/>
        <v>2|1213|10</v>
      </c>
      <c r="G32" s="1">
        <v>0</v>
      </c>
      <c r="H32"/>
      <c r="I32" s="1">
        <v>3</v>
      </c>
      <c r="J32"/>
      <c r="K32" s="84">
        <f t="shared" si="11"/>
        <v>10</v>
      </c>
      <c r="L32" s="84">
        <f t="shared" si="10"/>
        <v>10</v>
      </c>
      <c r="M32"/>
      <c r="N32"/>
      <c r="O32" s="40" t="s">
        <v>375</v>
      </c>
      <c r="P32" s="11">
        <f t="shared" si="2"/>
        <v>1</v>
      </c>
      <c r="Q32" s="11">
        <f t="shared" si="3"/>
        <v>2</v>
      </c>
      <c r="R32" s="41">
        <v>1500000</v>
      </c>
      <c r="S32" s="19">
        <f t="shared" si="4"/>
        <v>10.000000000000002</v>
      </c>
      <c r="V32" s="1" t="str">
        <f>'抽奖|MoonBless'!DN32</f>
        <v>超级武器碎片2</v>
      </c>
      <c r="W32" s="1">
        <f t="shared" ref="W32:W34" si="13">W14/20</f>
        <v>0.66666666666666674</v>
      </c>
      <c r="X32" s="1">
        <f t="shared" si="12"/>
        <v>6.6666666666666679</v>
      </c>
      <c r="Y32" s="1">
        <f>'抽奖|MoonBless'!DQ32</f>
        <v>2</v>
      </c>
      <c r="Z32" s="1">
        <f>'抽奖|MoonBless'!DR32</f>
        <v>1016</v>
      </c>
      <c r="AA32" s="110">
        <v>3</v>
      </c>
    </row>
    <row r="33" spans="1:27" x14ac:dyDescent="0.25">
      <c r="A33" s="1">
        <v>29</v>
      </c>
      <c r="B33" s="1">
        <v>1</v>
      </c>
      <c r="C33" s="1" t="str">
        <f t="shared" si="6"/>
        <v>1|1|200</v>
      </c>
      <c r="D33" s="1">
        <v>2</v>
      </c>
      <c r="E33" s="1">
        <v>1</v>
      </c>
      <c r="F33" s="1" t="str">
        <f t="shared" si="9"/>
        <v>2|1213|20</v>
      </c>
      <c r="G33" s="1">
        <v>0</v>
      </c>
      <c r="H33"/>
      <c r="I33" s="1">
        <v>3</v>
      </c>
      <c r="J33"/>
      <c r="K33" s="84">
        <f t="shared" si="11"/>
        <v>20</v>
      </c>
      <c r="L33" s="84">
        <f t="shared" si="10"/>
        <v>20</v>
      </c>
      <c r="M33"/>
      <c r="N33"/>
      <c r="O33" s="102" t="s">
        <v>360</v>
      </c>
      <c r="P33" s="14">
        <f t="shared" si="2"/>
        <v>1</v>
      </c>
      <c r="Q33" s="14">
        <f t="shared" si="3"/>
        <v>1</v>
      </c>
      <c r="R33" s="45">
        <v>200</v>
      </c>
      <c r="S33" s="21">
        <f t="shared" si="4"/>
        <v>20</v>
      </c>
      <c r="V33" s="1" t="str">
        <f>'抽奖|MoonBless'!DN33</f>
        <v>超级武器碎片3</v>
      </c>
      <c r="W33" s="1">
        <f t="shared" si="13"/>
        <v>1.6666666666666667</v>
      </c>
      <c r="X33" s="1">
        <f t="shared" si="12"/>
        <v>16.666666666666668</v>
      </c>
      <c r="Y33" s="1">
        <f>'抽奖|MoonBless'!DQ33</f>
        <v>2</v>
      </c>
      <c r="Z33" s="1">
        <f>'抽奖|MoonBless'!DR33</f>
        <v>1017</v>
      </c>
      <c r="AA33" s="110">
        <v>4</v>
      </c>
    </row>
    <row r="34" spans="1:27" x14ac:dyDescent="0.25">
      <c r="A34" s="1">
        <v>25</v>
      </c>
      <c r="B34" s="1">
        <v>1</v>
      </c>
      <c r="C34" s="1" t="str">
        <f t="shared" si="6"/>
        <v>2|1210|1</v>
      </c>
      <c r="D34" s="1">
        <v>2</v>
      </c>
      <c r="E34" s="1">
        <v>2</v>
      </c>
      <c r="F34" s="1" t="str">
        <f t="shared" si="9"/>
        <v>2|1213|48</v>
      </c>
      <c r="G34" s="1">
        <v>0</v>
      </c>
      <c r="I34" s="1">
        <v>1</v>
      </c>
      <c r="J34" s="1">
        <v>1</v>
      </c>
      <c r="K34" s="59">
        <v>48</v>
      </c>
      <c r="L34" s="84">
        <f t="shared" si="10"/>
        <v>50</v>
      </c>
      <c r="O34" s="103" t="s">
        <v>575</v>
      </c>
      <c r="P34" s="48">
        <f t="shared" si="2"/>
        <v>2</v>
      </c>
      <c r="Q34" s="48">
        <f t="shared" si="3"/>
        <v>1210</v>
      </c>
      <c r="R34" s="109">
        <v>1</v>
      </c>
      <c r="S34" s="50">
        <f t="shared" si="4"/>
        <v>50</v>
      </c>
      <c r="V34" s="1" t="str">
        <f>'抽奖|MoonBless'!DN34</f>
        <v>超级武器碎片4</v>
      </c>
      <c r="W34" s="1">
        <f t="shared" si="13"/>
        <v>3.3333333333333335</v>
      </c>
      <c r="X34" s="1">
        <f t="shared" si="12"/>
        <v>33.333333333333336</v>
      </c>
      <c r="Y34" s="1">
        <f>'抽奖|MoonBless'!DQ34</f>
        <v>2</v>
      </c>
      <c r="Z34" s="1">
        <f>'抽奖|MoonBless'!DR34</f>
        <v>1018</v>
      </c>
      <c r="AA34" s="110">
        <v>5</v>
      </c>
    </row>
    <row r="35" spans="1:27" x14ac:dyDescent="0.25">
      <c r="A35" s="1">
        <v>26</v>
      </c>
      <c r="B35" s="1">
        <v>1</v>
      </c>
      <c r="C35" s="1" t="str">
        <f t="shared" si="6"/>
        <v>2|1007|1</v>
      </c>
      <c r="D35" s="1">
        <v>2</v>
      </c>
      <c r="E35" s="1">
        <v>2</v>
      </c>
      <c r="F35" s="1" t="str">
        <f t="shared" si="9"/>
        <v>2|1213|30</v>
      </c>
      <c r="G35" s="1">
        <v>0</v>
      </c>
      <c r="I35" s="1">
        <v>1</v>
      </c>
      <c r="K35" s="59">
        <v>30</v>
      </c>
      <c r="L35" s="84">
        <f t="shared" si="10"/>
        <v>33</v>
      </c>
      <c r="O35" s="40" t="s">
        <v>374</v>
      </c>
      <c r="P35" s="11">
        <f t="shared" si="2"/>
        <v>2</v>
      </c>
      <c r="Q35" s="11">
        <f t="shared" si="3"/>
        <v>1007</v>
      </c>
      <c r="R35" s="41">
        <v>1</v>
      </c>
      <c r="S35" s="19">
        <f t="shared" si="4"/>
        <v>33.333333333333336</v>
      </c>
    </row>
    <row r="36" spans="1:27" x14ac:dyDescent="0.25">
      <c r="A36" s="1">
        <v>27</v>
      </c>
      <c r="B36" s="1">
        <v>1</v>
      </c>
      <c r="C36" s="1" t="str">
        <f t="shared" si="6"/>
        <v>1|2|3000000</v>
      </c>
      <c r="D36" s="1">
        <v>2</v>
      </c>
      <c r="E36" s="1">
        <v>2</v>
      </c>
      <c r="F36" s="1" t="str">
        <f t="shared" si="9"/>
        <v>2|1213|20</v>
      </c>
      <c r="G36" s="1">
        <v>0</v>
      </c>
      <c r="I36" s="1">
        <v>3</v>
      </c>
      <c r="K36" s="84">
        <f t="shared" ref="K36:K38" si="14">L36</f>
        <v>20</v>
      </c>
      <c r="L36" s="84">
        <f t="shared" si="10"/>
        <v>20</v>
      </c>
      <c r="O36" s="40" t="s">
        <v>375</v>
      </c>
      <c r="P36" s="11">
        <f t="shared" si="2"/>
        <v>1</v>
      </c>
      <c r="Q36" s="11">
        <f t="shared" si="3"/>
        <v>2</v>
      </c>
      <c r="R36" s="41">
        <v>3000000</v>
      </c>
      <c r="S36" s="19">
        <f t="shared" si="4"/>
        <v>20.000000000000004</v>
      </c>
    </row>
    <row r="37" spans="1:27" x14ac:dyDescent="0.25">
      <c r="A37" s="1">
        <v>28</v>
      </c>
      <c r="B37" s="1">
        <v>1</v>
      </c>
      <c r="C37" s="1" t="str">
        <f t="shared" si="6"/>
        <v>1|2|1500000</v>
      </c>
      <c r="D37" s="1">
        <v>2</v>
      </c>
      <c r="E37" s="1">
        <v>2</v>
      </c>
      <c r="F37" s="1" t="str">
        <f t="shared" si="9"/>
        <v>2|1213|10</v>
      </c>
      <c r="G37" s="1">
        <v>0</v>
      </c>
      <c r="H37"/>
      <c r="I37" s="1">
        <v>3</v>
      </c>
      <c r="J37"/>
      <c r="K37" s="84">
        <f t="shared" si="14"/>
        <v>10</v>
      </c>
      <c r="L37" s="84">
        <f t="shared" si="10"/>
        <v>10</v>
      </c>
      <c r="M37"/>
      <c r="N37"/>
      <c r="O37" s="40" t="s">
        <v>375</v>
      </c>
      <c r="P37" s="11">
        <f t="shared" si="2"/>
        <v>1</v>
      </c>
      <c r="Q37" s="11">
        <f t="shared" si="3"/>
        <v>2</v>
      </c>
      <c r="R37" s="41">
        <v>1500000</v>
      </c>
      <c r="S37" s="19">
        <f t="shared" si="4"/>
        <v>10.000000000000002</v>
      </c>
    </row>
    <row r="38" spans="1:27" x14ac:dyDescent="0.25">
      <c r="A38" s="1">
        <v>29</v>
      </c>
      <c r="B38" s="1">
        <v>1</v>
      </c>
      <c r="C38" s="1" t="str">
        <f t="shared" si="6"/>
        <v>1|1|200</v>
      </c>
      <c r="D38" s="1">
        <v>2</v>
      </c>
      <c r="E38" s="1">
        <v>2</v>
      </c>
      <c r="F38" s="1" t="str">
        <f t="shared" si="9"/>
        <v>2|1213|20</v>
      </c>
      <c r="G38" s="1">
        <v>0</v>
      </c>
      <c r="H38"/>
      <c r="I38" s="1">
        <v>3</v>
      </c>
      <c r="J38"/>
      <c r="K38" s="84">
        <f t="shared" si="14"/>
        <v>20</v>
      </c>
      <c r="L38" s="84">
        <f t="shared" si="10"/>
        <v>20</v>
      </c>
      <c r="M38"/>
      <c r="N38"/>
      <c r="O38" s="102" t="s">
        <v>360</v>
      </c>
      <c r="P38" s="14">
        <f t="shared" si="2"/>
        <v>1</v>
      </c>
      <c r="Q38" s="14">
        <f t="shared" si="3"/>
        <v>1</v>
      </c>
      <c r="R38" s="45">
        <v>200</v>
      </c>
      <c r="S38" s="21">
        <f t="shared" si="4"/>
        <v>20</v>
      </c>
    </row>
    <row r="39" spans="1:27" x14ac:dyDescent="0.25">
      <c r="A39" s="1">
        <v>30</v>
      </c>
      <c r="B39" s="1">
        <v>2</v>
      </c>
      <c r="C39" s="1" t="str">
        <f t="shared" si="6"/>
        <v>2|1007|1</v>
      </c>
      <c r="D39" s="1">
        <v>2</v>
      </c>
      <c r="E39" s="1">
        <v>3</v>
      </c>
      <c r="F39" s="1" t="str">
        <f t="shared" si="9"/>
        <v>2|1213|30</v>
      </c>
      <c r="G39" s="1">
        <v>0</v>
      </c>
      <c r="I39" s="1">
        <v>1</v>
      </c>
      <c r="J39" s="1">
        <v>1</v>
      </c>
      <c r="K39" s="59">
        <v>30</v>
      </c>
      <c r="L39" s="84">
        <f t="shared" si="10"/>
        <v>33</v>
      </c>
      <c r="O39" s="40" t="s">
        <v>374</v>
      </c>
      <c r="P39" s="48">
        <f t="shared" si="2"/>
        <v>2</v>
      </c>
      <c r="Q39" s="48">
        <f t="shared" si="3"/>
        <v>1007</v>
      </c>
      <c r="R39" s="109">
        <v>1</v>
      </c>
      <c r="S39" s="50">
        <f t="shared" si="4"/>
        <v>33.333333333333336</v>
      </c>
    </row>
    <row r="40" spans="1:27" x14ac:dyDescent="0.25">
      <c r="A40" s="1">
        <v>31</v>
      </c>
      <c r="B40" s="1">
        <v>2</v>
      </c>
      <c r="C40" s="1" t="str">
        <f t="shared" si="6"/>
        <v>2|1006|1</v>
      </c>
      <c r="D40" s="1">
        <v>2</v>
      </c>
      <c r="E40" s="1">
        <v>3</v>
      </c>
      <c r="F40" s="1" t="str">
        <f t="shared" si="9"/>
        <v>2|1213|12</v>
      </c>
      <c r="G40" s="1">
        <v>0</v>
      </c>
      <c r="I40" s="1">
        <v>1</v>
      </c>
      <c r="K40" s="59">
        <v>12</v>
      </c>
      <c r="L40" s="84">
        <f t="shared" si="10"/>
        <v>13</v>
      </c>
      <c r="M40" s="1">
        <f>K40*5/2</f>
        <v>30</v>
      </c>
      <c r="O40" s="40" t="s">
        <v>363</v>
      </c>
      <c r="P40" s="11">
        <f t="shared" si="2"/>
        <v>2</v>
      </c>
      <c r="Q40" s="11">
        <f t="shared" si="3"/>
        <v>1006</v>
      </c>
      <c r="R40" s="41">
        <v>1</v>
      </c>
      <c r="S40" s="19">
        <f t="shared" si="4"/>
        <v>13.333333333333336</v>
      </c>
    </row>
    <row r="41" spans="1:27" x14ac:dyDescent="0.25">
      <c r="A41" s="1">
        <v>32</v>
      </c>
      <c r="B41" s="1">
        <v>2</v>
      </c>
      <c r="C41" s="1" t="str">
        <f t="shared" si="6"/>
        <v>1|2|3000000</v>
      </c>
      <c r="D41" s="1">
        <v>2</v>
      </c>
      <c r="E41" s="1">
        <v>3</v>
      </c>
      <c r="F41" s="1" t="str">
        <f t="shared" si="9"/>
        <v>2|1213|20</v>
      </c>
      <c r="G41" s="1">
        <v>0</v>
      </c>
      <c r="I41" s="1">
        <v>3</v>
      </c>
      <c r="K41" s="84">
        <f t="shared" ref="K41:K43" si="15">L41</f>
        <v>20</v>
      </c>
      <c r="L41" s="84">
        <f t="shared" si="10"/>
        <v>20</v>
      </c>
      <c r="O41" s="40" t="s">
        <v>375</v>
      </c>
      <c r="P41" s="11">
        <f t="shared" si="2"/>
        <v>1</v>
      </c>
      <c r="Q41" s="11">
        <f t="shared" si="3"/>
        <v>2</v>
      </c>
      <c r="R41" s="41">
        <v>3000000</v>
      </c>
      <c r="S41" s="19">
        <f t="shared" si="4"/>
        <v>20.000000000000004</v>
      </c>
    </row>
    <row r="42" spans="1:27" x14ac:dyDescent="0.25">
      <c r="A42" s="1">
        <v>33</v>
      </c>
      <c r="B42" s="1">
        <v>2</v>
      </c>
      <c r="C42" s="1" t="str">
        <f t="shared" si="6"/>
        <v>1|2|1500000</v>
      </c>
      <c r="D42" s="1">
        <v>2</v>
      </c>
      <c r="E42" s="1">
        <v>3</v>
      </c>
      <c r="F42" s="1" t="str">
        <f t="shared" si="9"/>
        <v>2|1213|10</v>
      </c>
      <c r="G42" s="1">
        <v>0</v>
      </c>
      <c r="H42"/>
      <c r="I42" s="1">
        <v>3</v>
      </c>
      <c r="J42"/>
      <c r="K42" s="84">
        <f t="shared" si="15"/>
        <v>10</v>
      </c>
      <c r="L42" s="84">
        <f t="shared" si="10"/>
        <v>10</v>
      </c>
      <c r="M42"/>
      <c r="N42"/>
      <c r="O42" s="40" t="s">
        <v>375</v>
      </c>
      <c r="P42" s="11">
        <f t="shared" si="2"/>
        <v>1</v>
      </c>
      <c r="Q42" s="11">
        <f t="shared" si="3"/>
        <v>2</v>
      </c>
      <c r="R42" s="41">
        <v>1500000</v>
      </c>
      <c r="S42" s="19">
        <f t="shared" si="4"/>
        <v>10.000000000000002</v>
      </c>
    </row>
    <row r="43" spans="1:27" x14ac:dyDescent="0.25">
      <c r="A43" s="1">
        <v>34</v>
      </c>
      <c r="B43" s="1">
        <v>2</v>
      </c>
      <c r="C43" s="1" t="str">
        <f t="shared" si="6"/>
        <v>1|1|200</v>
      </c>
      <c r="D43" s="1">
        <v>2</v>
      </c>
      <c r="E43" s="1">
        <v>3</v>
      </c>
      <c r="F43" s="1" t="str">
        <f t="shared" si="9"/>
        <v>2|1213|20</v>
      </c>
      <c r="G43" s="1">
        <v>0</v>
      </c>
      <c r="H43"/>
      <c r="I43" s="1">
        <v>3</v>
      </c>
      <c r="J43"/>
      <c r="K43" s="84">
        <f t="shared" si="15"/>
        <v>20</v>
      </c>
      <c r="L43" s="84">
        <f t="shared" si="10"/>
        <v>20</v>
      </c>
      <c r="M43"/>
      <c r="N43"/>
      <c r="O43" s="102" t="s">
        <v>360</v>
      </c>
      <c r="P43" s="14">
        <f t="shared" si="2"/>
        <v>1</v>
      </c>
      <c r="Q43" s="14">
        <f t="shared" si="3"/>
        <v>1</v>
      </c>
      <c r="R43" s="45">
        <v>200</v>
      </c>
      <c r="S43" s="21">
        <f t="shared" si="4"/>
        <v>20</v>
      </c>
    </row>
    <row r="44" spans="1:27" x14ac:dyDescent="0.25">
      <c r="O44" s="1"/>
      <c r="P44" s="1"/>
      <c r="Q44" s="1"/>
      <c r="R44" s="1"/>
      <c r="S44" s="1"/>
      <c r="W44" s="73"/>
    </row>
    <row r="45" spans="1:27" x14ac:dyDescent="0.25">
      <c r="J45" s="11"/>
      <c r="K45" s="11"/>
      <c r="L45" s="11"/>
      <c r="M45" s="11"/>
      <c r="N45" s="11"/>
      <c r="O45" s="11"/>
      <c r="P45" s="11"/>
      <c r="Q45" s="1"/>
      <c r="R45" s="1"/>
      <c r="S45" s="1"/>
    </row>
    <row r="46" spans="1:27" x14ac:dyDescent="0.25">
      <c r="J46" s="11"/>
      <c r="K46" s="104"/>
      <c r="L46" s="104"/>
      <c r="M46" s="104"/>
      <c r="N46" s="104"/>
      <c r="O46" s="104"/>
      <c r="P46" s="11"/>
      <c r="Q46" s="1"/>
      <c r="R46" s="1"/>
      <c r="S46" s="1"/>
      <c r="W46" s="73"/>
    </row>
    <row r="47" spans="1:27" x14ac:dyDescent="0.25">
      <c r="J47" s="11"/>
      <c r="K47" s="104"/>
      <c r="L47" s="105"/>
      <c r="M47" s="105"/>
      <c r="N47" s="105"/>
      <c r="O47" s="105"/>
      <c r="P47" s="11"/>
      <c r="Q47" s="1"/>
      <c r="R47" s="1"/>
      <c r="S47" s="1"/>
    </row>
    <row r="48" spans="1:27" x14ac:dyDescent="0.25">
      <c r="J48" s="11"/>
      <c r="K48" s="104"/>
      <c r="L48" s="105"/>
      <c r="M48" s="105"/>
      <c r="N48" s="105"/>
      <c r="O48" s="105"/>
      <c r="P48" s="11"/>
      <c r="Q48" s="1"/>
      <c r="R48" s="1"/>
      <c r="S48" s="1"/>
    </row>
    <row r="49" spans="10:19" x14ac:dyDescent="0.25">
      <c r="J49" s="11"/>
      <c r="K49" s="104"/>
      <c r="L49" s="105"/>
      <c r="M49" s="105"/>
      <c r="N49" s="105"/>
      <c r="O49" s="105"/>
      <c r="P49" s="11"/>
      <c r="Q49" s="1"/>
      <c r="R49" s="1"/>
      <c r="S49" s="1"/>
    </row>
    <row r="50" spans="10:19" x14ac:dyDescent="0.25">
      <c r="J50" s="11"/>
      <c r="K50" s="104"/>
      <c r="L50" s="105"/>
      <c r="M50" s="105"/>
      <c r="N50" s="105"/>
      <c r="O50" s="105"/>
      <c r="P50" s="11"/>
      <c r="Q50" s="1"/>
      <c r="R50" s="1"/>
      <c r="S50" s="1"/>
    </row>
    <row r="51" spans="10:19" x14ac:dyDescent="0.25">
      <c r="J51" s="11"/>
      <c r="K51" s="104"/>
      <c r="L51" s="105"/>
      <c r="M51" s="105"/>
      <c r="N51" s="105"/>
      <c r="O51" s="105"/>
      <c r="P51" s="11"/>
      <c r="Q51" s="1"/>
      <c r="R51" s="1"/>
      <c r="S51" s="1"/>
    </row>
    <row r="52" spans="10:19" x14ac:dyDescent="0.25">
      <c r="J52" s="11"/>
      <c r="K52" s="104"/>
      <c r="L52" s="105"/>
      <c r="M52" s="105"/>
      <c r="N52" s="105"/>
      <c r="O52" s="105"/>
      <c r="P52" s="11"/>
      <c r="Q52" s="1"/>
      <c r="R52" s="1"/>
      <c r="S52" s="1"/>
    </row>
    <row r="53" spans="10:19" x14ac:dyDescent="0.25">
      <c r="J53" s="11"/>
      <c r="K53" s="104"/>
      <c r="L53" s="105"/>
      <c r="M53" s="105"/>
      <c r="N53" s="105"/>
      <c r="O53" s="105"/>
      <c r="P53" s="11"/>
      <c r="Q53" s="1"/>
      <c r="R53" s="1"/>
      <c r="S53" s="1"/>
    </row>
    <row r="54" spans="10:19" x14ac:dyDescent="0.25">
      <c r="J54" s="11"/>
      <c r="K54" s="104"/>
      <c r="L54" s="105"/>
      <c r="M54" s="105"/>
      <c r="N54" s="105"/>
      <c r="O54" s="105"/>
      <c r="P54" s="11"/>
      <c r="Q54" s="1"/>
      <c r="R54" s="1"/>
      <c r="S54" s="1"/>
    </row>
    <row r="55" spans="10:19" x14ac:dyDescent="0.25">
      <c r="J55" s="11"/>
      <c r="K55" s="11"/>
      <c r="L55" s="11"/>
      <c r="M55" s="11"/>
      <c r="N55" s="11"/>
      <c r="O55" s="11"/>
      <c r="P55" s="11"/>
      <c r="Q55" s="1"/>
      <c r="R55" s="1"/>
      <c r="S55" s="1"/>
    </row>
    <row r="56" spans="10:19" x14ac:dyDescent="0.25">
      <c r="J56" s="11"/>
      <c r="K56" s="11"/>
      <c r="L56" s="11"/>
      <c r="M56" s="11"/>
      <c r="N56" s="11"/>
      <c r="O56" s="97"/>
      <c r="P56" s="97"/>
    </row>
    <row r="57" spans="10:19" x14ac:dyDescent="0.25">
      <c r="J57" s="11"/>
      <c r="K57" s="11"/>
      <c r="L57" s="11"/>
      <c r="M57" s="11"/>
      <c r="N57" s="11"/>
      <c r="O57" s="97"/>
      <c r="P57" s="97"/>
    </row>
  </sheetData>
  <phoneticPr fontId="40" type="noConversion"/>
  <conditionalFormatting sqref="J5">
    <cfRule type="containsText" dxfId="364" priority="11" operator="containsText" text=" ">
      <formula>NOT(ISERROR(SEARCH(" ",J5)))</formula>
    </cfRule>
  </conditionalFormatting>
  <conditionalFormatting sqref="J6">
    <cfRule type="containsText" dxfId="363" priority="10" operator="containsText" text=" ">
      <formula>NOT(ISERROR(SEARCH(" ",J6)))</formula>
    </cfRule>
  </conditionalFormatting>
  <conditionalFormatting sqref="J7">
    <cfRule type="containsText" dxfId="362" priority="9" operator="containsText" text=" ">
      <formula>NOT(ISERROR(SEARCH(" ",J7)))</formula>
    </cfRule>
  </conditionalFormatting>
  <conditionalFormatting sqref="W7">
    <cfRule type="containsText" dxfId="361" priority="192" operator="containsText" text=" ">
      <formula>NOT(ISERROR(SEARCH(" ",W7)))</formula>
    </cfRule>
  </conditionalFormatting>
  <conditionalFormatting sqref="X7">
    <cfRule type="containsText" dxfId="360" priority="202" operator="containsText" text=" ">
      <formula>NOT(ISERROR(SEARCH(" ",X7)))</formula>
    </cfRule>
  </conditionalFormatting>
  <conditionalFormatting sqref="J8">
    <cfRule type="containsText" dxfId="359" priority="8" operator="containsText" text=" ">
      <formula>NOT(ISERROR(SEARCH(" ",J8)))</formula>
    </cfRule>
  </conditionalFormatting>
  <conditionalFormatting sqref="J9">
    <cfRule type="containsText" dxfId="358" priority="7" operator="containsText" text=" ">
      <formula>NOT(ISERROR(SEARCH(" ",J9)))</formula>
    </cfRule>
  </conditionalFormatting>
  <conditionalFormatting sqref="J10">
    <cfRule type="containsText" dxfId="357" priority="6" operator="containsText" text=" ">
      <formula>NOT(ISERROR(SEARCH(" ",J10)))</formula>
    </cfRule>
  </conditionalFormatting>
  <conditionalFormatting sqref="J11">
    <cfRule type="containsText" dxfId="356" priority="5" operator="containsText" text=" ">
      <formula>NOT(ISERROR(SEARCH(" ",J11)))</formula>
    </cfRule>
  </conditionalFormatting>
  <conditionalFormatting sqref="J12">
    <cfRule type="containsText" dxfId="355" priority="4" operator="containsText" text=" ">
      <formula>NOT(ISERROR(SEARCH(" ",J12)))</formula>
    </cfRule>
  </conditionalFormatting>
  <conditionalFormatting sqref="Z12">
    <cfRule type="containsText" dxfId="354" priority="287" operator="containsText" text=" ">
      <formula>NOT(ISERROR(SEARCH(" ",Z12)))</formula>
    </cfRule>
  </conditionalFormatting>
  <conditionalFormatting sqref="J13">
    <cfRule type="containsText" dxfId="353" priority="3" operator="containsText" text=" ">
      <formula>NOT(ISERROR(SEARCH(" ",J13)))</formula>
    </cfRule>
  </conditionalFormatting>
  <conditionalFormatting sqref="O13">
    <cfRule type="containsText" dxfId="352" priority="47" operator="containsText" text=" ">
      <formula>NOT(ISERROR(SEARCH(" ",O13)))</formula>
    </cfRule>
  </conditionalFormatting>
  <conditionalFormatting sqref="O14">
    <cfRule type="containsText" dxfId="351" priority="46" operator="containsText" text=" ">
      <formula>NOT(ISERROR(SEARCH(" ",O14)))</formula>
    </cfRule>
    <cfRule type="containsText" dxfId="350" priority="52" operator="containsText" text=" ">
      <formula>NOT(ISERROR(SEARCH(" ",O14)))</formula>
    </cfRule>
  </conditionalFormatting>
  <conditionalFormatting sqref="O15">
    <cfRule type="containsText" dxfId="349" priority="45" operator="containsText" text=" ">
      <formula>NOT(ISERROR(SEARCH(" ",O15)))</formula>
    </cfRule>
    <cfRule type="containsText" dxfId="348" priority="49" operator="containsText" text=" ">
      <formula>NOT(ISERROR(SEARCH(" ",O15)))</formula>
    </cfRule>
  </conditionalFormatting>
  <conditionalFormatting sqref="O16">
    <cfRule type="containsText" dxfId="347" priority="48" operator="containsText" text=" ">
      <formula>NOT(ISERROR(SEARCH(" ",O16)))</formula>
    </cfRule>
  </conditionalFormatting>
  <conditionalFormatting sqref="O17">
    <cfRule type="containsText" dxfId="346" priority="53" operator="containsText" text=" ">
      <formula>NOT(ISERROR(SEARCH(" ",O17)))</formula>
    </cfRule>
  </conditionalFormatting>
  <conditionalFormatting sqref="V17:W17">
    <cfRule type="containsText" dxfId="345" priority="283" operator="containsText" text=" ">
      <formula>NOT(ISERROR(SEARCH(" ",V17)))</formula>
    </cfRule>
  </conditionalFormatting>
  <conditionalFormatting sqref="V18:W18">
    <cfRule type="containsText" dxfId="344" priority="282" operator="containsText" text=" ">
      <formula>NOT(ISERROR(SEARCH(" ",V18)))</formula>
    </cfRule>
  </conditionalFormatting>
  <conditionalFormatting sqref="O19">
    <cfRule type="containsText" dxfId="343" priority="54" operator="containsText" text=" ">
      <formula>NOT(ISERROR(SEARCH(" ",O19)))</formula>
    </cfRule>
  </conditionalFormatting>
  <conditionalFormatting sqref="Z19">
    <cfRule type="containsText" dxfId="342" priority="281" operator="containsText" text=" ">
      <formula>NOT(ISERROR(SEARCH(" ",Z19)))</formula>
    </cfRule>
  </conditionalFormatting>
  <conditionalFormatting sqref="O29">
    <cfRule type="containsText" dxfId="341" priority="29" operator="containsText" text=" ">
      <formula>NOT(ISERROR(SEARCH(" ",O29)))</formula>
    </cfRule>
  </conditionalFormatting>
  <conditionalFormatting sqref="O30">
    <cfRule type="containsText" dxfId="340" priority="67" operator="containsText" text=" ">
      <formula>NOT(ISERROR(SEARCH(" ",O30)))</formula>
    </cfRule>
  </conditionalFormatting>
  <conditionalFormatting sqref="O31">
    <cfRule type="containsText" dxfId="339" priority="73" operator="containsText" text=" ">
      <formula>NOT(ISERROR(SEARCH(" ",O31)))</formula>
    </cfRule>
  </conditionalFormatting>
  <conditionalFormatting sqref="R31">
    <cfRule type="containsText" dxfId="338" priority="63" operator="containsText" text=" ">
      <formula>NOT(ISERROR(SEARCH(" ",R31)))</formula>
    </cfRule>
  </conditionalFormatting>
  <conditionalFormatting sqref="O32">
    <cfRule type="containsText" dxfId="337" priority="70" operator="containsText" text=" ">
      <formula>NOT(ISERROR(SEARCH(" ",O32)))</formula>
    </cfRule>
  </conditionalFormatting>
  <conditionalFormatting sqref="R32">
    <cfRule type="containsText" dxfId="336" priority="68" operator="containsText" text=" ">
      <formula>NOT(ISERROR(SEARCH(" ",R32)))</formula>
    </cfRule>
  </conditionalFormatting>
  <conditionalFormatting sqref="O33">
    <cfRule type="containsText" dxfId="335" priority="71" operator="containsText" text=" ">
      <formula>NOT(ISERROR(SEARCH(" ",O33)))</formula>
    </cfRule>
  </conditionalFormatting>
  <conditionalFormatting sqref="O34">
    <cfRule type="containsText" dxfId="334" priority="37" operator="containsText" text=" ">
      <formula>NOT(ISERROR(SEARCH(" ",O34)))</formula>
    </cfRule>
  </conditionalFormatting>
  <conditionalFormatting sqref="O35">
    <cfRule type="containsText" dxfId="333" priority="31" operator="containsText" text=" ">
      <formula>NOT(ISERROR(SEARCH(" ",O35)))</formula>
    </cfRule>
  </conditionalFormatting>
  <conditionalFormatting sqref="O36">
    <cfRule type="containsText" dxfId="332" priority="36" operator="containsText" text=" ">
      <formula>NOT(ISERROR(SEARCH(" ",O36)))</formula>
    </cfRule>
  </conditionalFormatting>
  <conditionalFormatting sqref="R36">
    <cfRule type="containsText" dxfId="331" priority="30" operator="containsText" text=" ">
      <formula>NOT(ISERROR(SEARCH(" ",R36)))</formula>
    </cfRule>
  </conditionalFormatting>
  <conditionalFormatting sqref="O37">
    <cfRule type="containsText" dxfId="330" priority="34" operator="containsText" text=" ">
      <formula>NOT(ISERROR(SEARCH(" ",O37)))</formula>
    </cfRule>
  </conditionalFormatting>
  <conditionalFormatting sqref="R37">
    <cfRule type="containsText" dxfId="329" priority="32" operator="containsText" text=" ">
      <formula>NOT(ISERROR(SEARCH(" ",R37)))</formula>
    </cfRule>
  </conditionalFormatting>
  <conditionalFormatting sqref="O38">
    <cfRule type="containsText" dxfId="328" priority="35" operator="containsText" text=" ">
      <formula>NOT(ISERROR(SEARCH(" ",O38)))</formula>
    </cfRule>
  </conditionalFormatting>
  <conditionalFormatting sqref="O39">
    <cfRule type="containsText" dxfId="327" priority="19" operator="containsText" text=" ">
      <formula>NOT(ISERROR(SEARCH(" ",O39)))</formula>
    </cfRule>
  </conditionalFormatting>
  <conditionalFormatting sqref="O40">
    <cfRule type="containsText" dxfId="326" priority="20" operator="containsText" text=" ">
      <formula>NOT(ISERROR(SEARCH(" ",O40)))</formula>
    </cfRule>
  </conditionalFormatting>
  <conditionalFormatting sqref="O41">
    <cfRule type="containsText" dxfId="325" priority="23" operator="containsText" text=" ">
      <formula>NOT(ISERROR(SEARCH(" ",O41)))</formula>
    </cfRule>
  </conditionalFormatting>
  <conditionalFormatting sqref="R41">
    <cfRule type="containsText" dxfId="324" priority="16" operator="containsText" text=" ">
      <formula>NOT(ISERROR(SEARCH(" ",R41)))</formula>
    </cfRule>
  </conditionalFormatting>
  <conditionalFormatting sqref="O42">
    <cfRule type="containsText" dxfId="323" priority="21" operator="containsText" text=" ">
      <formula>NOT(ISERROR(SEARCH(" ",O42)))</formula>
    </cfRule>
  </conditionalFormatting>
  <conditionalFormatting sqref="R42">
    <cfRule type="containsText" dxfId="322" priority="17" operator="containsText" text=" ">
      <formula>NOT(ISERROR(SEARCH(" ",R42)))</formula>
    </cfRule>
  </conditionalFormatting>
  <conditionalFormatting sqref="O43">
    <cfRule type="containsText" dxfId="321" priority="22" operator="containsText" text=" ">
      <formula>NOT(ISERROR(SEARCH(" ",O43)))</formula>
    </cfRule>
  </conditionalFormatting>
  <conditionalFormatting sqref="C13:C20">
    <cfRule type="containsText" dxfId="320" priority="57" operator="containsText" text=" ">
      <formula>NOT(ISERROR(SEARCH(" ",C13)))</formula>
    </cfRule>
  </conditionalFormatting>
  <conditionalFormatting sqref="C34:C38">
    <cfRule type="containsText" dxfId="319" priority="41" operator="containsText" text=" ">
      <formula>NOT(ISERROR(SEARCH(" ",C34)))</formula>
    </cfRule>
  </conditionalFormatting>
  <conditionalFormatting sqref="E5:E43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3:F20">
    <cfRule type="containsText" dxfId="318" priority="58" operator="containsText" text=" ">
      <formula>NOT(ISERROR(SEARCH(" ",F13)))</formula>
    </cfRule>
  </conditionalFormatting>
  <conditionalFormatting sqref="F34:F38">
    <cfRule type="containsText" dxfId="317" priority="42" operator="containsText" text=" ">
      <formula>NOT(ISERROR(SEARCH(" ",F34)))</formula>
    </cfRule>
  </conditionalFormatting>
  <conditionalFormatting sqref="J5:J8">
    <cfRule type="containsText" dxfId="316" priority="2" operator="containsText" text=" ">
      <formula>NOT(ISERROR(SEARCH(" ",J5)))</formula>
    </cfRule>
  </conditionalFormatting>
  <conditionalFormatting sqref="J9:J12">
    <cfRule type="containsText" dxfId="315" priority="1" operator="containsText" text=" ">
      <formula>NOT(ISERROR(SEARCH(" ",J9)))</formula>
    </cfRule>
  </conditionalFormatting>
  <conditionalFormatting sqref="K21:K28">
    <cfRule type="containsText" dxfId="314" priority="12" operator="containsText" text=" ">
      <formula>NOT(ISERROR(SEARCH(" ",K21)))</formula>
    </cfRule>
  </conditionalFormatting>
  <conditionalFormatting sqref="K39:K43">
    <cfRule type="containsText" dxfId="313" priority="15" operator="containsText" text=" ">
      <formula>NOT(ISERROR(SEARCH(" ",K39)))</formula>
    </cfRule>
  </conditionalFormatting>
  <conditionalFormatting sqref="L21:L28">
    <cfRule type="containsText" dxfId="312" priority="24" operator="containsText" text=" ">
      <formula>NOT(ISERROR(SEARCH(" ",L21)))</formula>
    </cfRule>
  </conditionalFormatting>
  <conditionalFormatting sqref="L34:L38">
    <cfRule type="containsText" dxfId="311" priority="40" operator="containsText" text=" ">
      <formula>NOT(ISERROR(SEARCH(" ",L34)))</formula>
    </cfRule>
  </conditionalFormatting>
  <conditionalFormatting sqref="L39:L43">
    <cfRule type="containsText" dxfId="310" priority="14" operator="containsText" text=" ">
      <formula>NOT(ISERROR(SEARCH(" ",L39)))</formula>
    </cfRule>
  </conditionalFormatting>
  <conditionalFormatting sqref="M21:M28">
    <cfRule type="containsText" dxfId="309" priority="76" operator="containsText" text=" ">
      <formula>NOT(ISERROR(SEARCH(" ",M21)))</formula>
    </cfRule>
  </conditionalFormatting>
  <conditionalFormatting sqref="N7:N11">
    <cfRule type="containsText" dxfId="308" priority="83" operator="containsText" text=" ">
      <formula>NOT(ISERROR(SEARCH(" ",N7)))</formula>
    </cfRule>
  </conditionalFormatting>
  <conditionalFormatting sqref="N15:N19">
    <cfRule type="containsText" dxfId="307" priority="60" operator="containsText" text=" ">
      <formula>NOT(ISERROR(SEARCH(" ",N15)))</formula>
    </cfRule>
  </conditionalFormatting>
  <conditionalFormatting sqref="O5:O8">
    <cfRule type="containsText" dxfId="306" priority="62" operator="containsText" text=" ">
      <formula>NOT(ISERROR(SEARCH(" ",O5)))</formula>
    </cfRule>
  </conditionalFormatting>
  <conditionalFormatting sqref="O9:O12">
    <cfRule type="containsText" dxfId="305" priority="77" operator="containsText" text=" ">
      <formula>NOT(ISERROR(SEARCH(" ",O9)))</formula>
    </cfRule>
  </conditionalFormatting>
  <conditionalFormatting sqref="O21:O24">
    <cfRule type="containsText" dxfId="304" priority="27" operator="containsText" text=" ">
      <formula>NOT(ISERROR(SEARCH(" ",O21)))</formula>
    </cfRule>
  </conditionalFormatting>
  <conditionalFormatting sqref="O25:O28">
    <cfRule type="containsText" dxfId="303" priority="28" operator="containsText" text=" ">
      <formula>NOT(ISERROR(SEARCH(" ",O25)))</formula>
    </cfRule>
  </conditionalFormatting>
  <conditionalFormatting sqref="R11:R12">
    <cfRule type="containsText" dxfId="302" priority="65" operator="containsText" text=" ">
      <formula>NOT(ISERROR(SEARCH(" ",R11)))</formula>
    </cfRule>
  </conditionalFormatting>
  <conditionalFormatting sqref="R19:R20">
    <cfRule type="containsText" dxfId="301" priority="50" operator="containsText" text=" ">
      <formula>NOT(ISERROR(SEARCH(" ",R19)))</formula>
    </cfRule>
  </conditionalFormatting>
  <conditionalFormatting sqref="R21:R26">
    <cfRule type="containsText" dxfId="300" priority="26" operator="containsText" text=" ">
      <formula>NOT(ISERROR(SEARCH(" ",R21)))</formula>
    </cfRule>
  </conditionalFormatting>
  <conditionalFormatting sqref="R27:R28">
    <cfRule type="containsText" dxfId="299" priority="25" operator="containsText" text=" ">
      <formula>NOT(ISERROR(SEARCH(" ",R27)))</formula>
    </cfRule>
  </conditionalFormatting>
  <conditionalFormatting sqref="X8:X12">
    <cfRule type="containsText" dxfId="298" priority="288" operator="containsText" text=" ">
      <formula>NOT(ISERROR(SEARCH(" ",X8)))</formula>
    </cfRule>
  </conditionalFormatting>
  <conditionalFormatting sqref="X13:X16">
    <cfRule type="containsText" dxfId="297" priority="285" operator="containsText" text=" ">
      <formula>NOT(ISERROR(SEARCH(" ",X13)))</formula>
    </cfRule>
  </conditionalFormatting>
  <conditionalFormatting sqref="Z8:Z11">
    <cfRule type="containsText" dxfId="296" priority="289" operator="containsText" text=" ">
      <formula>NOT(ISERROR(SEARCH(" ",Z8)))</formula>
    </cfRule>
  </conditionalFormatting>
  <conditionalFormatting sqref="Z13:Z16">
    <cfRule type="containsText" dxfId="295" priority="286" operator="containsText" text=" ">
      <formula>NOT(ISERROR(SEARCH(" ",Z13)))</formula>
    </cfRule>
  </conditionalFormatting>
  <conditionalFormatting sqref="AJ8:AJ11">
    <cfRule type="containsText" dxfId="294" priority="294" operator="containsText" text=" ">
      <formula>NOT(ISERROR(SEARCH(" ",AJ8)))</formula>
    </cfRule>
  </conditionalFormatting>
  <conditionalFormatting sqref="AJ21:AJ24">
    <cfRule type="containsText" dxfId="293" priority="291" operator="containsText" text=" ">
      <formula>NOT(ISERROR(SEARCH(" ",AJ21)))</formula>
    </cfRule>
  </conditionalFormatting>
  <conditionalFormatting sqref="AL8:AL11">
    <cfRule type="containsText" dxfId="292" priority="295" operator="containsText" text=" ">
      <formula>NOT(ISERROR(SEARCH(" ",AL8)))</formula>
    </cfRule>
  </conditionalFormatting>
  <conditionalFormatting sqref="AL12:AL20">
    <cfRule type="containsText" dxfId="291" priority="293" operator="containsText" text=" ">
      <formula>NOT(ISERROR(SEARCH(" ",AL12)))</formula>
    </cfRule>
  </conditionalFormatting>
  <conditionalFormatting sqref="AL21:AL24">
    <cfRule type="containsText" dxfId="290" priority="292" operator="containsText" text=" ">
      <formula>NOT(ISERROR(SEARCH(" ",AL21)))</formula>
    </cfRule>
  </conditionalFormatting>
  <conditionalFormatting sqref="X17:Z18 U25:U26 U4:Z6 Y7:Z7 U7:V7 U8:W12 U13:U20 Y8:Y16 U1:U3 W3:Z3">
    <cfRule type="containsText" dxfId="289" priority="290" operator="containsText" text=" ">
      <formula>NOT(ISERROR(SEARCH(" ",U1)))</formula>
    </cfRule>
  </conditionalFormatting>
  <conditionalFormatting sqref="V1 AA1:AB1 W1:Z2 AB2">
    <cfRule type="containsText" dxfId="288" priority="121" operator="containsText" text=" ">
      <formula>NOT(ISERROR(SEARCH(" ",V1)))</formula>
    </cfRule>
  </conditionalFormatting>
  <conditionalFormatting sqref="AK8:AK11 AK21:AK24 AI21:AI24 AI12:AK20 AI8:AI11 AI4:AL7">
    <cfRule type="containsText" dxfId="287" priority="296" operator="containsText" text=" ">
      <formula>NOT(ISERROR(SEARCH(" ",AI4)))</formula>
    </cfRule>
  </conditionalFormatting>
  <conditionalFormatting sqref="AN5:XFD5 AF5:AH6 AE25:XFD1048576 AF12:AH24 AN12:XFD24 F44:N45 AM6 A44:E1048576 F55:N1048576 F46:J54">
    <cfRule type="containsText" dxfId="286" priority="306" operator="containsText" text=" ">
      <formula>NOT(ISERROR(SEARCH(" ",A5)))</formula>
    </cfRule>
  </conditionalFormatting>
  <conditionalFormatting sqref="I8 H8:H12 B29:B33 N12 N5:N6 M29:N33 G8:G11 I29:K33 N21:N28 H21:H28 I39:J43 M39:N43 B39:B43 D5:E12 D21:E33 D39:E43 G5:I7">
    <cfRule type="containsText" dxfId="285" priority="84" operator="containsText" text=" ">
      <formula>NOT(ISERROR(SEARCH(" ",B5)))</formula>
    </cfRule>
  </conditionalFormatting>
  <conditionalFormatting sqref="C5:C12 C21:C33 C39:C43">
    <cfRule type="containsText" dxfId="284" priority="80" operator="containsText" text=" ">
      <formula>NOT(ISERROR(SEARCH(" ",C5)))</formula>
    </cfRule>
  </conditionalFormatting>
  <conditionalFormatting sqref="D5:E12 D21:E33 D39:E43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2 F21:F33 F39:F43">
    <cfRule type="containsText" dxfId="283" priority="81" operator="containsText" text=" ">
      <formula>NOT(ISERROR(SEARCH(" ",F5)))</formula>
    </cfRule>
  </conditionalFormatting>
  <conditionalFormatting sqref="K5:M12 L29:L33">
    <cfRule type="containsText" dxfId="282" priority="79" operator="containsText" text=" ">
      <formula>NOT(ISERROR(SEARCH(" ",K5)))</formula>
    </cfRule>
  </conditionalFormatting>
  <conditionalFormatting sqref="P5:S10 P11:Q12 S11:S12">
    <cfRule type="containsText" dxfId="281" priority="78" operator="containsText" text=" ">
      <formula>NOT(ISERROR(SEARCH(" ",P5)))</formula>
    </cfRule>
  </conditionalFormatting>
  <conditionalFormatting sqref="AN6:XFD6 AM5 AM7:AM24">
    <cfRule type="containsText" dxfId="280" priority="305" operator="containsText" text=" ">
      <formula>NOT(ISERROR(SEARCH(" ",AM5)))</formula>
    </cfRule>
  </conditionalFormatting>
  <conditionalFormatting sqref="AF7:AH7 AN7:XFD7">
    <cfRule type="containsText" dxfId="279" priority="304" operator="containsText" text=" ">
      <formula>NOT(ISERROR(SEARCH(" ",AF7)))</formula>
    </cfRule>
  </conditionalFormatting>
  <conditionalFormatting sqref="AF8:AH8 AN8:XFD8">
    <cfRule type="containsText" dxfId="278" priority="303" operator="containsText" text=" ">
      <formula>NOT(ISERROR(SEARCH(" ",AF8)))</formula>
    </cfRule>
  </conditionalFormatting>
  <conditionalFormatting sqref="G12 H29:H33 I21:J28 G21:G33 G39:H43 I9:I12">
    <cfRule type="containsText" dxfId="277" priority="82" operator="containsText" text=" ">
      <formula>NOT(ISERROR(SEARCH(" ",G9)))</formula>
    </cfRule>
  </conditionalFormatting>
  <conditionalFormatting sqref="AF9:AH9 AN9:XFD9">
    <cfRule type="containsText" dxfId="276" priority="302" operator="containsText" text=" ">
      <formula>NOT(ISERROR(SEARCH(" ",AF9)))</formula>
    </cfRule>
  </conditionalFormatting>
  <conditionalFormatting sqref="AF10:AH10 AN10:XFD10">
    <cfRule type="containsText" dxfId="275" priority="301" operator="containsText" text=" ">
      <formula>NOT(ISERROR(SEARCH(" ",AF10)))</formula>
    </cfRule>
  </conditionalFormatting>
  <conditionalFormatting sqref="AF11:AH11 AN11:XFD11">
    <cfRule type="containsText" dxfId="274" priority="300" operator="containsText" text=" ">
      <formula>NOT(ISERROR(SEARCH(" ",AF11)))</formula>
    </cfRule>
  </conditionalFormatting>
  <conditionalFormatting sqref="D13:E2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J15 I16:J16 H16:H20 N20 N13:N14 G16:G19 D13:E20">
    <cfRule type="containsText" dxfId="273" priority="61" operator="containsText" text=" ">
      <formula>NOT(ISERROR(SEARCH(" ",D13)))</formula>
    </cfRule>
  </conditionalFormatting>
  <conditionalFormatting sqref="K13:M20">
    <cfRule type="containsText" dxfId="272" priority="56" operator="containsText" text=" ">
      <formula>NOT(ISERROR(SEARCH(" ",K13)))</formula>
    </cfRule>
  </conditionalFormatting>
  <conditionalFormatting sqref="O18:S18 P13:S17 P19:Q19 O20:Q20 S19:S20">
    <cfRule type="containsText" dxfId="271" priority="55" operator="containsText" text=" ">
      <formula>NOT(ISERROR(SEARCH(" ",O13)))</formula>
    </cfRule>
  </conditionalFormatting>
  <conditionalFormatting sqref="V19:Y19 U27:U43 U21:U24 V13:W16 U44:AD1048576 AB26:AD43 AA18:AA34 V20:Z34">
    <cfRule type="containsText" dxfId="270" priority="242" operator="containsText" text=" ">
      <formula>NOT(ISERROR(SEARCH(" ",U13)))</formula>
    </cfRule>
  </conditionalFormatting>
  <conditionalFormatting sqref="G20 I17:J20">
    <cfRule type="containsText" dxfId="269" priority="59" operator="containsText" text=" ">
      <formula>NOT(ISERROR(SEARCH(" ",G17)))</formula>
    </cfRule>
  </conditionalFormatting>
  <conditionalFormatting sqref="P21:Q22 S21:S33 P29:Q33">
    <cfRule type="containsText" dxfId="268" priority="75" operator="containsText" text=" ">
      <formula>NOT(ISERROR(SEARCH(" ",P21)))</formula>
    </cfRule>
  </conditionalFormatting>
  <conditionalFormatting sqref="P23:Q24">
    <cfRule type="containsText" dxfId="267" priority="64" operator="containsText" text=" ">
      <formula>NOT(ISERROR(SEARCH(" ",P23)))</formula>
    </cfRule>
  </conditionalFormatting>
  <conditionalFormatting sqref="P25:Q28">
    <cfRule type="containsText" dxfId="266" priority="66" operator="containsText" text=" ">
      <formula>NOT(ISERROR(SEARCH(" ",P25)))</formula>
    </cfRule>
  </conditionalFormatting>
  <conditionalFormatting sqref="R29:R30 R33">
    <cfRule type="containsText" dxfId="265" priority="74" operator="containsText" text=" ">
      <formula>NOT(ISERROR(SEARCH(" ",R29)))</formula>
    </cfRule>
  </conditionalFormatting>
  <conditionalFormatting sqref="M34:N38 I34:K38 B34:B38 D34:E38">
    <cfRule type="containsText" dxfId="264" priority="44" operator="containsText" text=" ">
      <formula>NOT(ISERROR(SEARCH(" ",B34)))</formula>
    </cfRule>
  </conditionalFormatting>
  <conditionalFormatting sqref="D34:E3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:H38">
    <cfRule type="containsText" dxfId="263" priority="43" operator="containsText" text=" ">
      <formula>NOT(ISERROR(SEARCH(" ",G34)))</formula>
    </cfRule>
  </conditionalFormatting>
  <conditionalFormatting sqref="S34:S38 P34:Q38">
    <cfRule type="containsText" dxfId="262" priority="39" operator="containsText" text=" ">
      <formula>NOT(ISERROR(SEARCH(" ",P34)))</formula>
    </cfRule>
  </conditionalFormatting>
  <conditionalFormatting sqref="R34:R35 R38">
    <cfRule type="containsText" dxfId="261" priority="38" operator="containsText" text=" ">
      <formula>NOT(ISERROR(SEARCH(" ",R34)))</formula>
    </cfRule>
  </conditionalFormatting>
  <conditionalFormatting sqref="P39:Q43 S39:S43">
    <cfRule type="containsText" dxfId="260" priority="72" operator="containsText" text=" ">
      <formula>NOT(ISERROR(SEARCH(" ",P39)))</formula>
    </cfRule>
  </conditionalFormatting>
  <conditionalFormatting sqref="R39:R40 R43">
    <cfRule type="containsText" dxfId="259" priority="18" operator="containsText" text=" ">
      <formula>NOT(ISERROR(SEARCH(" ",R39)))</formula>
    </cfRule>
  </conditionalFormatting>
  <conditionalFormatting sqref="O44:S45 O55:S55 P46:S54">
    <cfRule type="containsText" dxfId="258" priority="284" operator="containsText" text=" ">
      <formula>NOT(ISERROR(SEARCH(" ",O44)))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workbookViewId="0">
      <selection activeCell="F5" sqref="F5"/>
    </sheetView>
  </sheetViews>
  <sheetFormatPr defaultColWidth="9" defaultRowHeight="15.6" x14ac:dyDescent="0.25"/>
  <cols>
    <col min="1" max="1" width="9.88671875" style="1" customWidth="1"/>
    <col min="2" max="2" width="15.21875" style="1" customWidth="1"/>
    <col min="3" max="3" width="31.44140625" style="1" customWidth="1"/>
    <col min="4" max="4" width="15.109375" style="1" customWidth="1"/>
    <col min="5" max="6" width="28.6640625" style="1" customWidth="1"/>
    <col min="7" max="10" width="9" style="1"/>
    <col min="11" max="11" width="10.44140625" style="1" customWidth="1"/>
    <col min="12" max="14" width="9" style="1"/>
    <col min="15" max="15" width="9.77734375" style="1" customWidth="1"/>
    <col min="16" max="18" width="9" style="1"/>
    <col min="19" max="19" width="11.6640625" style="1" customWidth="1"/>
    <col min="20" max="16384" width="9" style="1"/>
  </cols>
  <sheetData>
    <row r="1" spans="1:23" x14ac:dyDescent="0.35">
      <c r="A1" s="2" t="s">
        <v>0</v>
      </c>
      <c r="B1" s="2" t="s">
        <v>0</v>
      </c>
      <c r="C1" s="30" t="s">
        <v>0</v>
      </c>
      <c r="D1" s="86" t="s">
        <v>0</v>
      </c>
      <c r="E1" s="86" t="s">
        <v>0</v>
      </c>
      <c r="F1" s="86" t="s">
        <v>1</v>
      </c>
    </row>
    <row r="2" spans="1:23" x14ac:dyDescent="0.35">
      <c r="A2" s="2" t="s">
        <v>7</v>
      </c>
      <c r="B2" s="2" t="s">
        <v>7</v>
      </c>
      <c r="C2" s="30" t="s">
        <v>9</v>
      </c>
      <c r="D2" s="86" t="s">
        <v>9</v>
      </c>
      <c r="E2" s="86" t="s">
        <v>9</v>
      </c>
      <c r="F2" s="86" t="s">
        <v>9</v>
      </c>
      <c r="H2" s="65"/>
      <c r="K2" s="1" t="s">
        <v>726</v>
      </c>
      <c r="P2" s="1" t="str">
        <f>RIGHT(D5,LEN(LEFT(D5,2)))</f>
        <v/>
      </c>
    </row>
    <row r="3" spans="1:23" x14ac:dyDescent="0.35">
      <c r="A3" s="2" t="s">
        <v>727</v>
      </c>
      <c r="B3" s="2" t="s">
        <v>728</v>
      </c>
      <c r="C3" s="30" t="s">
        <v>729</v>
      </c>
      <c r="D3" s="86" t="s">
        <v>730</v>
      </c>
      <c r="E3" s="86" t="s">
        <v>731</v>
      </c>
      <c r="F3" s="86" t="s">
        <v>732</v>
      </c>
      <c r="H3" s="69"/>
    </row>
    <row r="4" spans="1:23" s="69" customFormat="1" ht="92.4" x14ac:dyDescent="0.35">
      <c r="A4" s="60" t="s">
        <v>733</v>
      </c>
      <c r="B4" s="60" t="s">
        <v>734</v>
      </c>
      <c r="C4" s="4" t="s">
        <v>622</v>
      </c>
      <c r="D4" s="87" t="s">
        <v>735</v>
      </c>
      <c r="E4" s="87" t="s">
        <v>736</v>
      </c>
      <c r="F4" s="86" t="s">
        <v>737</v>
      </c>
      <c r="H4" s="88" t="s">
        <v>738</v>
      </c>
      <c r="J4" s="69" t="s">
        <v>739</v>
      </c>
      <c r="K4" s="36" t="s">
        <v>544</v>
      </c>
      <c r="L4" s="37" t="s">
        <v>390</v>
      </c>
      <c r="M4" s="37" t="s">
        <v>391</v>
      </c>
      <c r="N4" s="38" t="s">
        <v>392</v>
      </c>
      <c r="O4" s="96" t="s">
        <v>740</v>
      </c>
      <c r="P4" s="90" t="s">
        <v>553</v>
      </c>
      <c r="Q4" s="69">
        <f>10+20+30+40+50</f>
        <v>150</v>
      </c>
      <c r="S4" s="22">
        <f>'抽奖|MoonBless'!DN4</f>
        <v>0</v>
      </c>
      <c r="T4" s="91" t="str">
        <f>'抽奖|MoonBless'!DO4</f>
        <v>人民币价值</v>
      </c>
      <c r="U4" s="92" t="str">
        <f>'抽奖|MoonBless'!DP4</f>
        <v>价值
钻石价值</v>
      </c>
      <c r="V4" s="91" t="str">
        <f>'抽奖|MoonBless'!DQ4</f>
        <v>物品类型</v>
      </c>
      <c r="W4" s="93" t="str">
        <f>'抽奖|MoonBless'!DR4</f>
        <v>id</v>
      </c>
    </row>
    <row r="5" spans="1:23" x14ac:dyDescent="0.25">
      <c r="A5" s="1">
        <v>1</v>
      </c>
      <c r="B5" s="1">
        <v>1</v>
      </c>
      <c r="C5" s="1" t="str">
        <f t="shared" ref="C5:C18" si="0">L5&amp;"|"&amp;M5&amp;"|"&amp;N5</f>
        <v>1|2|20000</v>
      </c>
      <c r="E5" s="1" t="s">
        <v>741</v>
      </c>
      <c r="F5" s="6" t="s">
        <v>742</v>
      </c>
      <c r="H5" s="1">
        <f>IF(G5&gt;0,1,0)</f>
        <v>0</v>
      </c>
      <c r="J5" s="1">
        <v>1</v>
      </c>
      <c r="K5" s="40" t="s">
        <v>375</v>
      </c>
      <c r="L5" s="11">
        <f t="shared" ref="L5:L18" si="1">VLOOKUP(K5,S:W,4,0)</f>
        <v>1</v>
      </c>
      <c r="M5" s="11">
        <f t="shared" ref="M5:M18" si="2">VLOOKUP(K5,S:W,5,0)</f>
        <v>2</v>
      </c>
      <c r="N5" s="41">
        <v>20000</v>
      </c>
      <c r="O5" s="97">
        <f>N5*J5</f>
        <v>20000</v>
      </c>
      <c r="P5" s="19">
        <f t="shared" ref="P5:P18" si="3">VLOOKUP(K5,S:W,2,0)*N5</f>
        <v>0.1</v>
      </c>
      <c r="Q5" s="1" t="s">
        <v>743</v>
      </c>
      <c r="R5" s="1">
        <f>SUMIF($K$5:$K$34,"金币",$N$5:$N$34)</f>
        <v>1440000</v>
      </c>
      <c r="S5" s="10" t="str">
        <f>'抽奖|MoonBless'!DN5</f>
        <v>人民币</v>
      </c>
      <c r="T5" s="11">
        <f>'抽奖|MoonBless'!DO5</f>
        <v>1</v>
      </c>
      <c r="U5" s="11">
        <f>'抽奖|MoonBless'!DP5</f>
        <v>20</v>
      </c>
      <c r="V5" s="11">
        <f>'抽奖|MoonBless'!DQ5</f>
        <v>1</v>
      </c>
      <c r="W5" s="19">
        <f>'抽奖|MoonBless'!DR5</f>
        <v>0</v>
      </c>
    </row>
    <row r="6" spans="1:23" x14ac:dyDescent="0.25">
      <c r="A6" s="1">
        <v>2</v>
      </c>
      <c r="B6" s="1">
        <v>1</v>
      </c>
      <c r="C6" s="1" t="str">
        <f t="shared" si="0"/>
        <v>1|2|50000</v>
      </c>
      <c r="D6" s="1" t="s">
        <v>350</v>
      </c>
      <c r="E6" s="1" t="s">
        <v>741</v>
      </c>
      <c r="F6" s="6" t="s">
        <v>742</v>
      </c>
      <c r="H6" s="1">
        <v>0</v>
      </c>
      <c r="J6" s="1">
        <f t="shared" ref="J6:J11" si="4">(LEFT(D6,1)+RIGHT(D6,LEN(D6)-LEN(LEFT(D6,2))))/2</f>
        <v>6</v>
      </c>
      <c r="K6" s="40" t="s">
        <v>375</v>
      </c>
      <c r="L6" s="11">
        <f t="shared" si="1"/>
        <v>1</v>
      </c>
      <c r="M6" s="11">
        <f t="shared" si="2"/>
        <v>2</v>
      </c>
      <c r="N6" s="41">
        <v>50000</v>
      </c>
      <c r="O6" s="97">
        <f t="shared" ref="O6:O11" si="5">N6*J6</f>
        <v>300000</v>
      </c>
      <c r="P6" s="19">
        <f t="shared" si="3"/>
        <v>0.25</v>
      </c>
      <c r="Q6" s="1" t="s">
        <v>744</v>
      </c>
      <c r="R6" s="1">
        <f>SUMIF($K$5:$K$34,"钻石",$N$5:$N$34)</f>
        <v>0</v>
      </c>
      <c r="S6" s="10" t="str">
        <f>'抽奖|MoonBless'!DN6</f>
        <v>钻石</v>
      </c>
      <c r="T6" s="11">
        <f>'抽奖|MoonBless'!DO6</f>
        <v>0.1</v>
      </c>
      <c r="U6" s="11">
        <f>'抽奖|MoonBless'!DP6</f>
        <v>2</v>
      </c>
      <c r="V6" s="11">
        <f>'抽奖|MoonBless'!DQ6</f>
        <v>1</v>
      </c>
      <c r="W6" s="19">
        <f>'抽奖|MoonBless'!DR6</f>
        <v>1</v>
      </c>
    </row>
    <row r="7" spans="1:23" x14ac:dyDescent="0.25">
      <c r="A7" s="1">
        <v>3</v>
      </c>
      <c r="B7" s="1">
        <v>1</v>
      </c>
      <c r="C7" s="1" t="str">
        <f t="shared" si="0"/>
        <v>1|2|80000</v>
      </c>
      <c r="D7" s="1" t="s">
        <v>745</v>
      </c>
      <c r="E7" s="1" t="s">
        <v>741</v>
      </c>
      <c r="F7" s="6" t="s">
        <v>742</v>
      </c>
      <c r="H7" s="1">
        <v>1</v>
      </c>
      <c r="J7" s="1">
        <f t="shared" si="4"/>
        <v>5</v>
      </c>
      <c r="K7" s="40" t="s">
        <v>375</v>
      </c>
      <c r="L7" s="11">
        <f t="shared" si="1"/>
        <v>1</v>
      </c>
      <c r="M7" s="11">
        <f t="shared" si="2"/>
        <v>2</v>
      </c>
      <c r="N7" s="41">
        <v>80000</v>
      </c>
      <c r="O7" s="97">
        <f t="shared" si="5"/>
        <v>400000</v>
      </c>
      <c r="P7" s="19">
        <f t="shared" si="3"/>
        <v>0.4</v>
      </c>
      <c r="Q7" s="1" t="s">
        <v>746</v>
      </c>
      <c r="R7" s="1">
        <f>SUMIF($K$5:$K$34,"锁定",$N$5:$N$34)</f>
        <v>0</v>
      </c>
      <c r="S7" s="10" t="str">
        <f>'抽奖|MoonBless'!DN7</f>
        <v>金币</v>
      </c>
      <c r="T7" s="11">
        <f>'抽奖|MoonBless'!DO7</f>
        <v>5.0000000000000004E-6</v>
      </c>
      <c r="U7" s="11">
        <f>'抽奖|MoonBless'!DP7</f>
        <v>1E-4</v>
      </c>
      <c r="V7" s="11">
        <f>'抽奖|MoonBless'!DQ7</f>
        <v>1</v>
      </c>
      <c r="W7" s="19">
        <f>'抽奖|MoonBless'!DR7</f>
        <v>2</v>
      </c>
    </row>
    <row r="8" spans="1:23" x14ac:dyDescent="0.25">
      <c r="A8" s="1">
        <v>4</v>
      </c>
      <c r="B8" s="1">
        <v>1</v>
      </c>
      <c r="C8" s="1" t="str">
        <f t="shared" si="0"/>
        <v>1|2|100000</v>
      </c>
      <c r="D8" s="1" t="s">
        <v>342</v>
      </c>
      <c r="E8" s="1" t="s">
        <v>741</v>
      </c>
      <c r="F8" s="6" t="s">
        <v>742</v>
      </c>
      <c r="H8" s="1">
        <v>0</v>
      </c>
      <c r="J8" s="1">
        <f t="shared" si="4"/>
        <v>4.5</v>
      </c>
      <c r="K8" s="40" t="s">
        <v>375</v>
      </c>
      <c r="L8" s="11">
        <f t="shared" si="1"/>
        <v>1</v>
      </c>
      <c r="M8" s="11">
        <f t="shared" si="2"/>
        <v>2</v>
      </c>
      <c r="N8" s="41">
        <v>100000</v>
      </c>
      <c r="O8" s="97">
        <f t="shared" si="5"/>
        <v>450000</v>
      </c>
      <c r="P8" s="19">
        <f t="shared" si="3"/>
        <v>0.5</v>
      </c>
      <c r="Q8" s="1" t="s">
        <v>747</v>
      </c>
      <c r="R8" s="1">
        <f>SUMIF($K$5:$K$34,"狂暴",$N$5:$N$34)</f>
        <v>0</v>
      </c>
      <c r="S8" s="10" t="str">
        <f>'抽奖|MoonBless'!DN8</f>
        <v>锁定</v>
      </c>
      <c r="T8" s="11">
        <f>'抽奖|MoonBless'!DO8</f>
        <v>0.1</v>
      </c>
      <c r="U8" s="11">
        <f>'抽奖|MoonBless'!DP8</f>
        <v>2</v>
      </c>
      <c r="V8" s="11">
        <f>'抽奖|MoonBless'!DQ8</f>
        <v>2</v>
      </c>
      <c r="W8" s="19">
        <f>'抽奖|MoonBless'!DR8</f>
        <v>1001</v>
      </c>
    </row>
    <row r="9" spans="1:23" x14ac:dyDescent="0.25">
      <c r="A9" s="1">
        <v>5</v>
      </c>
      <c r="B9" s="1">
        <v>1</v>
      </c>
      <c r="C9" s="1" t="str">
        <f t="shared" si="0"/>
        <v>1|2|120000</v>
      </c>
      <c r="D9" s="1" t="s">
        <v>748</v>
      </c>
      <c r="E9" s="1" t="s">
        <v>741</v>
      </c>
      <c r="F9" s="6" t="s">
        <v>742</v>
      </c>
      <c r="H9" s="1">
        <v>0</v>
      </c>
      <c r="J9" s="1">
        <f t="shared" si="4"/>
        <v>4</v>
      </c>
      <c r="K9" s="40" t="s">
        <v>375</v>
      </c>
      <c r="L9" s="11">
        <f t="shared" si="1"/>
        <v>1</v>
      </c>
      <c r="M9" s="11">
        <f t="shared" si="2"/>
        <v>2</v>
      </c>
      <c r="N9" s="41">
        <v>120000</v>
      </c>
      <c r="O9" s="97">
        <f t="shared" si="5"/>
        <v>480000</v>
      </c>
      <c r="P9" s="19">
        <f t="shared" si="3"/>
        <v>0.60000000000000009</v>
      </c>
      <c r="S9" s="10" t="str">
        <f>'抽奖|MoonBless'!DN9</f>
        <v>冰冻</v>
      </c>
      <c r="T9" s="11">
        <f>'抽奖|MoonBless'!DO9</f>
        <v>0.25</v>
      </c>
      <c r="U9" s="11">
        <f>'抽奖|MoonBless'!DP9</f>
        <v>5</v>
      </c>
      <c r="V9" s="11">
        <f>'抽奖|MoonBless'!DQ9</f>
        <v>2</v>
      </c>
      <c r="W9" s="19">
        <f>'抽奖|MoonBless'!DR9</f>
        <v>1002</v>
      </c>
    </row>
    <row r="10" spans="1:23" ht="16.2" x14ac:dyDescent="0.25">
      <c r="A10" s="89">
        <v>6</v>
      </c>
      <c r="B10" s="1">
        <v>1</v>
      </c>
      <c r="C10" s="1" t="str">
        <f t="shared" si="0"/>
        <v>1|2|150000</v>
      </c>
      <c r="D10" s="1" t="s">
        <v>748</v>
      </c>
      <c r="E10" s="1" t="s">
        <v>741</v>
      </c>
      <c r="F10" s="6" t="s">
        <v>742</v>
      </c>
      <c r="H10" s="1">
        <v>0</v>
      </c>
      <c r="J10" s="1">
        <f t="shared" si="4"/>
        <v>4</v>
      </c>
      <c r="K10" s="40" t="s">
        <v>375</v>
      </c>
      <c r="L10" s="11">
        <f t="shared" si="1"/>
        <v>1</v>
      </c>
      <c r="M10" s="11">
        <f t="shared" si="2"/>
        <v>2</v>
      </c>
      <c r="N10" s="41">
        <v>150000</v>
      </c>
      <c r="O10" s="97">
        <f t="shared" si="5"/>
        <v>600000</v>
      </c>
      <c r="P10" s="19">
        <f t="shared" si="3"/>
        <v>0.75000000000000011</v>
      </c>
      <c r="S10" s="10" t="str">
        <f>'抽奖|MoonBless'!DN10</f>
        <v>狂暴</v>
      </c>
      <c r="T10" s="11">
        <f>'抽奖|MoonBless'!DO10</f>
        <v>0.5</v>
      </c>
      <c r="U10" s="11">
        <f>'抽奖|MoonBless'!DP10</f>
        <v>10</v>
      </c>
      <c r="V10" s="11">
        <f>'抽奖|MoonBless'!DQ10</f>
        <v>2</v>
      </c>
      <c r="W10" s="19">
        <f>'抽奖|MoonBless'!DR10</f>
        <v>1003</v>
      </c>
    </row>
    <row r="11" spans="1:23" x14ac:dyDescent="0.25">
      <c r="A11" s="1">
        <v>7</v>
      </c>
      <c r="B11" s="1">
        <v>1</v>
      </c>
      <c r="C11" s="1" t="str">
        <f t="shared" si="0"/>
        <v>1|2|200000</v>
      </c>
      <c r="D11" s="1" t="s">
        <v>344</v>
      </c>
      <c r="E11" s="1" t="s">
        <v>741</v>
      </c>
      <c r="F11" s="6" t="s">
        <v>742</v>
      </c>
      <c r="H11" s="1">
        <v>1</v>
      </c>
      <c r="J11" s="1">
        <f t="shared" si="4"/>
        <v>3.5</v>
      </c>
      <c r="K11" s="40" t="s">
        <v>375</v>
      </c>
      <c r="L11" s="11">
        <f t="shared" si="1"/>
        <v>1</v>
      </c>
      <c r="M11" s="11">
        <f t="shared" si="2"/>
        <v>2</v>
      </c>
      <c r="N11" s="41">
        <v>200000</v>
      </c>
      <c r="O11" s="97">
        <f t="shared" si="5"/>
        <v>700000</v>
      </c>
      <c r="P11" s="19">
        <f t="shared" si="3"/>
        <v>1</v>
      </c>
      <c r="S11" s="10" t="str">
        <f>'抽奖|MoonBless'!DN11</f>
        <v>召唤</v>
      </c>
      <c r="T11" s="11">
        <f>'抽奖|MoonBless'!DO11</f>
        <v>0.1</v>
      </c>
      <c r="U11" s="11">
        <f>'抽奖|MoonBless'!DP11</f>
        <v>2</v>
      </c>
      <c r="V11" s="11">
        <f>'抽奖|MoonBless'!DQ11</f>
        <v>2</v>
      </c>
      <c r="W11" s="19">
        <f>'抽奖|MoonBless'!DR11</f>
        <v>1004</v>
      </c>
    </row>
    <row r="12" spans="1:23" x14ac:dyDescent="0.25">
      <c r="A12" s="1">
        <v>8</v>
      </c>
      <c r="B12" s="1">
        <v>2</v>
      </c>
      <c r="C12" s="1" t="str">
        <f t="shared" si="0"/>
        <v>1|2|20000</v>
      </c>
      <c r="E12" s="1" t="s">
        <v>741</v>
      </c>
      <c r="H12" s="1">
        <v>0</v>
      </c>
      <c r="K12" s="40" t="s">
        <v>375</v>
      </c>
      <c r="L12" s="11">
        <f t="shared" si="1"/>
        <v>1</v>
      </c>
      <c r="M12" s="11">
        <f t="shared" si="2"/>
        <v>2</v>
      </c>
      <c r="N12" s="41">
        <f>N5</f>
        <v>20000</v>
      </c>
      <c r="O12" s="97"/>
      <c r="P12" s="19">
        <f t="shared" si="3"/>
        <v>0.1</v>
      </c>
      <c r="S12" s="10" t="str">
        <f>'抽奖|MoonBless'!DN12</f>
        <v>福卡</v>
      </c>
      <c r="T12" s="11">
        <f>'抽奖|MoonBless'!DO12</f>
        <v>7.5000000000000002E-4</v>
      </c>
      <c r="U12" s="11">
        <f>'抽奖|MoonBless'!DP12</f>
        <v>1.5000000000000001E-2</v>
      </c>
      <c r="V12" s="11">
        <f>'抽奖|MoonBless'!DQ12</f>
        <v>2</v>
      </c>
      <c r="W12" s="19">
        <f>'抽奖|MoonBless'!DR12</f>
        <v>1204</v>
      </c>
    </row>
    <row r="13" spans="1:23" x14ac:dyDescent="0.25">
      <c r="A13" s="1">
        <v>9</v>
      </c>
      <c r="B13" s="1">
        <v>2</v>
      </c>
      <c r="C13" s="1" t="str">
        <f t="shared" si="0"/>
        <v>1|2|50000</v>
      </c>
      <c r="E13" s="1" t="s">
        <v>741</v>
      </c>
      <c r="H13" s="1">
        <v>0</v>
      </c>
      <c r="K13" s="40" t="s">
        <v>375</v>
      </c>
      <c r="L13" s="11">
        <f t="shared" si="1"/>
        <v>1</v>
      </c>
      <c r="M13" s="11">
        <f t="shared" si="2"/>
        <v>2</v>
      </c>
      <c r="N13" s="41">
        <f t="shared" ref="N13:N18" si="6">N6</f>
        <v>50000</v>
      </c>
      <c r="O13" s="97"/>
      <c r="P13" s="19">
        <f t="shared" si="3"/>
        <v>0.25</v>
      </c>
      <c r="S13" s="10" t="str">
        <f>'抽奖|MoonBless'!DN13</f>
        <v>超级武器1</v>
      </c>
      <c r="T13" s="11">
        <f>'抽奖|MoonBless'!DO13</f>
        <v>5</v>
      </c>
      <c r="U13" s="11">
        <f>'抽奖|MoonBless'!DP13</f>
        <v>100</v>
      </c>
      <c r="V13" s="11">
        <f>'抽奖|MoonBless'!DQ13</f>
        <v>2</v>
      </c>
      <c r="W13" s="19">
        <f>'抽奖|MoonBless'!DR13</f>
        <v>1005</v>
      </c>
    </row>
    <row r="14" spans="1:23" x14ac:dyDescent="0.25">
      <c r="A14" s="1">
        <v>10</v>
      </c>
      <c r="B14" s="1">
        <v>2</v>
      </c>
      <c r="C14" s="1" t="str">
        <f t="shared" si="0"/>
        <v>1|2|80000</v>
      </c>
      <c r="E14" s="1" t="s">
        <v>741</v>
      </c>
      <c r="H14" s="1">
        <v>0</v>
      </c>
      <c r="K14" s="40" t="s">
        <v>375</v>
      </c>
      <c r="L14" s="11">
        <f t="shared" si="1"/>
        <v>1</v>
      </c>
      <c r="M14" s="11">
        <f t="shared" si="2"/>
        <v>2</v>
      </c>
      <c r="N14" s="41">
        <f t="shared" si="6"/>
        <v>80000</v>
      </c>
      <c r="O14" s="97"/>
      <c r="P14" s="19">
        <f t="shared" si="3"/>
        <v>0.4</v>
      </c>
      <c r="S14" s="10" t="str">
        <f>'抽奖|MoonBless'!DN14</f>
        <v>超级武器2</v>
      </c>
      <c r="T14" s="11">
        <f>'抽奖|MoonBless'!DO14</f>
        <v>10</v>
      </c>
      <c r="U14" s="11">
        <f>'抽奖|MoonBless'!DP14</f>
        <v>200</v>
      </c>
      <c r="V14" s="11">
        <f>'抽奖|MoonBless'!DQ14</f>
        <v>2</v>
      </c>
      <c r="W14" s="19">
        <f>'抽奖|MoonBless'!DR14</f>
        <v>1006</v>
      </c>
    </row>
    <row r="15" spans="1:23" x14ac:dyDescent="0.25">
      <c r="A15" s="1">
        <v>11</v>
      </c>
      <c r="B15" s="1">
        <v>2</v>
      </c>
      <c r="C15" s="1" t="str">
        <f t="shared" si="0"/>
        <v>1|2|100000</v>
      </c>
      <c r="E15" s="1" t="s">
        <v>741</v>
      </c>
      <c r="H15" s="1">
        <v>1</v>
      </c>
      <c r="K15" s="40" t="s">
        <v>375</v>
      </c>
      <c r="L15" s="11">
        <f t="shared" si="1"/>
        <v>1</v>
      </c>
      <c r="M15" s="11">
        <f t="shared" si="2"/>
        <v>2</v>
      </c>
      <c r="N15" s="41">
        <f t="shared" si="6"/>
        <v>100000</v>
      </c>
      <c r="O15" s="97"/>
      <c r="P15" s="19">
        <f t="shared" si="3"/>
        <v>0.5</v>
      </c>
      <c r="S15" s="10" t="str">
        <f>'抽奖|MoonBless'!DN15</f>
        <v>超级武器3</v>
      </c>
      <c r="T15" s="11">
        <f>'抽奖|MoonBless'!DO15</f>
        <v>25</v>
      </c>
      <c r="U15" s="11">
        <f>'抽奖|MoonBless'!DP15</f>
        <v>500</v>
      </c>
      <c r="V15" s="11">
        <f>'抽奖|MoonBless'!DQ15</f>
        <v>2</v>
      </c>
      <c r="W15" s="19">
        <f>'抽奖|MoonBless'!DR15</f>
        <v>1007</v>
      </c>
    </row>
    <row r="16" spans="1:23" ht="16.2" x14ac:dyDescent="0.25">
      <c r="A16" s="89">
        <v>12</v>
      </c>
      <c r="B16" s="1">
        <v>2</v>
      </c>
      <c r="C16" s="1" t="str">
        <f t="shared" si="0"/>
        <v>1|2|120000</v>
      </c>
      <c r="E16" s="1" t="s">
        <v>741</v>
      </c>
      <c r="H16" s="1">
        <v>0</v>
      </c>
      <c r="K16" s="40" t="s">
        <v>375</v>
      </c>
      <c r="L16" s="11">
        <f t="shared" si="1"/>
        <v>1</v>
      </c>
      <c r="M16" s="11">
        <f t="shared" si="2"/>
        <v>2</v>
      </c>
      <c r="N16" s="41">
        <f t="shared" si="6"/>
        <v>120000</v>
      </c>
      <c r="O16" s="97"/>
      <c r="P16" s="19">
        <f t="shared" si="3"/>
        <v>0.60000000000000009</v>
      </c>
      <c r="S16" s="10" t="str">
        <f>'抽奖|MoonBless'!DN16</f>
        <v>超级武器4</v>
      </c>
      <c r="T16" s="11">
        <f>'抽奖|MoonBless'!DO16</f>
        <v>50</v>
      </c>
      <c r="U16" s="11">
        <f>'抽奖|MoonBless'!DP16</f>
        <v>1000</v>
      </c>
      <c r="V16" s="11">
        <f>'抽奖|MoonBless'!DQ16</f>
        <v>2</v>
      </c>
      <c r="W16" s="19">
        <f>'抽奖|MoonBless'!DR16</f>
        <v>1008</v>
      </c>
    </row>
    <row r="17" spans="1:23" x14ac:dyDescent="0.25">
      <c r="A17" s="1">
        <v>13</v>
      </c>
      <c r="B17" s="1">
        <v>2</v>
      </c>
      <c r="C17" s="1" t="str">
        <f t="shared" si="0"/>
        <v>1|2|150000</v>
      </c>
      <c r="E17" s="1" t="s">
        <v>741</v>
      </c>
      <c r="H17" s="1">
        <v>0</v>
      </c>
      <c r="K17" s="40" t="s">
        <v>375</v>
      </c>
      <c r="L17" s="11">
        <f t="shared" si="1"/>
        <v>1</v>
      </c>
      <c r="M17" s="11">
        <f t="shared" si="2"/>
        <v>2</v>
      </c>
      <c r="N17" s="41">
        <f t="shared" si="6"/>
        <v>150000</v>
      </c>
      <c r="O17" s="97"/>
      <c r="P17" s="19">
        <f t="shared" si="3"/>
        <v>0.75000000000000011</v>
      </c>
      <c r="S17" s="10" t="str">
        <f>'抽奖|MoonBless'!DN17</f>
        <v>5元话费卡</v>
      </c>
      <c r="T17" s="11">
        <f>'抽奖|MoonBless'!DO17</f>
        <v>5</v>
      </c>
      <c r="U17" s="11">
        <f>'抽奖|MoonBless'!DP17</f>
        <v>100</v>
      </c>
      <c r="V17" s="11">
        <f>'抽奖|MoonBless'!DQ17</f>
        <v>2</v>
      </c>
      <c r="W17" s="19">
        <f>'抽奖|MoonBless'!DR17</f>
        <v>1206</v>
      </c>
    </row>
    <row r="18" spans="1:23" x14ac:dyDescent="0.25">
      <c r="A18" s="1">
        <v>14</v>
      </c>
      <c r="B18" s="1">
        <v>2</v>
      </c>
      <c r="C18" s="1" t="str">
        <f t="shared" si="0"/>
        <v>1|2|200000</v>
      </c>
      <c r="E18" s="1" t="s">
        <v>741</v>
      </c>
      <c r="H18" s="1">
        <v>0</v>
      </c>
      <c r="K18" s="40" t="s">
        <v>375</v>
      </c>
      <c r="L18" s="11">
        <f t="shared" si="1"/>
        <v>1</v>
      </c>
      <c r="M18" s="11">
        <f t="shared" si="2"/>
        <v>2</v>
      </c>
      <c r="N18" s="41">
        <f t="shared" si="6"/>
        <v>200000</v>
      </c>
      <c r="O18" s="97"/>
      <c r="P18" s="19">
        <f t="shared" si="3"/>
        <v>1</v>
      </c>
      <c r="S18" s="10" t="str">
        <f>'抽奖|MoonBless'!DN18</f>
        <v>2元话费卡</v>
      </c>
      <c r="T18" s="11">
        <f>'抽奖|MoonBless'!DO18</f>
        <v>2</v>
      </c>
      <c r="U18" s="11">
        <f>'抽奖|MoonBless'!DP18</f>
        <v>40</v>
      </c>
      <c r="V18" s="11">
        <f>'抽奖|MoonBless'!DQ18</f>
        <v>2</v>
      </c>
      <c r="W18" s="19">
        <f>'抽奖|MoonBless'!DR18</f>
        <v>1205</v>
      </c>
    </row>
    <row r="19" spans="1:23" ht="16.2" x14ac:dyDescent="0.25">
      <c r="K19" s="43"/>
      <c r="L19" s="11"/>
      <c r="M19" s="11"/>
      <c r="N19" s="41"/>
      <c r="O19" s="97"/>
      <c r="P19" s="19"/>
      <c r="S19" s="13" t="str">
        <f>'抽奖|MoonBless'!DN19</f>
        <v>高压锅</v>
      </c>
      <c r="T19" s="14">
        <f>'抽奖|MoonBless'!DO19</f>
        <v>200</v>
      </c>
      <c r="U19" s="14">
        <f>'抽奖|MoonBless'!DP19</f>
        <v>4000</v>
      </c>
      <c r="V19" s="14">
        <f>'抽奖|MoonBless'!DQ19</f>
        <v>2</v>
      </c>
      <c r="W19" s="21">
        <f>'抽奖|MoonBless'!DR19</f>
        <v>1208</v>
      </c>
    </row>
    <row r="20" spans="1:23" x14ac:dyDescent="0.25">
      <c r="K20" s="40"/>
      <c r="L20" s="11"/>
      <c r="M20" s="11"/>
      <c r="N20" s="41"/>
      <c r="O20" s="97"/>
      <c r="P20" s="19"/>
      <c r="S20" s="1" t="str">
        <f>'抽奖|MoonBless'!DN20</f>
        <v>30元话费卡</v>
      </c>
      <c r="T20" s="1">
        <f>'抽奖|MoonBless'!DO20</f>
        <v>30</v>
      </c>
      <c r="U20" s="1">
        <f>'抽奖|MoonBless'!DP20</f>
        <v>600</v>
      </c>
      <c r="V20" s="1">
        <f>'抽奖|MoonBless'!DQ20</f>
        <v>2</v>
      </c>
      <c r="W20" s="1">
        <f>'抽奖|MoonBless'!DR20</f>
        <v>1209</v>
      </c>
    </row>
    <row r="21" spans="1:23" x14ac:dyDescent="0.25">
      <c r="K21" s="40"/>
      <c r="L21" s="11"/>
      <c r="M21" s="11"/>
      <c r="N21" s="41"/>
      <c r="O21" s="97"/>
      <c r="P21" s="19"/>
      <c r="S21" s="1" t="str">
        <f>'抽奖|MoonBless'!DN21</f>
        <v>50元话费卡</v>
      </c>
      <c r="T21" s="1">
        <f>'抽奖|MoonBless'!DO21</f>
        <v>50</v>
      </c>
      <c r="U21" s="1">
        <f>'抽奖|MoonBless'!DP21</f>
        <v>1000</v>
      </c>
      <c r="V21" s="1">
        <f>'抽奖|MoonBless'!DQ21</f>
        <v>2</v>
      </c>
      <c r="W21" s="1">
        <f>'抽奖|MoonBless'!DR21</f>
        <v>1210</v>
      </c>
    </row>
    <row r="22" spans="1:23" ht="16.2" x14ac:dyDescent="0.25">
      <c r="A22" s="89"/>
      <c r="K22" s="43"/>
      <c r="L22" s="11"/>
      <c r="M22" s="11"/>
      <c r="N22" s="41"/>
      <c r="O22" s="97"/>
      <c r="P22" s="19"/>
      <c r="S22" s="1" t="str">
        <f>'抽奖|MoonBless'!DN22</f>
        <v>活跃度</v>
      </c>
      <c r="T22" s="1">
        <f>'抽奖|MoonBless'!DO22</f>
        <v>1</v>
      </c>
      <c r="U22" s="1">
        <f>'抽奖|MoonBless'!DP22</f>
        <v>20</v>
      </c>
      <c r="V22" s="1">
        <f>'抽奖|MoonBless'!DQ22</f>
        <v>1</v>
      </c>
      <c r="W22" s="1">
        <f>'抽奖|MoonBless'!DR22</f>
        <v>6</v>
      </c>
    </row>
    <row r="23" spans="1:23" x14ac:dyDescent="0.25">
      <c r="K23" s="40"/>
      <c r="L23" s="11"/>
      <c r="M23" s="11"/>
      <c r="N23" s="41"/>
      <c r="O23" s="97"/>
      <c r="P23" s="19"/>
      <c r="S23" s="1" t="str">
        <f>'抽奖|MoonBless'!DN23</f>
        <v>红包【恭】</v>
      </c>
      <c r="T23" s="1">
        <f>'抽奖|MoonBless'!DO23</f>
        <v>1</v>
      </c>
      <c r="U23" s="1">
        <f>'抽奖|MoonBless'!DP23</f>
        <v>20</v>
      </c>
      <c r="V23" s="1">
        <f>'抽奖|MoonBless'!DQ23</f>
        <v>2</v>
      </c>
      <c r="W23" s="1">
        <f>'抽奖|MoonBless'!DR23</f>
        <v>1301</v>
      </c>
    </row>
    <row r="24" spans="1:23" x14ac:dyDescent="0.25">
      <c r="K24" s="40"/>
      <c r="L24" s="11"/>
      <c r="M24" s="11"/>
      <c r="N24" s="41"/>
      <c r="O24" s="97"/>
      <c r="P24" s="19"/>
      <c r="S24" s="1" t="str">
        <f>'抽奖|MoonBless'!DN24</f>
        <v>红包【喜】</v>
      </c>
      <c r="T24" s="1">
        <f>'抽奖|MoonBless'!DO24</f>
        <v>1</v>
      </c>
      <c r="U24" s="1">
        <f>'抽奖|MoonBless'!DP24</f>
        <v>20</v>
      </c>
      <c r="V24" s="1">
        <f>'抽奖|MoonBless'!DQ24</f>
        <v>2</v>
      </c>
      <c r="W24" s="1">
        <f>'抽奖|MoonBless'!DR24</f>
        <v>1302</v>
      </c>
    </row>
    <row r="25" spans="1:23" ht="16.2" x14ac:dyDescent="0.25">
      <c r="K25" s="43"/>
      <c r="L25" s="11"/>
      <c r="M25" s="11"/>
      <c r="N25" s="41"/>
      <c r="O25" s="97"/>
      <c r="P25" s="19"/>
      <c r="S25" s="1" t="str">
        <f>'抽奖|MoonBless'!DN25</f>
        <v>红包【发】</v>
      </c>
      <c r="T25" s="1">
        <f>'抽奖|MoonBless'!DO25</f>
        <v>1</v>
      </c>
      <c r="U25" s="1">
        <f>'抽奖|MoonBless'!DP25</f>
        <v>20</v>
      </c>
      <c r="V25" s="1">
        <f>'抽奖|MoonBless'!DQ25</f>
        <v>2</v>
      </c>
      <c r="W25" s="1">
        <f>'抽奖|MoonBless'!DR25</f>
        <v>1303</v>
      </c>
    </row>
    <row r="26" spans="1:23" x14ac:dyDescent="0.25">
      <c r="K26" s="40"/>
      <c r="L26" s="11"/>
      <c r="M26" s="11"/>
      <c r="N26" s="41"/>
      <c r="O26" s="97"/>
      <c r="P26" s="19"/>
      <c r="S26" s="1" t="str">
        <f>'抽奖|MoonBless'!DN26</f>
        <v>红包【财】</v>
      </c>
      <c r="T26" s="1">
        <f>'抽奖|MoonBless'!DO26</f>
        <v>1</v>
      </c>
      <c r="U26" s="1">
        <f>'抽奖|MoonBless'!DP26</f>
        <v>20</v>
      </c>
      <c r="V26" s="1">
        <f>'抽奖|MoonBless'!DQ26</f>
        <v>2</v>
      </c>
      <c r="W26" s="1">
        <f>'抽奖|MoonBless'!DR26</f>
        <v>1304</v>
      </c>
    </row>
    <row r="27" spans="1:23" x14ac:dyDescent="0.25">
      <c r="K27" s="40"/>
      <c r="L27" s="11"/>
      <c r="M27" s="11"/>
      <c r="N27" s="41"/>
      <c r="O27" s="97"/>
      <c r="P27" s="19"/>
      <c r="S27" s="1" t="str">
        <f>'抽奖|MoonBless'!DN27</f>
        <v>双轮</v>
      </c>
      <c r="T27" s="1">
        <f>'抽奖|MoonBless'!DO27</f>
        <v>30</v>
      </c>
      <c r="U27" s="1">
        <f>'抽奖|MoonBless'!DP27</f>
        <v>600</v>
      </c>
      <c r="V27" s="1">
        <f>'抽奖|MoonBless'!DQ27</f>
        <v>2</v>
      </c>
      <c r="W27" s="1">
        <f>'抽奖|MoonBless'!DR27</f>
        <v>1500</v>
      </c>
    </row>
    <row r="28" spans="1:23" ht="16.2" x14ac:dyDescent="0.25">
      <c r="A28" s="89"/>
      <c r="K28" s="43"/>
      <c r="L28" s="11"/>
      <c r="M28" s="11"/>
      <c r="N28" s="41"/>
      <c r="O28" s="97"/>
      <c r="P28" s="19"/>
    </row>
    <row r="29" spans="1:23" x14ac:dyDescent="0.25">
      <c r="K29" s="40"/>
      <c r="L29" s="11"/>
      <c r="M29" s="11"/>
      <c r="N29" s="41"/>
      <c r="O29" s="97"/>
      <c r="P29" s="19"/>
    </row>
    <row r="30" spans="1:23" x14ac:dyDescent="0.25">
      <c r="K30" s="40"/>
      <c r="L30" s="11"/>
      <c r="M30" s="11"/>
      <c r="N30" s="41"/>
      <c r="O30" s="97"/>
      <c r="P30" s="19"/>
    </row>
    <row r="31" spans="1:23" x14ac:dyDescent="0.25">
      <c r="K31" s="40"/>
      <c r="L31" s="11"/>
      <c r="M31" s="11"/>
      <c r="N31" s="41"/>
      <c r="O31" s="97"/>
      <c r="P31" s="19"/>
    </row>
    <row r="32" spans="1:23" x14ac:dyDescent="0.25">
      <c r="K32" s="40"/>
      <c r="L32" s="11"/>
      <c r="M32" s="11"/>
      <c r="N32" s="41"/>
      <c r="O32" s="97"/>
      <c r="P32" s="19"/>
    </row>
    <row r="33" spans="1:18" x14ac:dyDescent="0.25">
      <c r="K33" s="40"/>
      <c r="L33" s="11"/>
      <c r="M33" s="11"/>
      <c r="N33" s="41"/>
      <c r="O33" s="97"/>
      <c r="P33" s="19"/>
    </row>
    <row r="34" spans="1:18" ht="16.2" x14ac:dyDescent="0.25">
      <c r="A34" s="89"/>
      <c r="K34" s="40"/>
      <c r="L34" s="11"/>
      <c r="M34" s="11"/>
      <c r="N34" s="41"/>
      <c r="O34" s="97"/>
      <c r="P34" s="19"/>
    </row>
    <row r="35" spans="1:18" x14ac:dyDescent="0.25">
      <c r="A35" s="95"/>
      <c r="K35" s="40"/>
      <c r="L35" s="11"/>
      <c r="M35" s="11"/>
      <c r="N35" s="98"/>
      <c r="O35" s="97"/>
      <c r="P35" s="19"/>
      <c r="Q35" s="1" t="s">
        <v>743</v>
      </c>
      <c r="R35" s="1">
        <f>SUMIF($K$35:$K$64,"金币",$N$35:$N$64)</f>
        <v>0</v>
      </c>
    </row>
    <row r="36" spans="1:18" ht="16.2" x14ac:dyDescent="0.25">
      <c r="A36" s="95"/>
      <c r="K36" s="43"/>
      <c r="L36" s="11"/>
      <c r="M36" s="11"/>
      <c r="N36" s="98"/>
      <c r="O36" s="97"/>
      <c r="P36" s="19"/>
      <c r="Q36" s="1" t="s">
        <v>744</v>
      </c>
      <c r="R36" s="1">
        <f>SUMIF($K$35:$K$64,"钻石",$N$35:$N$64)</f>
        <v>0</v>
      </c>
    </row>
    <row r="37" spans="1:18" x14ac:dyDescent="0.25">
      <c r="A37" s="95"/>
      <c r="K37" s="40"/>
      <c r="L37" s="11"/>
      <c r="M37" s="11"/>
      <c r="N37" s="98"/>
      <c r="O37" s="97"/>
      <c r="P37" s="19"/>
      <c r="Q37" s="1" t="s">
        <v>746</v>
      </c>
      <c r="R37" s="1">
        <f>SUMIF($K$35:$K$64,"锁定",$N$35:$N$64)</f>
        <v>0</v>
      </c>
    </row>
    <row r="38" spans="1:18" x14ac:dyDescent="0.25">
      <c r="A38" s="95"/>
      <c r="K38" s="40"/>
      <c r="L38" s="11"/>
      <c r="M38" s="11"/>
      <c r="N38" s="98"/>
      <c r="O38" s="97"/>
      <c r="P38" s="19"/>
      <c r="Q38" s="1" t="s">
        <v>747</v>
      </c>
      <c r="R38" s="1">
        <f>SUMIF($K$35:$K$64,"狂暴",$N$35:$N$64)</f>
        <v>0</v>
      </c>
    </row>
    <row r="39" spans="1:18" x14ac:dyDescent="0.25">
      <c r="A39" s="95"/>
      <c r="K39" s="40"/>
      <c r="L39" s="11"/>
      <c r="M39" s="11"/>
      <c r="N39" s="98"/>
      <c r="O39" s="97"/>
      <c r="P39" s="19"/>
    </row>
    <row r="40" spans="1:18" ht="16.2" x14ac:dyDescent="0.25">
      <c r="A40" s="95"/>
      <c r="K40" s="43"/>
      <c r="L40" s="11"/>
      <c r="M40" s="11"/>
      <c r="N40" s="98"/>
      <c r="O40" s="97"/>
      <c r="P40" s="19"/>
    </row>
    <row r="41" spans="1:18" x14ac:dyDescent="0.25">
      <c r="A41" s="95"/>
      <c r="K41" s="40"/>
      <c r="L41" s="11"/>
      <c r="M41" s="11"/>
      <c r="N41" s="98"/>
      <c r="O41" s="97"/>
      <c r="P41" s="19"/>
    </row>
    <row r="42" spans="1:18" x14ac:dyDescent="0.25">
      <c r="A42" s="95"/>
      <c r="K42" s="40"/>
      <c r="L42" s="11"/>
      <c r="M42" s="11"/>
      <c r="N42" s="98"/>
      <c r="O42" s="97"/>
      <c r="P42" s="19"/>
    </row>
    <row r="43" spans="1:18" x14ac:dyDescent="0.25">
      <c r="A43" s="95"/>
      <c r="K43" s="40"/>
      <c r="L43" s="11"/>
      <c r="M43" s="11"/>
      <c r="N43" s="98"/>
      <c r="O43" s="97"/>
      <c r="P43" s="19"/>
    </row>
    <row r="44" spans="1:18" x14ac:dyDescent="0.25">
      <c r="A44" s="95"/>
      <c r="K44" s="40"/>
      <c r="L44" s="11"/>
      <c r="M44" s="11"/>
      <c r="N44" s="98"/>
      <c r="O44" s="97"/>
      <c r="P44" s="19"/>
    </row>
    <row r="45" spans="1:18" x14ac:dyDescent="0.25">
      <c r="A45" s="95"/>
      <c r="K45" s="40"/>
      <c r="L45" s="11"/>
      <c r="M45" s="11"/>
      <c r="N45" s="98"/>
      <c r="O45" s="97"/>
      <c r="P45" s="19"/>
    </row>
    <row r="46" spans="1:18" ht="16.2" x14ac:dyDescent="0.25">
      <c r="A46" s="95"/>
      <c r="K46" s="43"/>
      <c r="L46" s="11"/>
      <c r="M46" s="11"/>
      <c r="N46" s="98"/>
      <c r="O46" s="97"/>
      <c r="P46" s="19"/>
    </row>
    <row r="47" spans="1:18" x14ac:dyDescent="0.25">
      <c r="A47" s="95"/>
      <c r="K47" s="40"/>
      <c r="L47" s="11"/>
      <c r="M47" s="11"/>
      <c r="N47" s="98"/>
      <c r="O47" s="97"/>
      <c r="P47" s="19"/>
    </row>
    <row r="48" spans="1:18" x14ac:dyDescent="0.25">
      <c r="A48" s="95"/>
      <c r="K48" s="40"/>
      <c r="L48" s="11"/>
      <c r="M48" s="11"/>
      <c r="N48" s="98"/>
      <c r="O48" s="97"/>
      <c r="P48" s="19"/>
    </row>
    <row r="49" spans="1:16" ht="16.2" x14ac:dyDescent="0.25">
      <c r="A49" s="95"/>
      <c r="K49" s="43"/>
      <c r="L49" s="11"/>
      <c r="M49" s="11"/>
      <c r="N49" s="98"/>
      <c r="O49" s="97"/>
      <c r="P49" s="19"/>
    </row>
    <row r="50" spans="1:16" x14ac:dyDescent="0.25">
      <c r="A50" s="95"/>
      <c r="K50" s="40"/>
      <c r="L50" s="11"/>
      <c r="M50" s="11"/>
      <c r="N50" s="98"/>
      <c r="O50" s="97"/>
      <c r="P50" s="19"/>
    </row>
    <row r="51" spans="1:16" x14ac:dyDescent="0.25">
      <c r="A51" s="95"/>
      <c r="K51" s="40"/>
      <c r="L51" s="11"/>
      <c r="M51" s="11"/>
      <c r="N51" s="98"/>
      <c r="O51" s="97"/>
      <c r="P51" s="19"/>
    </row>
    <row r="52" spans="1:16" ht="16.2" x14ac:dyDescent="0.25">
      <c r="A52" s="95"/>
      <c r="K52" s="43"/>
      <c r="L52" s="11"/>
      <c r="M52" s="11"/>
      <c r="N52" s="98"/>
      <c r="O52" s="97"/>
      <c r="P52" s="19"/>
    </row>
    <row r="53" spans="1:16" x14ac:dyDescent="0.25">
      <c r="A53" s="95"/>
      <c r="K53" s="40"/>
      <c r="L53" s="11"/>
      <c r="M53" s="11"/>
      <c r="N53" s="98"/>
      <c r="O53" s="97"/>
      <c r="P53" s="19"/>
    </row>
    <row r="54" spans="1:16" x14ac:dyDescent="0.25">
      <c r="A54" s="95"/>
      <c r="K54" s="40"/>
      <c r="L54" s="11"/>
      <c r="M54" s="11"/>
      <c r="N54" s="98"/>
      <c r="O54" s="97"/>
      <c r="P54" s="19"/>
    </row>
    <row r="55" spans="1:16" ht="16.2" x14ac:dyDescent="0.25">
      <c r="A55" s="95"/>
      <c r="K55" s="43"/>
      <c r="L55" s="11"/>
      <c r="M55" s="11"/>
      <c r="N55" s="98"/>
      <c r="O55" s="97"/>
      <c r="P55" s="19"/>
    </row>
    <row r="56" spans="1:16" x14ac:dyDescent="0.25">
      <c r="A56" s="95"/>
      <c r="K56" s="40"/>
      <c r="L56" s="11"/>
      <c r="M56" s="11"/>
      <c r="N56" s="98"/>
      <c r="O56" s="97"/>
      <c r="P56" s="19"/>
    </row>
    <row r="57" spans="1:16" x14ac:dyDescent="0.25">
      <c r="A57" s="95"/>
      <c r="K57" s="40"/>
      <c r="L57" s="11"/>
      <c r="M57" s="11"/>
      <c r="N57" s="98"/>
      <c r="O57" s="97"/>
      <c r="P57" s="19"/>
    </row>
    <row r="58" spans="1:16" ht="16.2" x14ac:dyDescent="0.25">
      <c r="A58" s="95"/>
      <c r="K58" s="43"/>
      <c r="L58" s="11"/>
      <c r="M58" s="11"/>
      <c r="N58" s="98"/>
      <c r="O58" s="97"/>
      <c r="P58" s="19"/>
    </row>
    <row r="59" spans="1:16" x14ac:dyDescent="0.25">
      <c r="A59" s="95"/>
      <c r="K59" s="40"/>
      <c r="L59" s="11"/>
      <c r="M59" s="11"/>
      <c r="N59" s="98"/>
      <c r="O59" s="97"/>
      <c r="P59" s="19"/>
    </row>
    <row r="60" spans="1:16" x14ac:dyDescent="0.25">
      <c r="A60" s="95"/>
      <c r="K60" s="40"/>
      <c r="L60" s="11"/>
      <c r="M60" s="11"/>
      <c r="N60" s="98"/>
      <c r="O60" s="97"/>
      <c r="P60" s="19"/>
    </row>
    <row r="61" spans="1:16" x14ac:dyDescent="0.25">
      <c r="A61" s="95"/>
      <c r="K61" s="40"/>
      <c r="L61" s="11"/>
      <c r="M61" s="11"/>
      <c r="N61" s="98"/>
      <c r="O61" s="97"/>
      <c r="P61" s="19"/>
    </row>
    <row r="62" spans="1:16" x14ac:dyDescent="0.25">
      <c r="A62" s="95"/>
      <c r="K62" s="40"/>
      <c r="L62" s="11"/>
      <c r="M62" s="11"/>
      <c r="N62" s="98"/>
      <c r="O62" s="97"/>
      <c r="P62" s="19"/>
    </row>
    <row r="63" spans="1:16" x14ac:dyDescent="0.25">
      <c r="A63" s="95"/>
      <c r="K63" s="40"/>
      <c r="L63" s="11"/>
      <c r="M63" s="11"/>
      <c r="N63" s="98"/>
      <c r="O63" s="97"/>
      <c r="P63" s="19"/>
    </row>
    <row r="64" spans="1:16" x14ac:dyDescent="0.25">
      <c r="A64" s="95"/>
      <c r="K64" s="40"/>
      <c r="L64" s="14"/>
      <c r="M64" s="14"/>
      <c r="N64" s="98"/>
      <c r="O64" s="97"/>
      <c r="P64" s="21"/>
    </row>
  </sheetData>
  <phoneticPr fontId="40" type="noConversion"/>
  <conditionalFormatting sqref="D2">
    <cfRule type="cellIs" dxfId="257" priority="21" operator="greaterThan">
      <formula>0</formula>
    </cfRule>
    <cfRule type="cellIs" dxfId="256" priority="22" operator="greaterThan">
      <formula>0</formula>
    </cfRule>
    <cfRule type="cellIs" dxfId="255" priority="23" operator="greaterThan">
      <formula>0</formula>
    </cfRule>
    <cfRule type="containsText" dxfId="254" priority="24" operator="containsText" text=" ">
      <formula>NOT(ISERROR(SEARCH(" ",D2)))</formula>
    </cfRule>
  </conditionalFormatting>
  <conditionalFormatting sqref="E2">
    <cfRule type="cellIs" dxfId="253" priority="13" operator="greaterThan">
      <formula>0</formula>
    </cfRule>
    <cfRule type="cellIs" dxfId="252" priority="14" operator="greaterThan">
      <formula>0</formula>
    </cfRule>
    <cfRule type="cellIs" dxfId="251" priority="15" operator="greaterThan">
      <formula>0</formula>
    </cfRule>
    <cfRule type="containsText" dxfId="250" priority="16" operator="containsText" text=" ">
      <formula>NOT(ISERROR(SEARCH(" ",E2)))</formula>
    </cfRule>
  </conditionalFormatting>
  <conditionalFormatting sqref="F2">
    <cfRule type="cellIs" dxfId="249" priority="1" operator="greaterThan">
      <formula>0</formula>
    </cfRule>
    <cfRule type="cellIs" dxfId="248" priority="2" operator="greaterThan">
      <formula>0</formula>
    </cfRule>
    <cfRule type="cellIs" dxfId="247" priority="3" operator="greaterThan">
      <formula>0</formula>
    </cfRule>
    <cfRule type="containsText" dxfId="246" priority="4" operator="containsText" text=" ">
      <formula>NOT(ISERROR(SEARCH(" ",F2)))</formula>
    </cfRule>
  </conditionalFormatting>
  <conditionalFormatting sqref="Q6">
    <cfRule type="containsText" dxfId="245" priority="54" operator="containsText" text=" ">
      <formula>NOT(ISERROR(SEARCH(" ",Q6)))</formula>
    </cfRule>
  </conditionalFormatting>
  <conditionalFormatting sqref="Q7">
    <cfRule type="containsText" dxfId="244" priority="53" operator="containsText" text=" ">
      <formula>NOT(ISERROR(SEARCH(" ",Q7)))</formula>
    </cfRule>
  </conditionalFormatting>
  <conditionalFormatting sqref="W12">
    <cfRule type="containsText" dxfId="243" priority="82" operator="containsText" text=" ">
      <formula>NOT(ISERROR(SEARCH(" ",W12)))</formula>
    </cfRule>
  </conditionalFormatting>
  <conditionalFormatting sqref="S17:T17">
    <cfRule type="containsText" dxfId="242" priority="79" operator="containsText" text=" ">
      <formula>NOT(ISERROR(SEARCH(" ",S17)))</formula>
    </cfRule>
  </conditionalFormatting>
  <conditionalFormatting sqref="S18:T18">
    <cfRule type="containsText" dxfId="241" priority="78" operator="containsText" text=" ">
      <formula>NOT(ISERROR(SEARCH(" ",S18)))</formula>
    </cfRule>
  </conditionalFormatting>
  <conditionalFormatting sqref="W19">
    <cfRule type="containsText" dxfId="240" priority="77" operator="containsText" text=" ">
      <formula>NOT(ISERROR(SEARCH(" ",W19)))</formula>
    </cfRule>
  </conditionalFormatting>
  <conditionalFormatting sqref="K36">
    <cfRule type="cellIs" dxfId="239" priority="25" operator="equal">
      <formula>"狂暴"</formula>
    </cfRule>
    <cfRule type="cellIs" dxfId="238" priority="26" operator="equal">
      <formula>"锁定"</formula>
    </cfRule>
    <cfRule type="cellIs" dxfId="237" priority="27" operator="equal">
      <formula>"钻石"</formula>
    </cfRule>
    <cfRule type="cellIs" dxfId="236" priority="28" operator="equal">
      <formula>"金币"</formula>
    </cfRule>
    <cfRule type="containsText" dxfId="235" priority="29" operator="containsText" text=" ">
      <formula>NOT(ISERROR(SEARCH(" ",K36)))</formula>
    </cfRule>
  </conditionalFormatting>
  <conditionalFormatting sqref="Q36">
    <cfRule type="containsText" dxfId="234" priority="46" operator="containsText" text=" ">
      <formula>NOT(ISERROR(SEARCH(" ",Q36)))</formula>
    </cfRule>
  </conditionalFormatting>
  <conditionalFormatting sqref="Q37">
    <cfRule type="containsText" dxfId="233" priority="45" operator="containsText" text=" ">
      <formula>NOT(ISERROR(SEARCH(" ",Q37)))</formula>
    </cfRule>
  </conditionalFormatting>
  <conditionalFormatting sqref="K64">
    <cfRule type="cellIs" dxfId="232" priority="35" operator="equal">
      <formula>"狂暴"</formula>
    </cfRule>
    <cfRule type="cellIs" dxfId="231" priority="36" operator="equal">
      <formula>"锁定"</formula>
    </cfRule>
    <cfRule type="cellIs" dxfId="230" priority="37" operator="equal">
      <formula>"钻石"</formula>
    </cfRule>
    <cfRule type="cellIs" dxfId="229" priority="38" operator="equal">
      <formula>"金币"</formula>
    </cfRule>
    <cfRule type="containsText" dxfId="228" priority="39" operator="containsText" text=" ">
      <formula>NOT(ISERROR(SEARCH(" ",K64)))</formula>
    </cfRule>
  </conditionalFormatting>
  <conditionalFormatting sqref="D65:F65">
    <cfRule type="containsText" dxfId="227" priority="94" operator="containsText" text=" ">
      <formula>NOT(ISERROR(SEARCH(" ",D65)))</formula>
    </cfRule>
  </conditionalFormatting>
  <conditionalFormatting sqref="D66:F66">
    <cfRule type="containsText" dxfId="226" priority="95" operator="containsText" text=" ">
      <formula>NOT(ISERROR(SEARCH(" ",D66)))</formula>
    </cfRule>
  </conditionalFormatting>
  <conditionalFormatting sqref="C5:C64">
    <cfRule type="containsText" dxfId="225" priority="66" operator="containsText" text=" ">
      <formula>NOT(ISERROR(SEARCH(" ",C5)))</formula>
    </cfRule>
  </conditionalFormatting>
  <conditionalFormatting sqref="H5:H34">
    <cfRule type="containsText" dxfId="224" priority="63" operator="containsText" text=" ">
      <formula>NOT(ISERROR(SEARCH(" ",H5)))</formula>
    </cfRule>
  </conditionalFormatting>
  <conditionalFormatting sqref="H5:H64">
    <cfRule type="cellIs" dxfId="223" priority="61" operator="equal">
      <formula>1</formula>
    </cfRule>
  </conditionalFormatting>
  <conditionalFormatting sqref="H35:H64">
    <cfRule type="containsText" dxfId="222" priority="62" operator="containsText" text=" ">
      <formula>NOT(ISERROR(SEARCH(" ",H35)))</formula>
    </cfRule>
  </conditionalFormatting>
  <conditionalFormatting sqref="K5:K34">
    <cfRule type="cellIs" dxfId="221" priority="55" operator="equal">
      <formula>"狂暴"</formula>
    </cfRule>
    <cfRule type="cellIs" dxfId="220" priority="56" operator="equal">
      <formula>"锁定"</formula>
    </cfRule>
    <cfRule type="cellIs" dxfId="219" priority="57" operator="equal">
      <formula>"钻石"</formula>
    </cfRule>
    <cfRule type="cellIs" dxfId="218" priority="58" operator="equal">
      <formula>"金币"</formula>
    </cfRule>
    <cfRule type="containsText" dxfId="217" priority="70" operator="containsText" text=" ">
      <formula>NOT(ISERROR(SEARCH(" ",K5)))</formula>
    </cfRule>
  </conditionalFormatting>
  <conditionalFormatting sqref="U8:U11">
    <cfRule type="containsText" dxfId="216" priority="83" operator="containsText" text=" ">
      <formula>NOT(ISERROR(SEARCH(" ",U8)))</formula>
    </cfRule>
  </conditionalFormatting>
  <conditionalFormatting sqref="U13:U16">
    <cfRule type="containsText" dxfId="215" priority="80" operator="containsText" text=" ">
      <formula>NOT(ISERROR(SEARCH(" ",U13)))</formula>
    </cfRule>
  </conditionalFormatting>
  <conditionalFormatting sqref="W8:W11">
    <cfRule type="containsText" dxfId="214" priority="84" operator="containsText" text=" ">
      <formula>NOT(ISERROR(SEARCH(" ",W8)))</formula>
    </cfRule>
  </conditionalFormatting>
  <conditionalFormatting sqref="W13:W16">
    <cfRule type="containsText" dxfId="213" priority="81" operator="containsText" text=" ">
      <formula>NOT(ISERROR(SEARCH(" ",W13)))</formula>
    </cfRule>
  </conditionalFormatting>
  <conditionalFormatting sqref="A1:B64 A65:C66 D1 A67:XFD1048576 D3:D4 G4:J4 S35:XFD38 Q39:XFD64 R6:R8 Q8 Q4:R5 Q9:R27 J35:J64 Q28:XFD34 K65:XFD66 X4:XFD27 G1:XFD3 I5:J34 D5:G34">
    <cfRule type="containsText" dxfId="212" priority="99" operator="containsText" text=" ">
      <formula>NOT(ISERROR(SEARCH(" ",A1)))</formula>
    </cfRule>
  </conditionalFormatting>
  <conditionalFormatting sqref="D1 D3:D4 D5:F1048576">
    <cfRule type="cellIs" dxfId="211" priority="59" operator="greaterThan">
      <formula>0</formula>
    </cfRule>
    <cfRule type="cellIs" dxfId="210" priority="60" operator="greaterThan">
      <formula>0</formula>
    </cfRule>
    <cfRule type="cellIs" dxfId="209" priority="64" operator="greaterThan">
      <formula>0</formula>
    </cfRule>
  </conditionalFormatting>
  <conditionalFormatting sqref="E1 E3:E4">
    <cfRule type="cellIs" dxfId="208" priority="17" operator="greaterThan">
      <formula>0</formula>
    </cfRule>
    <cfRule type="cellIs" dxfId="207" priority="18" operator="greaterThan">
      <formula>0</formula>
    </cfRule>
    <cfRule type="cellIs" dxfId="206" priority="19" operator="greaterThan">
      <formula>0</formula>
    </cfRule>
    <cfRule type="containsText" dxfId="205" priority="20" operator="containsText" text=" ">
      <formula>NOT(ISERROR(SEARCH(" ",E1)))</formula>
    </cfRule>
  </conditionalFormatting>
  <conditionalFormatting sqref="F1 F3:F4">
    <cfRule type="cellIs" dxfId="204" priority="9" operator="greaterThan">
      <formula>0</formula>
    </cfRule>
    <cfRule type="cellIs" dxfId="203" priority="10" operator="greaterThan">
      <formula>0</formula>
    </cfRule>
    <cfRule type="cellIs" dxfId="202" priority="11" operator="greaterThan">
      <formula>0</formula>
    </cfRule>
    <cfRule type="containsText" dxfId="201" priority="12" operator="containsText" text=" ">
      <formula>NOT(ISERROR(SEARCH(" ",F1)))</formula>
    </cfRule>
  </conditionalFormatting>
  <conditionalFormatting sqref="V8:V11 S19:V19 U17:W18 V13:V16 S13:T16 S12:V12 S20:W27 S8:T11 S4:W7">
    <cfRule type="containsText" dxfId="200" priority="85" operator="containsText" text=" ">
      <formula>NOT(ISERROR(SEARCH(" ",S4)))</formula>
    </cfRule>
  </conditionalFormatting>
  <conditionalFormatting sqref="L5:M64 P5:P64">
    <cfRule type="containsText" dxfId="199" priority="76" operator="containsText" text=" ">
      <formula>NOT(ISERROR(SEARCH(" ",L5)))</formula>
    </cfRule>
  </conditionalFormatting>
  <conditionalFormatting sqref="N5:O34">
    <cfRule type="containsText" dxfId="198" priority="68" operator="containsText" text=" ">
      <formula>NOT(ISERROR(SEARCH(" ",N5)))</formula>
    </cfRule>
  </conditionalFormatting>
  <conditionalFormatting sqref="D35:G64 I35:I64">
    <cfRule type="containsText" dxfId="197" priority="93" operator="containsText" text=" ">
      <formula>NOT(ISERROR(SEARCH(" ",D35)))</formula>
    </cfRule>
  </conditionalFormatting>
  <conditionalFormatting sqref="K35 K37:K63">
    <cfRule type="cellIs" dxfId="196" priority="48" operator="equal">
      <formula>"狂暴"</formula>
    </cfRule>
    <cfRule type="cellIs" dxfId="195" priority="49" operator="equal">
      <formula>"锁定"</formula>
    </cfRule>
    <cfRule type="cellIs" dxfId="194" priority="50" operator="equal">
      <formula>"钻石"</formula>
    </cfRule>
    <cfRule type="cellIs" dxfId="193" priority="51" operator="equal">
      <formula>"金币"</formula>
    </cfRule>
    <cfRule type="containsText" dxfId="192" priority="52" operator="containsText" text=" ">
      <formula>NOT(ISERROR(SEARCH(" ",K35)))</formula>
    </cfRule>
  </conditionalFormatting>
  <conditionalFormatting sqref="N35:O64">
    <cfRule type="containsText" dxfId="191" priority="67" operator="containsText" text=" ">
      <formula>NOT(ISERROR(SEARCH(" ",N35)))</formula>
    </cfRule>
  </conditionalFormatting>
  <conditionalFormatting sqref="Q35:R35 R36:R38 Q38">
    <cfRule type="containsText" dxfId="190" priority="47" operator="containsText" text=" ">
      <formula>NOT(ISERROR(SEARCH(" ",Q35)))</formula>
    </cfRule>
  </conditionalFormatting>
  <conditionalFormatting sqref="G65:J66">
    <cfRule type="containsText" dxfId="189" priority="97" operator="containsText" text=" ">
      <formula>NOT(ISERROR(SEARCH(" ",G65)))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爆爆河豚|Hetun</vt:lpstr>
      <vt:lpstr>房间规则|RoomRules</vt:lpstr>
      <vt:lpstr>房间假数据|FakeRoom</vt:lpstr>
      <vt:lpstr>用户升级|RoleUp</vt:lpstr>
      <vt:lpstr>抽奖|MoonBless</vt:lpstr>
      <vt:lpstr>山河社稷图掉落|ShanheDrop</vt:lpstr>
      <vt:lpstr>掉落|Drop</vt:lpstr>
      <vt:lpstr>兑换|Exchange</vt:lpstr>
      <vt:lpstr>签到|SignIn</vt:lpstr>
      <vt:lpstr>三日礼|ThreeDays</vt:lpstr>
      <vt:lpstr>福卡赛奖励|CompetitionBillReward</vt:lpstr>
      <vt:lpstr>BOSS翻N倍玩法|BossOfNfold</vt:lpstr>
      <vt:lpstr>每日充值|Recharge</vt:lpstr>
      <vt:lpstr>福卡鱼潮S值|BasicsBillValue</vt:lpstr>
      <vt:lpstr>话费赛潜艇|AirBalloon</vt:lpstr>
      <vt:lpstr>新手七天|SevenDay</vt:lpstr>
      <vt:lpstr>潜艇等级|AirBallLv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2006-09-18T08:00:00Z</dcterms:created>
  <dcterms:modified xsi:type="dcterms:W3CDTF">2021-07-13T07:33:16Z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C39484ADD382432388F0FE6BCCA455DF</vt:lpwstr>
  </property>
</Properties>
</file>