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release\DataTable\"/>
    </mc:Choice>
  </mc:AlternateContent>
  <bookViews>
    <workbookView xWindow="0" yWindow="0" windowWidth="23904" windowHeight="10284" tabRatio="864" activeTab="1"/>
  </bookViews>
  <sheets>
    <sheet name="炮解锁|CannonUnlock" sheetId="10" r:id="rId1"/>
    <sheet name="全局参数|GlobalPar" sheetId="8" r:id="rId2"/>
    <sheet name="VIP升级|VIPUp" sheetId="27" r:id="rId3"/>
    <sheet name="弹头价值|Dantou" sheetId="45" r:id="rId4"/>
    <sheet name="道具|Item" sheetId="26" r:id="rId5"/>
    <sheet name="道具|Item-f" sheetId="34" r:id="rId6"/>
  </sheets>
  <externalReferences>
    <externalReference r:id="rId7"/>
  </externalReferences>
  <definedNames>
    <definedName name="_xlnm._FilterDatabase" localSheetId="4" hidden="1">'道具|Item'!$A$1:$AC$72</definedName>
  </definedNames>
  <calcPr calcId="162913"/>
</workbook>
</file>

<file path=xl/calcChain.xml><?xml version="1.0" encoding="utf-8"?>
<calcChain xmlns="http://schemas.openxmlformats.org/spreadsheetml/2006/main">
  <c r="P5" i="34" l="1"/>
  <c r="O5" i="34"/>
  <c r="N5" i="34"/>
  <c r="M5" i="34"/>
  <c r="L5" i="34"/>
  <c r="K5" i="34"/>
  <c r="J5" i="34"/>
  <c r="I5" i="34"/>
  <c r="H5" i="34"/>
  <c r="G5" i="34"/>
  <c r="F5" i="34"/>
  <c r="E5" i="34"/>
  <c r="I72" i="26"/>
  <c r="F72" i="26"/>
  <c r="I71" i="26"/>
  <c r="F71" i="26"/>
  <c r="I70" i="26"/>
  <c r="F70" i="26"/>
  <c r="I69" i="26"/>
  <c r="F69" i="26"/>
  <c r="I68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X56" i="26"/>
  <c r="F56" i="26"/>
  <c r="X55" i="26"/>
  <c r="F55" i="26"/>
  <c r="X54" i="26"/>
  <c r="F54" i="26"/>
  <c r="X53" i="26"/>
  <c r="F53" i="26"/>
  <c r="X52" i="26"/>
  <c r="F52" i="26"/>
  <c r="X51" i="26"/>
  <c r="F51" i="26"/>
  <c r="X50" i="26"/>
  <c r="F50" i="26"/>
  <c r="X49" i="26"/>
  <c r="F49" i="26"/>
  <c r="E48" i="26"/>
  <c r="F48" i="26" s="1"/>
  <c r="F47" i="26"/>
  <c r="E47" i="26"/>
  <c r="E46" i="26"/>
  <c r="F46" i="26" s="1"/>
  <c r="F45" i="26"/>
  <c r="E45" i="26"/>
  <c r="F44" i="26"/>
  <c r="F43" i="26"/>
  <c r="F42" i="26"/>
  <c r="F41" i="26"/>
  <c r="F40" i="26"/>
  <c r="F39" i="26"/>
  <c r="F38" i="26"/>
  <c r="E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G17" i="26"/>
  <c r="G16" i="26"/>
  <c r="G15" i="26"/>
  <c r="G14" i="26"/>
  <c r="G13" i="26"/>
  <c r="C8" i="45"/>
  <c r="B8" i="45"/>
  <c r="H7" i="45"/>
  <c r="D7" i="45"/>
  <c r="B7" i="45"/>
  <c r="F8" i="45" s="1"/>
  <c r="D6" i="45"/>
  <c r="C7" i="45" s="1"/>
  <c r="B6" i="45"/>
  <c r="F7" i="45" s="1"/>
  <c r="G5" i="45"/>
  <c r="F5" i="45"/>
  <c r="D5" i="45"/>
  <c r="C6" i="45" s="1"/>
  <c r="C5" i="45"/>
  <c r="B5" i="45"/>
  <c r="F6" i="45" s="1"/>
  <c r="CF32" i="27"/>
  <c r="CF31" i="27"/>
  <c r="CF30" i="27"/>
  <c r="CF29" i="27"/>
  <c r="CF28" i="27"/>
  <c r="CF27" i="27"/>
  <c r="CF26" i="27"/>
  <c r="CF25" i="27"/>
  <c r="CH25" i="27" s="1"/>
  <c r="CF22" i="27"/>
  <c r="CF21" i="27"/>
  <c r="CF20" i="27"/>
  <c r="CF19" i="27"/>
  <c r="CF18" i="27"/>
  <c r="CF17" i="27"/>
  <c r="CF16" i="27"/>
  <c r="CH15" i="27"/>
  <c r="CF15" i="27"/>
  <c r="BW15" i="27"/>
  <c r="BU15" i="27"/>
  <c r="BR15" i="27"/>
  <c r="BP15" i="27"/>
  <c r="BC15" i="27"/>
  <c r="R15" i="27"/>
  <c r="BU14" i="27"/>
  <c r="BW14" i="27" s="1"/>
  <c r="BR14" i="27"/>
  <c r="BP14" i="27"/>
  <c r="BC14" i="27"/>
  <c r="AV14" i="27"/>
  <c r="AV15" i="27" s="1"/>
  <c r="R14" i="27"/>
  <c r="BW13" i="27"/>
  <c r="BU13" i="27"/>
  <c r="BP13" i="27"/>
  <c r="BR13" i="27" s="1"/>
  <c r="BC13" i="27"/>
  <c r="AV13" i="27"/>
  <c r="S13" i="27"/>
  <c r="S14" i="27" s="1"/>
  <c r="R13" i="27"/>
  <c r="CF12" i="27"/>
  <c r="BW12" i="27"/>
  <c r="BU12" i="27"/>
  <c r="BR12" i="27"/>
  <c r="BP12" i="27"/>
  <c r="BC12" i="27"/>
  <c r="R12" i="27"/>
  <c r="CF11" i="27"/>
  <c r="BW11" i="27"/>
  <c r="BU11" i="27"/>
  <c r="BR11" i="27"/>
  <c r="BP11" i="27"/>
  <c r="BC11" i="27"/>
  <c r="S11" i="27"/>
  <c r="R11" i="27"/>
  <c r="CF10" i="27"/>
  <c r="BW10" i="27"/>
  <c r="BU10" i="27"/>
  <c r="BP10" i="27"/>
  <c r="BR10" i="27" s="1"/>
  <c r="BC10" i="27"/>
  <c r="R10" i="27"/>
  <c r="CF9" i="27"/>
  <c r="BU9" i="27"/>
  <c r="BW9" i="27" s="1"/>
  <c r="BP9" i="27"/>
  <c r="BR9" i="27" s="1"/>
  <c r="BC9" i="27"/>
  <c r="AV9" i="27"/>
  <c r="AV10" i="27" s="1"/>
  <c r="AV11" i="27" s="1"/>
  <c r="AV12" i="27" s="1"/>
  <c r="S9" i="27"/>
  <c r="R9" i="27"/>
  <c r="CF8" i="27"/>
  <c r="BW8" i="27"/>
  <c r="BU8" i="27"/>
  <c r="BR8" i="27"/>
  <c r="BP8" i="27"/>
  <c r="BC8" i="27"/>
  <c r="R8" i="27"/>
  <c r="CF7" i="27"/>
  <c r="BW7" i="27"/>
  <c r="BU7" i="27"/>
  <c r="BR7" i="27"/>
  <c r="BP7" i="27"/>
  <c r="BC7" i="27"/>
  <c r="R7" i="27"/>
  <c r="CF6" i="27"/>
  <c r="BW6" i="27"/>
  <c r="BU6" i="27"/>
  <c r="BR6" i="27"/>
  <c r="BP6" i="27"/>
  <c r="BC6" i="27"/>
  <c r="AS6" i="27"/>
  <c r="AR6" i="27" s="1"/>
  <c r="R6" i="27"/>
  <c r="CF5" i="27"/>
  <c r="CH5" i="27" s="1"/>
  <c r="BU5" i="27"/>
  <c r="BW5" i="27" s="1"/>
  <c r="BP5" i="27"/>
  <c r="BR5" i="27" s="1"/>
  <c r="BC5" i="27"/>
  <c r="AV5" i="27"/>
  <c r="AV6" i="27" s="1"/>
  <c r="AV7" i="27" s="1"/>
  <c r="AV8" i="27" s="1"/>
  <c r="AR5" i="27"/>
  <c r="R5" i="27"/>
  <c r="J354" i="8"/>
  <c r="J352" i="8" s="1"/>
  <c r="K351" i="8"/>
  <c r="J351" i="8"/>
  <c r="K350" i="8"/>
  <c r="J350" i="8"/>
  <c r="K349" i="8"/>
  <c r="J349" i="8"/>
  <c r="B340" i="8"/>
  <c r="K324" i="8"/>
  <c r="AE323" i="8"/>
  <c r="AC323" i="8"/>
  <c r="AA323" i="8"/>
  <c r="Y323" i="8"/>
  <c r="W323" i="8"/>
  <c r="U323" i="8"/>
  <c r="S323" i="8"/>
  <c r="Q323" i="8"/>
  <c r="O323" i="8"/>
  <c r="M323" i="8"/>
  <c r="K323" i="8"/>
  <c r="AE322" i="8"/>
  <c r="AD322" i="8"/>
  <c r="AC322" i="8"/>
  <c r="AB322" i="8"/>
  <c r="AA322" i="8"/>
  <c r="Z322" i="8"/>
  <c r="Y322" i="8"/>
  <c r="X322" i="8"/>
  <c r="W322" i="8"/>
  <c r="V322" i="8"/>
  <c r="U322" i="8"/>
  <c r="T322" i="8"/>
  <c r="S322" i="8"/>
  <c r="R322" i="8"/>
  <c r="Q322" i="8"/>
  <c r="P322" i="8"/>
  <c r="O322" i="8"/>
  <c r="N322" i="8"/>
  <c r="M322" i="8"/>
  <c r="L322" i="8"/>
  <c r="K322" i="8"/>
  <c r="J322" i="8"/>
  <c r="AE321" i="8"/>
  <c r="AD321" i="8"/>
  <c r="AC321" i="8"/>
  <c r="AB321" i="8"/>
  <c r="AA321" i="8"/>
  <c r="Z321" i="8"/>
  <c r="Y321" i="8"/>
  <c r="X321" i="8"/>
  <c r="W321" i="8"/>
  <c r="V321" i="8"/>
  <c r="U321" i="8"/>
  <c r="T321" i="8"/>
  <c r="S321" i="8"/>
  <c r="R321" i="8"/>
  <c r="Q321" i="8"/>
  <c r="P321" i="8"/>
  <c r="G321" i="8" s="1"/>
  <c r="O321" i="8"/>
  <c r="N321" i="8"/>
  <c r="M321" i="8"/>
  <c r="L321" i="8"/>
  <c r="AG321" i="8" s="1"/>
  <c r="K321" i="8"/>
  <c r="I321" i="8" s="1"/>
  <c r="J321" i="8"/>
  <c r="AG320" i="8"/>
  <c r="AF320" i="8"/>
  <c r="I320" i="8"/>
  <c r="G320" i="8"/>
  <c r="J303" i="8"/>
  <c r="B289" i="8"/>
  <c r="B288" i="8"/>
  <c r="B284" i="8"/>
  <c r="B283" i="8"/>
  <c r="P270" i="8"/>
  <c r="O270" i="8"/>
  <c r="N270" i="8"/>
  <c r="V269" i="8"/>
  <c r="X269" i="8" s="1"/>
  <c r="T269" i="8"/>
  <c r="U269" i="8" s="1"/>
  <c r="B269" i="8"/>
  <c r="T267" i="8"/>
  <c r="B267" i="8"/>
  <c r="T266" i="8"/>
  <c r="B266" i="8"/>
  <c r="B265" i="8"/>
  <c r="B264" i="8"/>
  <c r="B259" i="8"/>
  <c r="B257" i="8"/>
  <c r="B254" i="8"/>
  <c r="B216" i="8"/>
  <c r="N215" i="8"/>
  <c r="M215" i="8"/>
  <c r="N214" i="8"/>
  <c r="M214" i="8"/>
  <c r="N213" i="8"/>
  <c r="M213" i="8"/>
  <c r="N212" i="8"/>
  <c r="M212" i="8"/>
  <c r="N211" i="8"/>
  <c r="M211" i="8"/>
  <c r="N210" i="8"/>
  <c r="M210" i="8"/>
  <c r="N209" i="8"/>
  <c r="M209" i="8"/>
  <c r="E209" i="8"/>
  <c r="N208" i="8"/>
  <c r="M208" i="8"/>
  <c r="N207" i="8"/>
  <c r="M207" i="8"/>
  <c r="N206" i="8"/>
  <c r="M206" i="8"/>
  <c r="N205" i="8"/>
  <c r="M205" i="8"/>
  <c r="N204" i="8"/>
  <c r="M204" i="8"/>
  <c r="N203" i="8"/>
  <c r="M203" i="8"/>
  <c r="B201" i="8"/>
  <c r="B91" i="8"/>
  <c r="R73" i="8"/>
  <c r="Q72" i="8"/>
  <c r="K72" i="8"/>
  <c r="I72" i="8"/>
  <c r="Q71" i="8"/>
  <c r="R71" i="8" s="1"/>
  <c r="S71" i="8" s="1"/>
  <c r="K71" i="8"/>
  <c r="I71" i="8"/>
  <c r="B55" i="8"/>
  <c r="B54" i="8"/>
  <c r="B44" i="8"/>
  <c r="L43" i="8"/>
  <c r="B43" i="8"/>
  <c r="O42" i="8"/>
  <c r="N42" i="8"/>
  <c r="M42" i="8"/>
  <c r="O41" i="8"/>
  <c r="O43" i="8" s="1"/>
  <c r="N41" i="8"/>
  <c r="N43" i="8" s="1"/>
  <c r="M41" i="8"/>
  <c r="M43" i="8" s="1"/>
  <c r="B40" i="8"/>
  <c r="P25" i="8"/>
  <c r="O25" i="8"/>
  <c r="P24" i="8"/>
  <c r="O24" i="8"/>
  <c r="P23" i="8"/>
  <c r="O23" i="8"/>
  <c r="P22" i="8"/>
  <c r="O22" i="8"/>
  <c r="P21" i="8"/>
  <c r="O21" i="8"/>
  <c r="B21" i="8"/>
  <c r="O20" i="8"/>
  <c r="P20" i="8" s="1"/>
  <c r="O19" i="8"/>
  <c r="P19" i="8" s="1"/>
  <c r="B19" i="8"/>
  <c r="P18" i="8"/>
  <c r="O18" i="8"/>
  <c r="P17" i="8"/>
  <c r="O17" i="8"/>
  <c r="P16" i="8"/>
  <c r="O16" i="8"/>
  <c r="P15" i="8"/>
  <c r="O15" i="8"/>
  <c r="B13" i="8"/>
  <c r="B6" i="8"/>
  <c r="EM48" i="10"/>
  <c r="EU47" i="10"/>
  <c r="ES47" i="10"/>
  <c r="EM47" i="10"/>
  <c r="EU46" i="10"/>
  <c r="ES46" i="10"/>
  <c r="EM46" i="10"/>
  <c r="EU45" i="10"/>
  <c r="ES45" i="10"/>
  <c r="EM45" i="10"/>
  <c r="EU44" i="10"/>
  <c r="ES44" i="10"/>
  <c r="EM44" i="10"/>
  <c r="EU43" i="10"/>
  <c r="ES43" i="10"/>
  <c r="EM43" i="10"/>
  <c r="EU42" i="10"/>
  <c r="ES42" i="10"/>
  <c r="EP42" i="10"/>
  <c r="EM42" i="10"/>
  <c r="EU41" i="10"/>
  <c r="ES41" i="10"/>
  <c r="EM41" i="10"/>
  <c r="EU40" i="10"/>
  <c r="ES40" i="10"/>
  <c r="EU39" i="10"/>
  <c r="ES39" i="10"/>
  <c r="EU38" i="10"/>
  <c r="ES38" i="10"/>
  <c r="EU37" i="10"/>
  <c r="ES37" i="10"/>
  <c r="EU36" i="10"/>
  <c r="ES36" i="10"/>
  <c r="EU35" i="10"/>
  <c r="ES35" i="10"/>
  <c r="EL33" i="10"/>
  <c r="EP32" i="10"/>
  <c r="EM32" i="10"/>
  <c r="DY32" i="10" s="1"/>
  <c r="EK32" i="10"/>
  <c r="EI32" i="10"/>
  <c r="EN32" i="10" s="1"/>
  <c r="EH32" i="10"/>
  <c r="DX32" i="10"/>
  <c r="DN32" i="10"/>
  <c r="DJ32" i="10"/>
  <c r="DF32" i="10"/>
  <c r="DA32" i="10"/>
  <c r="DD32" i="10" s="1"/>
  <c r="AO32" i="10" s="1"/>
  <c r="AU32" i="10"/>
  <c r="AT32" i="10"/>
  <c r="AS32" i="10"/>
  <c r="AQ32" i="10"/>
  <c r="AM32" i="10"/>
  <c r="AF32" i="10"/>
  <c r="Y32" i="10"/>
  <c r="W32" i="10"/>
  <c r="U32" i="10"/>
  <c r="L32" i="10"/>
  <c r="J32" i="10"/>
  <c r="I32" i="10"/>
  <c r="H32" i="10"/>
  <c r="EK31" i="10"/>
  <c r="EH31" i="10"/>
  <c r="EP31" i="10" s="1"/>
  <c r="DX31" i="10"/>
  <c r="DN31" i="10"/>
  <c r="DJ31" i="10"/>
  <c r="DF31" i="10"/>
  <c r="DD31" i="10"/>
  <c r="DA31" i="10"/>
  <c r="AU31" i="10"/>
  <c r="AS31" i="10" s="1"/>
  <c r="AQ31" i="10"/>
  <c r="AO31" i="10"/>
  <c r="AF31" i="10"/>
  <c r="Y31" i="10"/>
  <c r="W31" i="10"/>
  <c r="U31" i="10"/>
  <c r="L31" i="10"/>
  <c r="I31" i="10"/>
  <c r="J31" i="10" s="1"/>
  <c r="H31" i="10"/>
  <c r="EP30" i="10"/>
  <c r="EK30" i="10"/>
  <c r="EI30" i="10"/>
  <c r="EH30" i="10"/>
  <c r="DX30" i="10"/>
  <c r="DN30" i="10"/>
  <c r="DJ30" i="10"/>
  <c r="DF30" i="10"/>
  <c r="DA30" i="10"/>
  <c r="DD30" i="10" s="1"/>
  <c r="AO30" i="10" s="1"/>
  <c r="AU30" i="10"/>
  <c r="AS30" i="10" s="1"/>
  <c r="AQ30" i="10"/>
  <c r="AF30" i="10"/>
  <c r="Y30" i="10"/>
  <c r="W30" i="10"/>
  <c r="U30" i="10"/>
  <c r="L30" i="10"/>
  <c r="J30" i="10"/>
  <c r="I30" i="10"/>
  <c r="H30" i="10"/>
  <c r="ES29" i="10"/>
  <c r="B366" i="8" s="1"/>
  <c r="EP29" i="10"/>
  <c r="EK29" i="10"/>
  <c r="EI29" i="10"/>
  <c r="EH29" i="10"/>
  <c r="DX29" i="10"/>
  <c r="DN29" i="10"/>
  <c r="DJ29" i="10"/>
  <c r="DF29" i="10"/>
  <c r="DA29" i="10"/>
  <c r="DD29" i="10" s="1"/>
  <c r="AO29" i="10" s="1"/>
  <c r="AU29" i="10"/>
  <c r="AS29" i="10" s="1"/>
  <c r="AM29" i="10" s="1"/>
  <c r="AQ29" i="10"/>
  <c r="AF29" i="10"/>
  <c r="Y29" i="10"/>
  <c r="W29" i="10"/>
  <c r="U29" i="10"/>
  <c r="L29" i="10"/>
  <c r="J29" i="10"/>
  <c r="I29" i="10"/>
  <c r="H29" i="10"/>
  <c r="EK28" i="10"/>
  <c r="EH28" i="10"/>
  <c r="DX28" i="10"/>
  <c r="DN28" i="10"/>
  <c r="DJ28" i="10"/>
  <c r="DF28" i="10"/>
  <c r="DD28" i="10"/>
  <c r="DA28" i="10"/>
  <c r="AU28" i="10"/>
  <c r="AS28" i="10" s="1"/>
  <c r="AQ28" i="10"/>
  <c r="AO28" i="10"/>
  <c r="AF28" i="10"/>
  <c r="Y28" i="10"/>
  <c r="W28" i="10"/>
  <c r="U28" i="10"/>
  <c r="L28" i="10"/>
  <c r="I28" i="10"/>
  <c r="J28" i="10" s="1"/>
  <c r="H28" i="10"/>
  <c r="EP27" i="10"/>
  <c r="EK27" i="10"/>
  <c r="EI27" i="10"/>
  <c r="EH27" i="10"/>
  <c r="DZ27" i="10"/>
  <c r="DZ28" i="10" s="1"/>
  <c r="DZ29" i="10" s="1"/>
  <c r="DZ30" i="10" s="1"/>
  <c r="DZ31" i="10" s="1"/>
  <c r="DZ32" i="10" s="1"/>
  <c r="DX27" i="10"/>
  <c r="DN27" i="10"/>
  <c r="DJ27" i="10"/>
  <c r="DF27" i="10"/>
  <c r="DA27" i="10"/>
  <c r="DD27" i="10" s="1"/>
  <c r="AO27" i="10" s="1"/>
  <c r="AU27" i="10"/>
  <c r="AT27" i="10"/>
  <c r="AS27" i="10"/>
  <c r="AQ27" i="10"/>
  <c r="AM27" i="10"/>
  <c r="AF27" i="10"/>
  <c r="Y27" i="10"/>
  <c r="W27" i="10"/>
  <c r="U27" i="10"/>
  <c r="L27" i="10"/>
  <c r="J27" i="10"/>
  <c r="I27" i="10"/>
  <c r="H27" i="10"/>
  <c r="EK26" i="10"/>
  <c r="EH26" i="10"/>
  <c r="EI26" i="10" s="1"/>
  <c r="DZ26" i="10"/>
  <c r="DX26" i="10"/>
  <c r="DN26" i="10"/>
  <c r="DJ26" i="10"/>
  <c r="DF26" i="10"/>
  <c r="DD26" i="10"/>
  <c r="DA26" i="10"/>
  <c r="AU26" i="10"/>
  <c r="AS26" i="10"/>
  <c r="AQ26" i="10"/>
  <c r="AO26" i="10"/>
  <c r="AF26" i="10"/>
  <c r="Y26" i="10"/>
  <c r="W26" i="10"/>
  <c r="V26" i="10"/>
  <c r="U26" i="10"/>
  <c r="L26" i="10"/>
  <c r="I26" i="10"/>
  <c r="J26" i="10" s="1"/>
  <c r="H26" i="10"/>
  <c r="EP25" i="10"/>
  <c r="EL25" i="10"/>
  <c r="EL26" i="10" s="1"/>
  <c r="EL27" i="10" s="1"/>
  <c r="EL28" i="10" s="1"/>
  <c r="EL29" i="10" s="1"/>
  <c r="EL30" i="10" s="1"/>
  <c r="EL31" i="10" s="1"/>
  <c r="EK25" i="10"/>
  <c r="EI25" i="10"/>
  <c r="DX25" i="10"/>
  <c r="DN25" i="10"/>
  <c r="DJ25" i="10"/>
  <c r="DF25" i="10"/>
  <c r="DA25" i="10"/>
  <c r="DD25" i="10" s="1"/>
  <c r="AO25" i="10" s="1"/>
  <c r="AU25" i="10"/>
  <c r="AT25" i="10"/>
  <c r="AS25" i="10"/>
  <c r="AQ25" i="10"/>
  <c r="AM25" i="10"/>
  <c r="AF25" i="10"/>
  <c r="Y25" i="10"/>
  <c r="W25" i="10"/>
  <c r="U25" i="10"/>
  <c r="L25" i="10"/>
  <c r="J25" i="10"/>
  <c r="I25" i="10"/>
  <c r="H25" i="10"/>
  <c r="DN24" i="10"/>
  <c r="DJ24" i="10"/>
  <c r="DF24" i="10"/>
  <c r="DA24" i="10"/>
  <c r="DD24" i="10" s="1"/>
  <c r="AO24" i="10" s="1"/>
  <c r="AU24" i="10"/>
  <c r="AS24" i="10" s="1"/>
  <c r="AM24" i="10" s="1"/>
  <c r="AT24" i="10"/>
  <c r="AQ24" i="10"/>
  <c r="AF24" i="10"/>
  <c r="U24" i="10"/>
  <c r="L24" i="10"/>
  <c r="I24" i="10"/>
  <c r="J24" i="10" s="1"/>
  <c r="H24" i="10"/>
  <c r="C24" i="10"/>
  <c r="C29" i="10" s="1"/>
  <c r="DN23" i="10"/>
  <c r="DJ23" i="10"/>
  <c r="DF23" i="10"/>
  <c r="DD23" i="10"/>
  <c r="AO23" i="10" s="1"/>
  <c r="DA23" i="10"/>
  <c r="AU23" i="10"/>
  <c r="AS23" i="10"/>
  <c r="AQ23" i="10"/>
  <c r="AF23" i="10"/>
  <c r="U23" i="10"/>
  <c r="K23" i="10"/>
  <c r="L23" i="10" s="1"/>
  <c r="I23" i="10"/>
  <c r="J23" i="10" s="1"/>
  <c r="H23" i="10"/>
  <c r="DN22" i="10"/>
  <c r="DJ22" i="10"/>
  <c r="DF22" i="10"/>
  <c r="DA22" i="10"/>
  <c r="DD22" i="10" s="1"/>
  <c r="AO22" i="10" s="1"/>
  <c r="AU22" i="10"/>
  <c r="AS22" i="10" s="1"/>
  <c r="AT22" i="10" s="1"/>
  <c r="AQ22" i="10"/>
  <c r="AF22" i="10"/>
  <c r="U22" i="10"/>
  <c r="L22" i="10"/>
  <c r="K22" i="10"/>
  <c r="J22" i="10"/>
  <c r="I22" i="10"/>
  <c r="H22" i="10"/>
  <c r="DN21" i="10"/>
  <c r="DJ21" i="10"/>
  <c r="DF21" i="10"/>
  <c r="DA21" i="10"/>
  <c r="DD21" i="10" s="1"/>
  <c r="AO21" i="10" s="1"/>
  <c r="AU21" i="10"/>
  <c r="AT21" i="10"/>
  <c r="AS21" i="10"/>
  <c r="AQ21" i="10"/>
  <c r="AM21" i="10"/>
  <c r="AF21" i="10"/>
  <c r="U21" i="10"/>
  <c r="L21" i="10"/>
  <c r="K21" i="10"/>
  <c r="J21" i="10"/>
  <c r="I21" i="10"/>
  <c r="H21" i="10"/>
  <c r="DN20" i="10"/>
  <c r="DJ20" i="10"/>
  <c r="DF20" i="10"/>
  <c r="DA20" i="10"/>
  <c r="DD20" i="10" s="1"/>
  <c r="AO20" i="10" s="1"/>
  <c r="AS20" i="10"/>
  <c r="AQ20" i="10"/>
  <c r="AF20" i="10"/>
  <c r="U20" i="10"/>
  <c r="M20" i="10"/>
  <c r="K20" i="10"/>
  <c r="L20" i="10" s="1"/>
  <c r="I20" i="10"/>
  <c r="J20" i="10" s="1"/>
  <c r="H20" i="10"/>
  <c r="C20" i="10"/>
  <c r="C25" i="10" s="1"/>
  <c r="C30" i="10" s="1"/>
  <c r="DN19" i="10"/>
  <c r="DJ19" i="10"/>
  <c r="DF19" i="10"/>
  <c r="DA19" i="10"/>
  <c r="DD19" i="10" s="1"/>
  <c r="AO19" i="10" s="1"/>
  <c r="BO19" i="10"/>
  <c r="BN19" i="10"/>
  <c r="BM19" i="10"/>
  <c r="BK19" i="10"/>
  <c r="BJ19" i="10"/>
  <c r="BH19" i="10"/>
  <c r="BG19" i="10"/>
  <c r="BF19" i="10"/>
  <c r="BD19" i="10" s="1"/>
  <c r="BA19" i="10"/>
  <c r="BB19" i="10" s="1"/>
  <c r="AX19" i="10"/>
  <c r="AY19" i="10" s="1"/>
  <c r="AU19" i="10"/>
  <c r="AT19" i="10"/>
  <c r="AS19" i="10"/>
  <c r="AM19" i="10" s="1"/>
  <c r="AQ19" i="10"/>
  <c r="AF19" i="10"/>
  <c r="U19" i="10"/>
  <c r="U18" i="10" s="1"/>
  <c r="U17" i="10" s="1"/>
  <c r="U16" i="10" s="1"/>
  <c r="M19" i="10"/>
  <c r="M24" i="10" s="1"/>
  <c r="L19" i="10"/>
  <c r="K19" i="10"/>
  <c r="J19" i="10"/>
  <c r="I19" i="10"/>
  <c r="H19" i="10"/>
  <c r="EX18" i="10"/>
  <c r="EW18" i="10"/>
  <c r="EH18" i="10"/>
  <c r="EH19" i="10" s="1"/>
  <c r="DN18" i="10"/>
  <c r="DJ18" i="10"/>
  <c r="DF18" i="10"/>
  <c r="DD18" i="10"/>
  <c r="DA18" i="10"/>
  <c r="BO18" i="10"/>
  <c r="BM18" i="10"/>
  <c r="BN18" i="10" s="1"/>
  <c r="BJ18" i="10"/>
  <c r="BK18" i="10" s="1"/>
  <c r="BG18" i="10"/>
  <c r="BH18" i="10" s="1"/>
  <c r="BF18" i="10"/>
  <c r="BE18" i="10"/>
  <c r="BD18" i="10"/>
  <c r="AL18" i="10" s="1"/>
  <c r="BB18" i="10"/>
  <c r="BA18" i="10"/>
  <c r="AY18" i="10"/>
  <c r="AX18" i="10"/>
  <c r="AU18" i="10"/>
  <c r="AS18" i="10"/>
  <c r="AT18" i="10" s="1"/>
  <c r="AQ18" i="10"/>
  <c r="AO18" i="10"/>
  <c r="AF18" i="10"/>
  <c r="M18" i="10"/>
  <c r="M23" i="10" s="1"/>
  <c r="K18" i="10"/>
  <c r="L18" i="10" s="1"/>
  <c r="I18" i="10"/>
  <c r="J18" i="10" s="1"/>
  <c r="H18" i="10"/>
  <c r="C18" i="10"/>
  <c r="C23" i="10" s="1"/>
  <c r="C28" i="10" s="1"/>
  <c r="ER17" i="10"/>
  <c r="EV17" i="10" s="1"/>
  <c r="EN17" i="10"/>
  <c r="EL17" i="10"/>
  <c r="EK17" i="10"/>
  <c r="EI17" i="10"/>
  <c r="V32" i="10" s="1"/>
  <c r="DN17" i="10"/>
  <c r="DJ17" i="10"/>
  <c r="DF17" i="10"/>
  <c r="DD17" i="10"/>
  <c r="DA17" i="10"/>
  <c r="CF17" i="10"/>
  <c r="CF18" i="10" s="1"/>
  <c r="BO17" i="10"/>
  <c r="BM17" i="10" s="1"/>
  <c r="BN17" i="10" s="1"/>
  <c r="BJ17" i="10"/>
  <c r="BK17" i="10" s="1"/>
  <c r="BG17" i="10"/>
  <c r="BH17" i="10" s="1"/>
  <c r="BF17" i="10"/>
  <c r="BE17" i="10"/>
  <c r="BD17" i="10"/>
  <c r="AL17" i="10" s="1"/>
  <c r="BB17" i="10"/>
  <c r="BA17" i="10"/>
  <c r="AY17" i="10"/>
  <c r="AX17" i="10"/>
  <c r="AU17" i="10"/>
  <c r="AS17" i="10"/>
  <c r="AT17" i="10" s="1"/>
  <c r="AQ17" i="10"/>
  <c r="AO17" i="10"/>
  <c r="AM17" i="10"/>
  <c r="AF17" i="10"/>
  <c r="M17" i="10"/>
  <c r="M22" i="10" s="1"/>
  <c r="L17" i="10"/>
  <c r="K17" i="10"/>
  <c r="I17" i="10"/>
  <c r="J17" i="10" s="1"/>
  <c r="H17" i="10"/>
  <c r="C17" i="10"/>
  <c r="C22" i="10" s="1"/>
  <c r="C27" i="10" s="1"/>
  <c r="C32" i="10" s="1"/>
  <c r="EN16" i="10"/>
  <c r="EK16" i="10"/>
  <c r="EL16" i="10" s="1"/>
  <c r="EI16" i="10"/>
  <c r="V31" i="10" s="1"/>
  <c r="DN16" i="10"/>
  <c r="DJ16" i="10"/>
  <c r="DF16" i="10"/>
  <c r="DD16" i="10"/>
  <c r="AO16" i="10" s="1"/>
  <c r="DA16" i="10"/>
  <c r="CF16" i="10"/>
  <c r="BO16" i="10"/>
  <c r="BM16" i="10" s="1"/>
  <c r="BN16" i="10" s="1"/>
  <c r="BJ16" i="10"/>
  <c r="BK16" i="10" s="1"/>
  <c r="BG16" i="10"/>
  <c r="BH16" i="10" s="1"/>
  <c r="BF16" i="10"/>
  <c r="BD16" i="10"/>
  <c r="AL16" i="10" s="1"/>
  <c r="BB16" i="10"/>
  <c r="BA16" i="10"/>
  <c r="AY16" i="10"/>
  <c r="AX16" i="10"/>
  <c r="AU16" i="10"/>
  <c r="AS16" i="10" s="1"/>
  <c r="AQ16" i="10"/>
  <c r="AF16" i="10"/>
  <c r="M16" i="10"/>
  <c r="M21" i="10" s="1"/>
  <c r="K16" i="10"/>
  <c r="L16" i="10" s="1"/>
  <c r="I16" i="10"/>
  <c r="J16" i="10" s="1"/>
  <c r="H16" i="10"/>
  <c r="C16" i="10"/>
  <c r="C21" i="10" s="1"/>
  <c r="C26" i="10" s="1"/>
  <c r="C31" i="10" s="1"/>
  <c r="ER15" i="10"/>
  <c r="EV15" i="10" s="1"/>
  <c r="EN15" i="10"/>
  <c r="EK15" i="10"/>
  <c r="EL15" i="10" s="1"/>
  <c r="EI15" i="10"/>
  <c r="V30" i="10" s="1"/>
  <c r="DN15" i="10"/>
  <c r="DJ15" i="10"/>
  <c r="DF15" i="10"/>
  <c r="DD15" i="10"/>
  <c r="AO15" i="10" s="1"/>
  <c r="DA15" i="10"/>
  <c r="CF15" i="10"/>
  <c r="CD15" i="10"/>
  <c r="CE15" i="10" s="1"/>
  <c r="CC15" i="10"/>
  <c r="CC16" i="10" s="1"/>
  <c r="BZ15" i="10"/>
  <c r="BZ16" i="10" s="1"/>
  <c r="BZ17" i="10" s="1"/>
  <c r="BZ18" i="10" s="1"/>
  <c r="BZ19" i="10" s="1"/>
  <c r="BW15" i="10"/>
  <c r="BU15" i="10" s="1"/>
  <c r="BV15" i="10" s="1"/>
  <c r="BT15" i="10"/>
  <c r="BO15" i="10"/>
  <c r="BM15" i="10" s="1"/>
  <c r="BN15" i="10" s="1"/>
  <c r="BJ15" i="10"/>
  <c r="BK15" i="10" s="1"/>
  <c r="BG15" i="10"/>
  <c r="BH15" i="10" s="1"/>
  <c r="BD15" i="10"/>
  <c r="BE15" i="10" s="1"/>
  <c r="BA15" i="10"/>
  <c r="AL15" i="10" s="1"/>
  <c r="AX15" i="10"/>
  <c r="AY15" i="10" s="1"/>
  <c r="AW15" i="10"/>
  <c r="AT15" i="10"/>
  <c r="AS15" i="10"/>
  <c r="AM15" i="10" s="1"/>
  <c r="AQ15" i="10"/>
  <c r="AF15" i="10"/>
  <c r="U15" i="10"/>
  <c r="M15" i="10"/>
  <c r="K15" i="10"/>
  <c r="L15" i="10" s="1"/>
  <c r="J15" i="10"/>
  <c r="I15" i="10"/>
  <c r="H15" i="10"/>
  <c r="C15" i="10"/>
  <c r="ER14" i="10"/>
  <c r="EV14" i="10" s="1"/>
  <c r="EN14" i="10"/>
  <c r="EL14" i="10"/>
  <c r="EK14" i="10"/>
  <c r="EI14" i="10"/>
  <c r="V29" i="10" s="1"/>
  <c r="DN14" i="10"/>
  <c r="DJ14" i="10"/>
  <c r="DF14" i="10"/>
  <c r="DA14" i="10"/>
  <c r="DD14" i="10" s="1"/>
  <c r="AO14" i="10" s="1"/>
  <c r="CY14" i="10"/>
  <c r="AU14" i="10"/>
  <c r="AS14" i="10" s="1"/>
  <c r="AM14" i="10" s="1"/>
  <c r="AQ14" i="10"/>
  <c r="AF14" i="10"/>
  <c r="U14" i="10"/>
  <c r="U13" i="10" s="1"/>
  <c r="U12" i="10" s="1"/>
  <c r="U11" i="10" s="1"/>
  <c r="U10" i="10" s="1"/>
  <c r="U9" i="10" s="1"/>
  <c r="U8" i="10" s="1"/>
  <c r="U7" i="10" s="1"/>
  <c r="U6" i="10" s="1"/>
  <c r="U5" i="10" s="1"/>
  <c r="K14" i="10"/>
  <c r="L14" i="10" s="1"/>
  <c r="J14" i="10"/>
  <c r="I14" i="10"/>
  <c r="H14" i="10"/>
  <c r="C14" i="10"/>
  <c r="C19" i="10" s="1"/>
  <c r="ER13" i="10"/>
  <c r="EV13" i="10" s="1"/>
  <c r="EP13" i="10"/>
  <c r="ET13" i="10" s="1"/>
  <c r="EO13" i="10"/>
  <c r="EO14" i="10" s="1"/>
  <c r="EN13" i="10"/>
  <c r="EL13" i="10"/>
  <c r="EK13" i="10"/>
  <c r="EI13" i="10"/>
  <c r="V28" i="10" s="1"/>
  <c r="DN13" i="10"/>
  <c r="DJ13" i="10"/>
  <c r="DF13" i="10"/>
  <c r="DA13" i="10"/>
  <c r="DD13" i="10" s="1"/>
  <c r="AO13" i="10" s="1"/>
  <c r="CY13" i="10"/>
  <c r="AU13" i="10"/>
  <c r="AS13" i="10" s="1"/>
  <c r="AQ13" i="10"/>
  <c r="AF13" i="10"/>
  <c r="K13" i="10"/>
  <c r="L13" i="10" s="1"/>
  <c r="I13" i="10"/>
  <c r="J13" i="10" s="1"/>
  <c r="H13" i="10"/>
  <c r="EU12" i="10"/>
  <c r="EU13" i="10" s="1"/>
  <c r="EU14" i="10" s="1"/>
  <c r="EU15" i="10" s="1"/>
  <c r="EU16" i="10" s="1"/>
  <c r="EU17" i="10" s="1"/>
  <c r="EO12" i="10"/>
  <c r="EP12" i="10" s="1"/>
  <c r="EN12" i="10"/>
  <c r="EL12" i="10"/>
  <c r="EK12" i="10"/>
  <c r="ER12" i="10" s="1"/>
  <c r="EV12" i="10" s="1"/>
  <c r="EI12" i="10"/>
  <c r="V27" i="10" s="1"/>
  <c r="DN12" i="10"/>
  <c r="DJ12" i="10"/>
  <c r="DF12" i="10"/>
  <c r="DD12" i="10"/>
  <c r="AO12" i="10" s="1"/>
  <c r="DA12" i="10"/>
  <c r="CY12" i="10"/>
  <c r="BC12" i="10"/>
  <c r="AU12" i="10"/>
  <c r="AT12" i="10"/>
  <c r="AS12" i="10"/>
  <c r="AQ12" i="10"/>
  <c r="AM12" i="10"/>
  <c r="AF12" i="10"/>
  <c r="L12" i="10"/>
  <c r="K12" i="10"/>
  <c r="J12" i="10"/>
  <c r="I12" i="10"/>
  <c r="H12" i="10"/>
  <c r="EU11" i="10"/>
  <c r="ET11" i="10"/>
  <c r="X26" i="10" s="1"/>
  <c r="EP11" i="10"/>
  <c r="EO11" i="10"/>
  <c r="EN11" i="10"/>
  <c r="EQ11" i="10" s="1"/>
  <c r="EK11" i="10"/>
  <c r="EL11" i="10" s="1"/>
  <c r="EI11" i="10"/>
  <c r="DN11" i="10"/>
  <c r="DJ11" i="10"/>
  <c r="DF11" i="10"/>
  <c r="DD11" i="10"/>
  <c r="AO11" i="10" s="1"/>
  <c r="DA11" i="10"/>
  <c r="CY11" i="10"/>
  <c r="CF11" i="10"/>
  <c r="CF12" i="10" s="1"/>
  <c r="CC11" i="10"/>
  <c r="CC12" i="10" s="1"/>
  <c r="CA11" i="10"/>
  <c r="CB11" i="10" s="1"/>
  <c r="BC11" i="10"/>
  <c r="AZ11" i="10"/>
  <c r="AX11" i="10" s="1"/>
  <c r="AU11" i="10"/>
  <c r="AS11" i="10" s="1"/>
  <c r="AQ11" i="10"/>
  <c r="AF11" i="10"/>
  <c r="K11" i="10"/>
  <c r="L11" i="10" s="1"/>
  <c r="J11" i="10"/>
  <c r="I11" i="10"/>
  <c r="H11" i="10"/>
  <c r="EV10" i="10"/>
  <c r="ET10" i="10"/>
  <c r="X25" i="10" s="1"/>
  <c r="EQ10" i="10"/>
  <c r="EP10" i="10"/>
  <c r="EN10" i="10"/>
  <c r="EK10" i="10"/>
  <c r="EL10" i="10" s="1"/>
  <c r="EI10" i="10"/>
  <c r="V25" i="10" s="1"/>
  <c r="DN10" i="10"/>
  <c r="DJ10" i="10"/>
  <c r="DF10" i="10"/>
  <c r="DA10" i="10"/>
  <c r="DD10" i="10" s="1"/>
  <c r="AO10" i="10" s="1"/>
  <c r="CF10" i="10"/>
  <c r="CC10" i="10"/>
  <c r="CA10" i="10" s="1"/>
  <c r="CB10" i="10" s="1"/>
  <c r="BZ10" i="10"/>
  <c r="BZ11" i="10" s="1"/>
  <c r="BW10" i="10"/>
  <c r="BW11" i="10" s="1"/>
  <c r="BT10" i="10"/>
  <c r="BQ10" i="10" s="1"/>
  <c r="BC10" i="10"/>
  <c r="AY10" i="10"/>
  <c r="AX10" i="10"/>
  <c r="AW10" i="10"/>
  <c r="AT10" i="10"/>
  <c r="AS10" i="10"/>
  <c r="AQ10" i="10"/>
  <c r="AM10" i="10"/>
  <c r="AL10" i="10"/>
  <c r="AF10" i="10"/>
  <c r="K10" i="10"/>
  <c r="L10" i="10" s="1"/>
  <c r="J10" i="10"/>
  <c r="I10" i="10"/>
  <c r="H10" i="10"/>
  <c r="DN9" i="10"/>
  <c r="DJ9" i="10"/>
  <c r="DF9" i="10"/>
  <c r="DA9" i="10"/>
  <c r="DD9" i="10" s="1"/>
  <c r="AO9" i="10" s="1"/>
  <c r="BC9" i="10"/>
  <c r="AU9" i="10"/>
  <c r="AS9" i="10" s="1"/>
  <c r="AQ9" i="10"/>
  <c r="AF9" i="10"/>
  <c r="K9" i="10"/>
  <c r="L9" i="10" s="1"/>
  <c r="J9" i="10"/>
  <c r="I9" i="10"/>
  <c r="H9" i="10"/>
  <c r="DN8" i="10"/>
  <c r="DJ8" i="10"/>
  <c r="DF8" i="10"/>
  <c r="DA8" i="10"/>
  <c r="DD8" i="10" s="1"/>
  <c r="AO8" i="10" s="1"/>
  <c r="BC8" i="10"/>
  <c r="AU8" i="10"/>
  <c r="AS8" i="10" s="1"/>
  <c r="AQ8" i="10"/>
  <c r="AF8" i="10"/>
  <c r="K8" i="10"/>
  <c r="L8" i="10" s="1"/>
  <c r="J8" i="10"/>
  <c r="I8" i="10"/>
  <c r="H8" i="10"/>
  <c r="DN7" i="10"/>
  <c r="DJ7" i="10"/>
  <c r="DF7" i="10"/>
  <c r="DA7" i="10"/>
  <c r="DD7" i="10" s="1"/>
  <c r="AO7" i="10" s="1"/>
  <c r="BC7" i="10"/>
  <c r="AU7" i="10"/>
  <c r="AS7" i="10" s="1"/>
  <c r="AQ7" i="10"/>
  <c r="AF7" i="10"/>
  <c r="K7" i="10"/>
  <c r="L7" i="10" s="1"/>
  <c r="J7" i="10"/>
  <c r="I7" i="10"/>
  <c r="H7" i="10"/>
  <c r="DN6" i="10"/>
  <c r="DJ6" i="10"/>
  <c r="DF6" i="10"/>
  <c r="DA6" i="10"/>
  <c r="DD6" i="10" s="1"/>
  <c r="AO6" i="10" s="1"/>
  <c r="CF6" i="10"/>
  <c r="CF7" i="10" s="1"/>
  <c r="CF8" i="10" s="1"/>
  <c r="CF9" i="10" s="1"/>
  <c r="CC6" i="10"/>
  <c r="CC7" i="10" s="1"/>
  <c r="CA6" i="10"/>
  <c r="CB6" i="10" s="1"/>
  <c r="BZ6" i="10"/>
  <c r="BZ7" i="10" s="1"/>
  <c r="BX6" i="10"/>
  <c r="BY6" i="10" s="1"/>
  <c r="BW6" i="10"/>
  <c r="BQ6" i="10" s="1"/>
  <c r="BT6" i="10"/>
  <c r="BT7" i="10" s="1"/>
  <c r="BH6" i="10"/>
  <c r="AZ6" i="10"/>
  <c r="AZ7" i="10" s="1"/>
  <c r="AU6" i="10"/>
  <c r="AS6" i="10" s="1"/>
  <c r="AQ6" i="10"/>
  <c r="AF6" i="10"/>
  <c r="K6" i="10"/>
  <c r="L6" i="10" s="1"/>
  <c r="I6" i="10"/>
  <c r="J6" i="10" s="1"/>
  <c r="H6" i="10"/>
  <c r="DN5" i="10"/>
  <c r="DJ5" i="10"/>
  <c r="DF5" i="10"/>
  <c r="DA5" i="10"/>
  <c r="DD5" i="10" s="1"/>
  <c r="AO5" i="10" s="1"/>
  <c r="CB5" i="10"/>
  <c r="CA5" i="10"/>
  <c r="BU5" i="10"/>
  <c r="BV5" i="10" s="1"/>
  <c r="BR5" i="10"/>
  <c r="BS5" i="10" s="1"/>
  <c r="BQ5" i="10"/>
  <c r="BH5" i="10"/>
  <c r="AX5" i="10"/>
  <c r="AY5" i="10" s="1"/>
  <c r="AW5" i="10"/>
  <c r="AS5" i="10"/>
  <c r="AM5" i="10" s="1"/>
  <c r="AQ5" i="10"/>
  <c r="AF5" i="10"/>
  <c r="L5" i="10"/>
  <c r="K5" i="10"/>
  <c r="I5" i="10"/>
  <c r="J5" i="10" s="1"/>
  <c r="H5" i="10"/>
  <c r="CF3" i="10"/>
  <c r="CD16" i="10" s="1"/>
  <c r="CE16" i="10" s="1"/>
  <c r="BZ3" i="10"/>
  <c r="BX18" i="10" s="1"/>
  <c r="BY18" i="10" s="1"/>
  <c r="BT3" i="10"/>
  <c r="CF2" i="10"/>
  <c r="BZ2" i="10"/>
  <c r="CF1" i="10"/>
  <c r="BZ1" i="10"/>
  <c r="BX5" i="10" s="1"/>
  <c r="BY5" i="10" s="1"/>
  <c r="BT1" i="10"/>
  <c r="CD9" i="10" l="1"/>
  <c r="CE9" i="10" s="1"/>
  <c r="CD8" i="10"/>
  <c r="CE8" i="10" s="1"/>
  <c r="CD7" i="10"/>
  <c r="CE7" i="10" s="1"/>
  <c r="CD6" i="10"/>
  <c r="CE6" i="10" s="1"/>
  <c r="CD5" i="10"/>
  <c r="CE5" i="10" s="1"/>
  <c r="AT6" i="10"/>
  <c r="AM6" i="10"/>
  <c r="CA7" i="10"/>
  <c r="CB7" i="10" s="1"/>
  <c r="CC8" i="10"/>
  <c r="EP14" i="10"/>
  <c r="EO15" i="10"/>
  <c r="CF19" i="10"/>
  <c r="CD18" i="10"/>
  <c r="CE18" i="10" s="1"/>
  <c r="BX13" i="10"/>
  <c r="BY13" i="10" s="1"/>
  <c r="AT8" i="10"/>
  <c r="AM8" i="10"/>
  <c r="AZ8" i="10"/>
  <c r="AX7" i="10"/>
  <c r="BU11" i="10"/>
  <c r="BV11" i="10" s="1"/>
  <c r="BW12" i="10"/>
  <c r="X28" i="10"/>
  <c r="AY11" i="10"/>
  <c r="AL11" i="10"/>
  <c r="EQ12" i="10"/>
  <c r="EQ13" i="10" s="1"/>
  <c r="ET12" i="10"/>
  <c r="X27" i="10" s="1"/>
  <c r="AN5" i="10"/>
  <c r="BX11" i="10"/>
  <c r="BY11" i="10" s="1"/>
  <c r="BZ12" i="10"/>
  <c r="BZ13" i="10" s="1"/>
  <c r="BZ14" i="10" s="1"/>
  <c r="EL18" i="10"/>
  <c r="EM10" i="10"/>
  <c r="EM11" i="10" s="1"/>
  <c r="EM12" i="10" s="1"/>
  <c r="EM13" i="10" s="1"/>
  <c r="EM14" i="10" s="1"/>
  <c r="EM15" i="10" s="1"/>
  <c r="EM16" i="10" s="1"/>
  <c r="EM17" i="10" s="1"/>
  <c r="CA12" i="10"/>
  <c r="CB12" i="10" s="1"/>
  <c r="CC13" i="10"/>
  <c r="BT8" i="10"/>
  <c r="CF13" i="10"/>
  <c r="CF14" i="10" s="1"/>
  <c r="CD12" i="10"/>
  <c r="CE12" i="10" s="1"/>
  <c r="AT7" i="10"/>
  <c r="AM7" i="10"/>
  <c r="AM9" i="10"/>
  <c r="AT9" i="10"/>
  <c r="BE19" i="10"/>
  <c r="AL19" i="10"/>
  <c r="BZ8" i="10"/>
  <c r="BX7" i="10"/>
  <c r="BY7" i="10" s="1"/>
  <c r="AT11" i="10"/>
  <c r="AM11" i="10"/>
  <c r="AM13" i="10"/>
  <c r="AT13" i="10"/>
  <c r="AT16" i="10"/>
  <c r="AM16" i="10"/>
  <c r="BT2" i="10"/>
  <c r="AX6" i="10"/>
  <c r="BU10" i="10"/>
  <c r="BV10" i="10" s="1"/>
  <c r="BT11" i="10"/>
  <c r="AZ12" i="10"/>
  <c r="CD14" i="10"/>
  <c r="CE14" i="10" s="1"/>
  <c r="BX15" i="10"/>
  <c r="BY15" i="10" s="1"/>
  <c r="BX16" i="10"/>
  <c r="BY16" i="10" s="1"/>
  <c r="ER16" i="10"/>
  <c r="EV16" i="10" s="1"/>
  <c r="AT20" i="10"/>
  <c r="AM20" i="10"/>
  <c r="AT29" i="10"/>
  <c r="AF321" i="8"/>
  <c r="BW16" i="10"/>
  <c r="BX17" i="10"/>
  <c r="BY17" i="10" s="1"/>
  <c r="BU6" i="10"/>
  <c r="BV6" i="10" s="1"/>
  <c r="CD10" i="10"/>
  <c r="CE10" i="10" s="1"/>
  <c r="BX12" i="10"/>
  <c r="BY12" i="10" s="1"/>
  <c r="AM18" i="10"/>
  <c r="AT14" i="10"/>
  <c r="CD17" i="10"/>
  <c r="CE17" i="10" s="1"/>
  <c r="EN26" i="10"/>
  <c r="DV26" i="10" s="1"/>
  <c r="AM28" i="10"/>
  <c r="AT28" i="10"/>
  <c r="DV32" i="10"/>
  <c r="EO32" i="10"/>
  <c r="EN36" i="10"/>
  <c r="EQ32" i="10"/>
  <c r="AF322" i="8"/>
  <c r="M326" i="8"/>
  <c r="L326" i="8"/>
  <c r="K326" i="8"/>
  <c r="O326" i="8"/>
  <c r="N326" i="8"/>
  <c r="CD11" i="10"/>
  <c r="CE11" i="10" s="1"/>
  <c r="AT5" i="10"/>
  <c r="BW7" i="10"/>
  <c r="BX10" i="10"/>
  <c r="BY10" i="10" s="1"/>
  <c r="ER11" i="10"/>
  <c r="EV11" i="10" s="1"/>
  <c r="CC17" i="10"/>
  <c r="CA16" i="10"/>
  <c r="CB16" i="10" s="1"/>
  <c r="EM27" i="10"/>
  <c r="DY27" i="10" s="1"/>
  <c r="EO27" i="10"/>
  <c r="EI28" i="10"/>
  <c r="EP28" i="10"/>
  <c r="AT31" i="10"/>
  <c r="AM31" i="10"/>
  <c r="AM22" i="10"/>
  <c r="AM23" i="10"/>
  <c r="AT23" i="10"/>
  <c r="EM26" i="10"/>
  <c r="DY26" i="10" s="1"/>
  <c r="EP43" i="10"/>
  <c r="AG322" i="8"/>
  <c r="I322" i="8"/>
  <c r="BX19" i="10"/>
  <c r="BY19" i="10" s="1"/>
  <c r="BX14" i="10"/>
  <c r="BY14" i="10" s="1"/>
  <c r="BR15" i="10"/>
  <c r="CD19" i="10"/>
  <c r="CE19" i="10" s="1"/>
  <c r="AL5" i="10"/>
  <c r="BB15" i="10"/>
  <c r="BQ15" i="10"/>
  <c r="BE16" i="10"/>
  <c r="BT16" i="10"/>
  <c r="AM26" i="10"/>
  <c r="AT26" i="10"/>
  <c r="EN27" i="10"/>
  <c r="DV27" i="10" s="1"/>
  <c r="T71" i="8"/>
  <c r="S72" i="8"/>
  <c r="T72" i="8" s="1"/>
  <c r="BR6" i="10"/>
  <c r="BR7" i="10"/>
  <c r="BR8" i="10"/>
  <c r="EQ27" i="10"/>
  <c r="AT30" i="10"/>
  <c r="AM30" i="10"/>
  <c r="Q270" i="8"/>
  <c r="T270" i="8" s="1"/>
  <c r="B270" i="8"/>
  <c r="EP26" i="10"/>
  <c r="EQ26" i="10" s="1"/>
  <c r="EM29" i="10"/>
  <c r="DY29" i="10" s="1"/>
  <c r="EI31" i="10"/>
  <c r="EN29" i="10"/>
  <c r="DV29" i="10" s="1"/>
  <c r="AS7" i="27"/>
  <c r="CA15" i="10"/>
  <c r="CB15" i="10" s="1"/>
  <c r="EM30" i="10"/>
  <c r="EM25" i="10"/>
  <c r="EI33" i="10"/>
  <c r="G322" i="8"/>
  <c r="B322" i="8" s="1"/>
  <c r="DY25" i="10" l="1"/>
  <c r="EN25" i="10"/>
  <c r="AN7" i="10"/>
  <c r="BS7" i="10"/>
  <c r="EM28" i="10"/>
  <c r="DY28" i="10" s="1"/>
  <c r="BW8" i="10"/>
  <c r="BU7" i="10"/>
  <c r="BV7" i="10" s="1"/>
  <c r="EE26" i="10"/>
  <c r="EG26" i="10" s="1"/>
  <c r="EL42" i="10"/>
  <c r="EC26" i="10"/>
  <c r="EA26" i="10" s="1"/>
  <c r="AY6" i="10"/>
  <c r="AL6" i="10"/>
  <c r="BS8" i="10"/>
  <c r="BQ16" i="10"/>
  <c r="BT17" i="10"/>
  <c r="BR11" i="10"/>
  <c r="BR10" i="10"/>
  <c r="BR12" i="10"/>
  <c r="BZ9" i="10"/>
  <c r="BX9" i="10" s="1"/>
  <c r="BY9" i="10" s="1"/>
  <c r="BX8" i="10"/>
  <c r="BY8" i="10" s="1"/>
  <c r="BS15" i="10"/>
  <c r="AN15" i="10"/>
  <c r="BR16" i="10"/>
  <c r="EJ43" i="10"/>
  <c r="EK43" i="10" s="1"/>
  <c r="EP33" i="10"/>
  <c r="BU12" i="10"/>
  <c r="BV12" i="10" s="1"/>
  <c r="BW13" i="10"/>
  <c r="V270" i="8"/>
  <c r="X270" i="8" s="1"/>
  <c r="U270" i="8"/>
  <c r="BQ8" i="10"/>
  <c r="BT9" i="10"/>
  <c r="DY30" i="10"/>
  <c r="EN30" i="10"/>
  <c r="EL45" i="10"/>
  <c r="EE29" i="10"/>
  <c r="EG29" i="10" s="1"/>
  <c r="ED29" i="10"/>
  <c r="EC29" i="10"/>
  <c r="EA29" i="10" s="1"/>
  <c r="EF29" i="10" s="1"/>
  <c r="BU16" i="10"/>
  <c r="BV16" i="10" s="1"/>
  <c r="BW17" i="10"/>
  <c r="BQ7" i="10"/>
  <c r="AY7" i="10"/>
  <c r="AL7" i="10"/>
  <c r="EO16" i="10"/>
  <c r="EP15" i="10"/>
  <c r="AN6" i="10"/>
  <c r="BS6" i="10"/>
  <c r="AR7" i="27"/>
  <c r="AS8" i="27"/>
  <c r="EN31" i="10"/>
  <c r="DV31" i="10" s="1"/>
  <c r="EM31" i="10"/>
  <c r="DY31" i="10" s="1"/>
  <c r="ED27" i="10"/>
  <c r="EL43" i="10"/>
  <c r="EC27" i="10"/>
  <c r="EA27" i="10" s="1"/>
  <c r="EF27" i="10" s="1"/>
  <c r="EE27" i="10"/>
  <c r="EG27" i="10" s="1"/>
  <c r="CC18" i="10"/>
  <c r="CA17" i="10"/>
  <c r="CB17" i="10" s="1"/>
  <c r="EL48" i="10"/>
  <c r="EE32" i="10"/>
  <c r="EG32" i="10" s="1"/>
  <c r="ED32" i="10"/>
  <c r="EC32" i="10"/>
  <c r="EA32" i="10" s="1"/>
  <c r="AX12" i="10"/>
  <c r="AZ13" i="10"/>
  <c r="AZ9" i="10"/>
  <c r="AX8" i="10"/>
  <c r="EQ14" i="10"/>
  <c r="ET14" i="10"/>
  <c r="X29" i="10" s="1"/>
  <c r="EJ45" i="10"/>
  <c r="EO26" i="10"/>
  <c r="EJ42" i="10"/>
  <c r="EQ29" i="10"/>
  <c r="EV18" i="10"/>
  <c r="EO29" i="10"/>
  <c r="BT12" i="10"/>
  <c r="BQ11" i="10"/>
  <c r="CC14" i="10"/>
  <c r="CA14" i="10" s="1"/>
  <c r="CB14" i="10" s="1"/>
  <c r="CA13" i="10"/>
  <c r="CB13" i="10" s="1"/>
  <c r="CD13" i="10"/>
  <c r="CE13" i="10" s="1"/>
  <c r="CC9" i="10"/>
  <c r="CA9" i="10" s="1"/>
  <c r="CB9" i="10" s="1"/>
  <c r="CA8" i="10"/>
  <c r="CB8" i="10" s="1"/>
  <c r="CA18" i="10" l="1"/>
  <c r="CB18" i="10" s="1"/>
  <c r="CC19" i="10"/>
  <c r="CA19" i="10" s="1"/>
  <c r="CB19" i="10" s="1"/>
  <c r="AS9" i="27"/>
  <c r="AR8" i="27"/>
  <c r="AZ14" i="10"/>
  <c r="AX14" i="10" s="1"/>
  <c r="AX13" i="10"/>
  <c r="BR9" i="10"/>
  <c r="BS10" i="10"/>
  <c r="AN10" i="10"/>
  <c r="AL12" i="10"/>
  <c r="AY12" i="10"/>
  <c r="AN11" i="10"/>
  <c r="BS11" i="10"/>
  <c r="ED26" i="10"/>
  <c r="BW18" i="10"/>
  <c r="BU17" i="10"/>
  <c r="BV17" i="10" s="1"/>
  <c r="AN16" i="10"/>
  <c r="BS16" i="10"/>
  <c r="EN28" i="10"/>
  <c r="EF32" i="10"/>
  <c r="EJ48" i="10"/>
  <c r="BQ17" i="10"/>
  <c r="BT18" i="10"/>
  <c r="BR17" i="10"/>
  <c r="EA25" i="10"/>
  <c r="EF25" i="10" s="1"/>
  <c r="EF26" i="10"/>
  <c r="BS12" i="10"/>
  <c r="AN12" i="10"/>
  <c r="EQ15" i="10"/>
  <c r="ET15" i="10"/>
  <c r="X30" i="10" s="1"/>
  <c r="EO17" i="10"/>
  <c r="EP17" i="10" s="1"/>
  <c r="EP16" i="10"/>
  <c r="BW14" i="10"/>
  <c r="BU14" i="10" s="1"/>
  <c r="BV14" i="10" s="1"/>
  <c r="BU13" i="10"/>
  <c r="BV13" i="10" s="1"/>
  <c r="DV25" i="10"/>
  <c r="EO25" i="10"/>
  <c r="EQ25" i="10"/>
  <c r="BG6" i="10"/>
  <c r="AX9" i="10"/>
  <c r="BG5" i="10"/>
  <c r="BQ12" i="10"/>
  <c r="BT13" i="10"/>
  <c r="EE31" i="10"/>
  <c r="EG31" i="10" s="1"/>
  <c r="EC31" i="10"/>
  <c r="EA31" i="10" s="1"/>
  <c r="EF31" i="10" s="1"/>
  <c r="EL47" i="10"/>
  <c r="AY8" i="10"/>
  <c r="AL8" i="10"/>
  <c r="EO31" i="10"/>
  <c r="DV30" i="10"/>
  <c r="EQ30" i="10"/>
  <c r="EO30" i="10"/>
  <c r="BW9" i="10"/>
  <c r="BU9" i="10" s="1"/>
  <c r="BV9" i="10" s="1"/>
  <c r="BU8" i="10"/>
  <c r="EQ31" i="10"/>
  <c r="EL46" i="10" l="1"/>
  <c r="EC30" i="10"/>
  <c r="EA30" i="10" s="1"/>
  <c r="EE30" i="10"/>
  <c r="EG30" i="10" s="1"/>
  <c r="BQ9" i="10"/>
  <c r="EQ16" i="10"/>
  <c r="EQ17" i="10" s="1"/>
  <c r="ET16" i="10"/>
  <c r="X31" i="10" s="1"/>
  <c r="AY13" i="10"/>
  <c r="AL13" i="10"/>
  <c r="ET17" i="10"/>
  <c r="X32" i="10" s="1"/>
  <c r="DV28" i="10"/>
  <c r="EQ28" i="10"/>
  <c r="EO28" i="10"/>
  <c r="AY14" i="10"/>
  <c r="AL14" i="10"/>
  <c r="BQ13" i="10"/>
  <c r="BT14" i="10"/>
  <c r="BR13" i="10"/>
  <c r="AY9" i="10"/>
  <c r="AL9" i="10"/>
  <c r="BV8" i="10"/>
  <c r="AN8" i="10"/>
  <c r="ED31" i="10"/>
  <c r="EJ47" i="10"/>
  <c r="AR9" i="27"/>
  <c r="AS10" i="27"/>
  <c r="BS9" i="10"/>
  <c r="AN9" i="10"/>
  <c r="AN17" i="10"/>
  <c r="BS17" i="10"/>
  <c r="EE25" i="10"/>
  <c r="EL41" i="10"/>
  <c r="EC25" i="10"/>
  <c r="DV33" i="10"/>
  <c r="ED25" i="10"/>
  <c r="BT19" i="10"/>
  <c r="BQ18" i="10"/>
  <c r="BR18" i="10"/>
  <c r="BU18" i="10"/>
  <c r="BV18" i="10" s="1"/>
  <c r="BW19" i="10"/>
  <c r="BU19" i="10" s="1"/>
  <c r="BV19" i="10" s="1"/>
  <c r="BQ19" i="10" l="1"/>
  <c r="BR19" i="10"/>
  <c r="EO41" i="10"/>
  <c r="AR10" i="27"/>
  <c r="AS11" i="27"/>
  <c r="EL44" i="10"/>
  <c r="EO43" i="10" s="1"/>
  <c r="EQ43" i="10" s="1"/>
  <c r="EC28" i="10"/>
  <c r="EA28" i="10" s="1"/>
  <c r="EE28" i="10"/>
  <c r="EG28" i="10" s="1"/>
  <c r="ED28" i="10"/>
  <c r="EE33" i="10"/>
  <c r="EG25" i="10"/>
  <c r="AN13" i="10"/>
  <c r="BS13" i="10"/>
  <c r="EF30" i="10"/>
  <c r="EJ46" i="10"/>
  <c r="AN18" i="10"/>
  <c r="BS18" i="10"/>
  <c r="EO42" i="10"/>
  <c r="EQ42" i="10" s="1"/>
  <c r="BQ14" i="10"/>
  <c r="BR14" i="10"/>
  <c r="ED30" i="10"/>
  <c r="EP41" i="10" s="1"/>
  <c r="BS14" i="10" l="1"/>
  <c r="AN14" i="10"/>
  <c r="AS12" i="27"/>
  <c r="AR11" i="27"/>
  <c r="EM22" i="10"/>
  <c r="EQ41" i="10"/>
  <c r="EK46" i="10"/>
  <c r="EK47" i="10" s="1"/>
  <c r="EK48" i="10" s="1"/>
  <c r="BS19" i="10"/>
  <c r="AN19" i="10"/>
  <c r="EF28" i="10"/>
  <c r="EF33" i="10" s="1"/>
  <c r="EJ44" i="10"/>
  <c r="EK44" i="10" s="1"/>
  <c r="EK45" i="10" s="1"/>
  <c r="EA33" i="10"/>
  <c r="AR12" i="27" l="1"/>
  <c r="AS13" i="27"/>
  <c r="AS14" i="27" l="1"/>
  <c r="AR13" i="27"/>
  <c r="AR14" i="27" l="1"/>
  <c r="AS15" i="27"/>
  <c r="AR15" i="27" s="1"/>
</calcChain>
</file>

<file path=xl/comments1.xml><?xml version="1.0" encoding="utf-8"?>
<comments xmlns="http://schemas.openxmlformats.org/spreadsheetml/2006/main">
  <authors>
    <author>jianlong wo</author>
  </authors>
  <commentList>
    <comment ref="DF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暂时不掉落弹头</t>
        </r>
      </text>
    </comment>
    <comment ref="M4" authorId="0" shapeId="0">
      <text>
        <r>
          <rPr>
            <sz val="9"/>
            <rFont val="宋体"/>
            <family val="3"/>
            <charset val="134"/>
          </rPr>
          <t>龙舟每次被捕获时根据score减少血量，伤害=score*炮倍系数</t>
        </r>
      </text>
    </comment>
    <comment ref="Q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普通鱼，奖金鱼(黄金鱼和组合鱼)、功能鱼(特殊鱼)，boss</t>
        </r>
      </text>
    </comment>
    <comment ref="AB4" authorId="0" shapeId="0">
      <text>
        <r>
          <rPr>
            <sz val="9"/>
            <rFont val="宋体"/>
            <family val="3"/>
            <charset val="134"/>
          </rPr>
          <t xml:space="preserve"> [[0,4],[1,4]] 代表效果为 锁定额外增加4秒 狂暴额外增加4秒，[[3,10]] 代表金币额外增加 10%，[[4,10],[5,50]] 代表有 10%的暴击概率 和 50%的暴击系数 </t>
        </r>
      </text>
    </comment>
    <comment ref="AX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BR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ER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成功时才消耗材料得出锻造需要灵石数量</t>
        </r>
      </text>
    </comment>
    <comment ref="EV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成功时才消耗材料得出需要灵石数量</t>
        </r>
      </text>
    </comment>
    <comment ref="EL24" authorId="0" shapeId="0">
      <text>
        <r>
          <rPr>
            <b/>
            <sz val="9"/>
            <rFont val="宋体"/>
            <family val="3"/>
            <charset val="134"/>
          </rPr>
          <t>5%表示需要返回20次灵石才够本次锻造所需</t>
        </r>
      </text>
    </comment>
    <comment ref="EP24" authorId="0" shapeId="0">
      <text>
        <r>
          <rPr>
            <sz val="9"/>
            <rFont val="宋体"/>
            <family val="3"/>
            <charset val="134"/>
          </rPr>
          <t xml:space="preserve">玩家玩N天游戏累计的钻石数量
</t>
        </r>
      </text>
    </comment>
  </commentList>
</comments>
</file>

<file path=xl/comments2.xml><?xml version="1.0" encoding="utf-8"?>
<comments xmlns="http://schemas.openxmlformats.org/spreadsheetml/2006/main">
  <authors>
    <author>jianlong wo</author>
    <author>作者</author>
    <author>user</author>
    <author>龙江</author>
  </authors>
  <commentList>
    <comment ref="B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现在逻辑坐标是10000*10000</t>
        </r>
      </text>
    </comment>
    <comment ref="B47" authorId="0" shapeId="0">
      <text>
        <r>
          <rPr>
            <b/>
            <sz val="9"/>
            <rFont val="宋体"/>
            <family val="3"/>
            <charset val="134"/>
          </rPr>
          <t>该接口服务器暂时不支持毫秒，算出倍数乘以基础时间后向上取整</t>
        </r>
      </text>
    </comment>
    <comment ref="B50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客户端专用
服务器不允许小数</t>
        </r>
      </text>
    </comment>
    <comment ref="I71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比赛时间+积分动画持续时间</t>
        </r>
      </text>
    </comment>
    <comment ref="B8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85/100算随机数</t>
        </r>
      </text>
    </comment>
    <comment ref="B9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开火和锁定共用一个等级</t>
        </r>
      </text>
    </comment>
    <comment ref="B11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C=50/100</t>
        </r>
      </text>
    </comment>
    <comment ref="B12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C=N/100</t>
        </r>
      </text>
    </comment>
    <comment ref="B12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300炮倍率</t>
        </r>
      </text>
    </comment>
    <comment ref="B140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4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5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["2|1001|200",10],最后一个10表示10/100，在现有概率上衰减为10%</t>
        </r>
      </text>
    </comment>
    <comment ref="A225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255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功能开启做在了客户端
现在是按照账号创建时间算起的</t>
        </r>
      </text>
    </comment>
    <comment ref="D269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D270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B273" authorId="0" shapeId="0">
      <text>
        <r>
          <rPr>
            <b/>
            <sz val="9"/>
            <rFont val="宋体"/>
            <family val="3"/>
            <charset val="134"/>
          </rPr>
          <t>档位，该档位购买第n次，必中的档位编号
{"1101":{"2":1,"2":2},"1103":{"1":1}}</t>
        </r>
      </text>
    </comment>
    <comment ref="A288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32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第[1,2)次是1.2
[2,正无穷)是1</t>
        </r>
      </text>
    </comment>
    <comment ref="D352" authorId="0" shapeId="0">
      <text>
        <r>
          <rPr>
            <sz val="9"/>
            <rFont val="宋体"/>
            <family val="3"/>
            <charset val="134"/>
          </rPr>
          <t xml:space="preserve"> 金币：金币数量=点券*250000金币，后面为0的位数全部补齐为8，即1点券=258888，2点券=588888
 钻石：钻石数=5*【点券数^钻石系数，向上取整】
 锁定：锁定数量=点券数^0.9，向上取整
 冰冻：冰冻数量=点券数^0.9，向上取整
 狂暴：狂暴数量=点券数^0.75，向上取整
   钻石系数0.77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user</author>
    <author>AutoBVT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 首充306
15.每次领取发财金额外获得n金币 首充308
5.解锁狂暴等级
6.开启道具赠送功能
7.充值金币额外赠送 5% 
8.邮件上限增加至60
9.竞技场积分加成3%
10.每日提现次数上限增加至（红包版专用）
11.存钱罐金币存储上限增加至
12.签到获得的金币翻n倍
13.幸运金币使用星钻普通翻倍次数上限N次
14.幸运金币使用星钻超级翻倍次数上限N次
16.贵族n升级专属金币奖励
17.自动开火（global需要写等级）
18.解锁手动选座特权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当前VIP+该列数据后，表示最后一个显示金额的VIP等级</t>
        </r>
      </text>
    </comment>
    <comment ref="Q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svn://192.168.8.190/fruit/tech/json/DataTable/发财金CompenGold.xlsx</t>
        </r>
      </text>
    </comment>
    <comment ref="T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待狂暴文档确认后，再添加狂暴等级解锁的数据</t>
        </r>
      </text>
    </comment>
    <comment ref="U4" authorId="2" shapeId="0">
      <text>
        <r>
          <rPr>
            <sz val="9"/>
            <rFont val="宋体"/>
            <family val="3"/>
            <charset val="134"/>
          </rPr>
          <t xml:space="preserve">修改了注意修改全局表上开启狂暴2级的vip等级
</t>
        </r>
      </text>
    </comment>
    <comment ref="V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X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2|1001|X，X表示捕鱼最大掉落数量</t>
        </r>
      </text>
    </comment>
    <comment ref="AQ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BJ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BK5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炮相关VIP查看
svn://192.168.8.190/fruit/tech/json/DataTable/炮Weapon.xlsx</t>
        </r>
      </text>
    </comment>
  </commentList>
</comments>
</file>

<file path=xl/comments4.xml><?xml version="1.0" encoding="utf-8"?>
<comments xmlns="http://schemas.openxmlformats.org/spreadsheetml/2006/main">
  <authors>
    <author>作者</author>
    <author>jianlong wo</author>
    <author>燕</author>
  </authors>
  <commentList>
    <comment ref="A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奖券资源，图片和名字的多语言暂时没用到</t>
        </r>
      </text>
    </comment>
    <comment ref="A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VIPEXP</t>
        </r>
      </text>
    </comment>
    <comment ref="A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竞技场</t>
        </r>
      </text>
    </comment>
    <comment ref="A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</t>
        </r>
      </text>
    </comment>
    <comment ref="O2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E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E3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M49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4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0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1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2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3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3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4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5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6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8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8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9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0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1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2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3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3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4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4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5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5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6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6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</commentList>
</comments>
</file>

<file path=xl/sharedStrings.xml><?xml version="1.0" encoding="utf-8"?>
<sst xmlns="http://schemas.openxmlformats.org/spreadsheetml/2006/main" count="2673" uniqueCount="1808">
  <si>
    <t>cs</t>
  </si>
  <si>
    <t>s</t>
  </si>
  <si>
    <t>演出节奏</t>
  </si>
  <si>
    <t>新手</t>
  </si>
  <si>
    <t>阶段1
金币池子</t>
  </si>
  <si>
    <t>阶段2
金币池子</t>
  </si>
  <si>
    <t>阶段3
金币池子</t>
  </si>
  <si>
    <t>阶段4
金币池子</t>
  </si>
  <si>
    <t>阶段5
无池子概念，结束点为跳转房间</t>
  </si>
  <si>
    <t>龙舟分值第1阶段</t>
  </si>
  <si>
    <t>（第3阶段按照正常鱼被捕获情况下掉落2500金币对应1福卡）</t>
  </si>
  <si>
    <t>int</t>
  </si>
  <si>
    <t>String</t>
  </si>
  <si>
    <t>float</t>
  </si>
  <si>
    <t>string</t>
  </si>
  <si>
    <t>初级</t>
  </si>
  <si>
    <t>龙舟分值第2阶段</t>
  </si>
  <si>
    <t>经典场</t>
  </si>
  <si>
    <t>核弹专场3个阶段掉弹头，2000炮倍起</t>
  </si>
  <si>
    <t>cannonLevel</t>
  </si>
  <si>
    <t>unlockMethod</t>
  </si>
  <si>
    <t>billMultiple</t>
  </si>
  <si>
    <t>rmbType5Pro</t>
  </si>
  <si>
    <t>ledWeight</t>
  </si>
  <si>
    <t>rmbType6</t>
  </si>
  <si>
    <t>lgDantouId</t>
  </si>
  <si>
    <t>eggNeedGold</t>
  </si>
  <si>
    <t>monkeySkillNeed</t>
  </si>
  <si>
    <t>wingSkillNeed</t>
  </si>
  <si>
    <t>G1</t>
  </si>
  <si>
    <t>G2</t>
  </si>
  <si>
    <t>harmC</t>
  </si>
  <si>
    <t>jjcC</t>
  </si>
  <si>
    <t>perC</t>
  </si>
  <si>
    <t>danzhuDrop</t>
  </si>
  <si>
    <t>weaponE1</t>
  </si>
  <si>
    <t>weaponE2</t>
  </si>
  <si>
    <t>weaponE3</t>
  </si>
  <si>
    <t>weaponE4</t>
  </si>
  <si>
    <t>duanzaoG</t>
  </si>
  <si>
    <t>forgeNeed</t>
  </si>
  <si>
    <t>forgePro</t>
  </si>
  <si>
    <t>forgeReward</t>
  </si>
  <si>
    <t>addProNeed</t>
  </si>
  <si>
    <t>finalPro</t>
  </si>
  <si>
    <t>isUnlock</t>
  </si>
  <si>
    <t>skill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</si>
  <si>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</si>
  <si>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</si>
  <si>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</si>
  <si>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</si>
  <si>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</si>
  <si>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</si>
  <si>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</si>
  <si>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</si>
  <si>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</si>
  <si>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</si>
  <si>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</si>
  <si>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</si>
  <si>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</si>
  <si>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</si>
  <si>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</si>
  <si>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perCardCannon</t>
  </si>
  <si>
    <t>中级</t>
  </si>
  <si>
    <t>龙舟分值第3阶段</t>
  </si>
  <si>
    <t>第2阶段(鱼被捕获情况下)</t>
  </si>
  <si>
    <t>第1阶段：金币</t>
  </si>
  <si>
    <r>
      <rPr>
        <sz val="11"/>
        <color theme="1"/>
        <rFont val="微软雅黑"/>
        <family val="2"/>
        <charset val="134"/>
      </rPr>
      <t>第2阶段：金币/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+钻石</t>
    </r>
  </si>
  <si>
    <r>
      <rPr>
        <sz val="11"/>
        <color theme="1"/>
        <rFont val="微软雅黑"/>
        <family val="2"/>
        <charset val="134"/>
      </rPr>
      <t>第3阶段：金币/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+福卡</t>
    </r>
  </si>
  <si>
    <t>炮解锁炮倍率
1，2,5...代表炮将要解锁的倍率</t>
  </si>
  <si>
    <r>
      <rPr>
        <sz val="8"/>
        <color theme="1"/>
        <rFont val="微软雅黑"/>
        <family val="2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family val="2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</si>
  <si>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</si>
  <si>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</si>
  <si>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t xml:space="preserve">假led的权重
假led规则：
获得金币：按照房间炮倍*鱼的倍数展示金币数量
房间内炮倍，每个炮倍对应一个出现的权重，从中随机一个值。
</t>
  </si>
  <si>
    <r>
      <rPr>
        <sz val="10"/>
        <color theme="1"/>
        <rFont val="微软雅黑"/>
        <family val="2"/>
        <charset val="134"/>
      </rPr>
      <t xml:space="preserve">最大炮倍率对应的直升N炮档位(6xx)
</t>
    </r>
    <r>
      <rPr>
        <sz val="8"/>
        <color theme="1"/>
        <rFont val="微软雅黑"/>
        <family val="2"/>
        <charset val="134"/>
      </rPr>
      <t xml:space="preserve">-1表示此类没有直升N炮充值
</t>
    </r>
    <r>
      <rPr>
        <sz val="8"/>
        <color rgb="FFFF0000"/>
        <rFont val="微软雅黑"/>
        <family val="2"/>
        <charset val="134"/>
      </rPr>
      <t>暂时废弃</t>
    </r>
  </si>
  <si>
    <r>
      <rPr>
        <b/>
        <i/>
        <sz val="10"/>
        <color theme="1"/>
        <rFont val="微软雅黑"/>
        <family val="2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family val="2"/>
        <charset val="134"/>
      </rPr>
      <t>暂时废弃</t>
    </r>
  </si>
  <si>
    <t>砸金蛋，捕鱼获得金币任务的金币需求</t>
  </si>
  <si>
    <r>
      <rPr>
        <sz val="9"/>
        <color theme="1"/>
        <rFont val="微软雅黑"/>
        <family val="2"/>
        <charset val="134"/>
      </rPr>
      <t>每个炮倍对应一个</t>
    </r>
    <r>
      <rPr>
        <b/>
        <sz val="9"/>
        <color rgb="FFFF0000"/>
        <rFont val="微软雅黑"/>
        <family val="2"/>
        <charset val="134"/>
      </rPr>
      <t>定海神针</t>
    </r>
    <r>
      <rPr>
        <sz val="9"/>
        <color theme="1"/>
        <rFont val="微软雅黑"/>
        <family val="2"/>
        <charset val="134"/>
      </rPr>
      <t>释放技能的能量值</t>
    </r>
  </si>
  <si>
    <t>[[翅膀1id,释放技能能量],[翅膀2id,释放技能能量]]</t>
  </si>
  <si>
    <t>活动期间
玩家累计获得&lt;=10碎片前的：使用该炮倍消耗G金币得1碎片
10为全局表配置值</t>
  </si>
  <si>
    <t>玩家累计获得&gt;10碎片前的：使用该炮倍消耗G金币得1碎片
10为配置值</t>
  </si>
  <si>
    <t>炮倍对龙舟的伤害系数
150表示150%</t>
  </si>
  <si>
    <t>竞技场积分加成系数
150表示150%</t>
  </si>
  <si>
    <t>勇者斗恶龙
闪电占鱼score
表中值/10000为需求系数
10000表示1</t>
  </si>
  <si>
    <t>炮倍对应掉落的弹珠类型</t>
  </si>
  <si>
    <t>普通鱼(大中小型鱼)默认E
只改变经典场、龙王专场
9600=9600/10000</t>
  </si>
  <si>
    <t>奖金鱼默认E
(黄金鱼)</t>
  </si>
  <si>
    <t xml:space="preserve">3功能鱼(特殊鱼)
</t>
  </si>
  <si>
    <t>4boss</t>
  </si>
  <si>
    <t>锻造材料掉落节奏，每消耗x金币获得1个材料，每个炮倍不一样</t>
  </si>
  <si>
    <t>锻造至当前炮倍消耗材料
格式：x1|y1|z1,x2|y2|z2|
type：消耗类型；：1货币，2道具
id：物品id，1钻石，2金币 ，其他的物品还没定义
默认第一个为星钻，然后是材料</t>
  </si>
  <si>
    <t>至当前炮倍的
成功概率，分母10000</t>
  </si>
  <si>
    <t>锻造失败返回灵石，从区间随机
至当前炮倍的</t>
  </si>
  <si>
    <t xml:space="preserve">使用灵石数量（使用灵石能提升成功概率）
至当前炮倍的
</t>
  </si>
  <si>
    <t>灵石能使概率提升至，分母10000
至当前炮倍的</t>
  </si>
  <si>
    <t>是否需要解锁
0否，1是</t>
  </si>
  <si>
    <t>锻造炮台解锁的炮台天赋
0锁定增加时间 1狂暴增加时间
2破产增加发财金% 3商城额外增加金币
4捕鱼暴击级别，1，2
5捕鱼暴击增加的score系数，一般要5%的倍数
6浮游炮个数（浮游炮触发概率在全局表）</t>
  </si>
  <si>
    <r>
      <rPr>
        <sz val="8"/>
        <color rgb="FFFF0000"/>
        <rFont val="微软雅黑"/>
        <family val="2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</si>
  <si>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rgb="FFFF0000"/>
        <rFont val="微软雅黑"/>
        <family val="2"/>
        <charset val="134"/>
      </rPr>
      <t xml:space="preserve">解锁奖励
与解锁配置方式一样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</si>
  <si>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跳档位升级是否有该过度档
第1档和最后1档必须都要有
1是，0否
</t>
    </r>
    <r>
      <rPr>
        <sz val="8"/>
        <color rgb="FFFF0000"/>
        <rFont val="微软雅黑"/>
        <family val="2"/>
        <charset val="134"/>
      </rPr>
      <t>暂时废弃</t>
    </r>
    <r>
      <rPr>
        <sz val="8"/>
        <color theme="1"/>
        <rFont val="微软雅黑"/>
        <family val="2"/>
        <charset val="134"/>
      </rPr>
      <t xml:space="preserve">
</t>
    </r>
  </si>
  <si>
    <t>第N档炮</t>
  </si>
  <si>
    <r>
      <rPr>
        <sz val="8"/>
        <color theme="1"/>
        <rFont val="微软雅黑"/>
        <family val="2"/>
        <charset val="134"/>
      </rPr>
      <t>跳档解锁消耗（目前有开关）
格式：</t>
    </r>
    <r>
      <rPr>
        <sz val="8"/>
        <color rgb="FFFF0000"/>
        <rFont val="微软雅黑"/>
        <family val="2"/>
        <charset val="134"/>
      </rPr>
      <t>x1|y1|z1,x2|y2|z2|</t>
    </r>
    <r>
      <rPr>
        <sz val="8"/>
        <color theme="1"/>
        <rFont val="微软雅黑"/>
        <family val="2"/>
        <charset val="134"/>
      </rPr>
      <t xml:space="preserve">
type：消耗类型；：1货币，2道具
id：物品id，1钻石，2金币 ，其他的物品还没定义
value：具体数量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</si>
  <si>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跳档解锁奖励
与解锁配置方式一样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</si>
  <si>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普通成长奖励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</si>
  <si>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vip成长奖励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</si>
  <si>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family val="2"/>
        <charset val="134"/>
      </rPr>
      <t>暂时废弃</t>
    </r>
  </si>
  <si>
    <t>演出阶段
A计算方式能量
新手能量，各个阶段能量</t>
  </si>
  <si>
    <t>演出阶段
B计算方式能量
新手能量</t>
  </si>
  <si>
    <t>不破产礼包5个阶段能量</t>
  </si>
  <si>
    <r>
      <rPr>
        <sz val="8"/>
        <color theme="1"/>
        <rFont val="微软雅黑"/>
        <family val="2"/>
        <charset val="134"/>
      </rPr>
      <t xml:space="preserve">龙舟经典场
第2阶段掉落钻石
</t>
    </r>
    <r>
      <rPr>
        <sz val="8"/>
        <color rgb="FFFF0000"/>
        <rFont val="微软雅黑"/>
        <family val="2"/>
        <charset val="134"/>
      </rPr>
      <t>"掉落数量,面额,概率"</t>
    </r>
  </si>
  <si>
    <r>
      <rPr>
        <sz val="8"/>
        <color theme="1"/>
        <rFont val="微软雅黑"/>
        <family val="2"/>
        <charset val="134"/>
      </rPr>
      <t xml:space="preserve">龙舟经典场
第3阶段掉落福卡
</t>
    </r>
    <r>
      <rPr>
        <sz val="8"/>
        <color rgb="FFFF0000"/>
        <rFont val="微软雅黑"/>
        <family val="2"/>
        <charset val="134"/>
      </rPr>
      <t>"掉落数量,面额,概率"
暂时废弃</t>
    </r>
  </si>
  <si>
    <t>核弹专场掉落弹头
第1、2、3阶段
[id，数量，概率],[id，数量，概率],[id，数量，概率]</t>
  </si>
  <si>
    <t>小游戏最终per=炮per×鱼per</t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</si>
  <si>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0</t>
    </r>
  </si>
  <si>
    <t>产出速率/s</t>
  </si>
  <si>
    <t>需要多久到下级房间或破产（开火时间/分钟）</t>
  </si>
  <si>
    <t>EA生效的开火次数范围</t>
  </si>
  <si>
    <t>阶段N</t>
  </si>
  <si>
    <r>
      <rPr>
        <b/>
        <sz val="10"/>
        <color theme="1"/>
        <rFont val="微软雅黑"/>
        <family val="2"/>
        <charset val="134"/>
      </rPr>
      <t xml:space="preserve">演出金币
阶段n计算所用金币值
</t>
    </r>
    <r>
      <rPr>
        <b/>
        <u/>
        <sz val="10"/>
        <color rgb="FFFF0000"/>
        <rFont val="微软雅黑"/>
        <family val="2"/>
        <charset val="134"/>
      </rPr>
      <t>GaojiStart</t>
    </r>
  </si>
  <si>
    <t>阶段终结条件</t>
  </si>
  <si>
    <t>最快</t>
  </si>
  <si>
    <t>最慢</t>
  </si>
  <si>
    <t>正常</t>
  </si>
  <si>
    <t>炮倍对应
总时间</t>
  </si>
  <si>
    <r>
      <rPr>
        <sz val="11"/>
        <color theme="1"/>
        <rFont val="微软雅黑"/>
        <family val="2"/>
        <charset val="134"/>
      </rPr>
      <t>E2</t>
    </r>
    <r>
      <rPr>
        <sz val="6"/>
        <color theme="1"/>
        <rFont val="微软雅黑"/>
        <family val="2"/>
        <charset val="134"/>
      </rPr>
      <t>1</t>
    </r>
  </si>
  <si>
    <t>能量&gt;1
开火次数</t>
  </si>
  <si>
    <r>
      <rPr>
        <sz val="11"/>
        <color theme="1"/>
        <rFont val="微软雅黑"/>
        <family val="2"/>
        <charset val="134"/>
      </rPr>
      <t>E2</t>
    </r>
    <r>
      <rPr>
        <sz val="9"/>
        <color theme="1"/>
        <rFont val="微软雅黑"/>
        <family val="2"/>
        <charset val="134"/>
      </rPr>
      <t>2</t>
    </r>
  </si>
  <si>
    <t>速率</t>
  </si>
  <si>
    <t>能量&lt;1
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</si>
  <si>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3</t>
    </r>
  </si>
  <si>
    <t>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</si>
  <si>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</si>
  <si>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5</t>
    </r>
  </si>
  <si>
    <t>跳转需要的
开火次数</t>
  </si>
  <si>
    <t>掉落1钻石概率</t>
  </si>
  <si>
    <t>掉落数量</t>
  </si>
  <si>
    <t>面额</t>
  </si>
  <si>
    <t>掉落概率</t>
  </si>
  <si>
    <t>金币价值</t>
  </si>
  <si>
    <t>id</t>
  </si>
  <si>
    <t>数量</t>
  </si>
  <si>
    <t>概率</t>
  </si>
  <si>
    <t>阶段1</t>
  </si>
  <si>
    <t>新手跳转到初级房</t>
  </si>
  <si>
    <t>演出结束时间</t>
  </si>
  <si>
    <t>钻石占比</t>
  </si>
  <si>
    <t>阶段2</t>
  </si>
  <si>
    <t>初级跳转到中级房</t>
  </si>
  <si>
    <t>到中级房时间</t>
  </si>
  <si>
    <t>钻石金币价值</t>
  </si>
  <si>
    <t>阶段3.1</t>
  </si>
  <si>
    <t>福卡占比</t>
  </si>
  <si>
    <t>调整后需要考虑道具价值</t>
  </si>
  <si>
    <t>阶段3.2</t>
  </si>
  <si>
    <t>福卡金币价值</t>
  </si>
  <si>
    <t>升满天数/每天1小时</t>
  </si>
  <si>
    <t>灵石数量缩小比例</t>
  </si>
  <si>
    <t>阶段3.3</t>
  </si>
  <si>
    <t>钻石数量</t>
  </si>
  <si>
    <t>锻造消耗材料</t>
  </si>
  <si>
    <t>每个材料数量</t>
  </si>
  <si>
    <t>成功率</t>
  </si>
  <si>
    <t>不用灵石，材料总量</t>
  </si>
  <si>
    <t>总计时间/小时</t>
  </si>
  <si>
    <t>失败次数</t>
  </si>
  <si>
    <t>返灵石比例</t>
  </si>
  <si>
    <t>失败返回灵石</t>
  </si>
  <si>
    <t>返还灵石总数量</t>
  </si>
  <si>
    <t>灵石需求数量</t>
  </si>
  <si>
    <t>返还灵石波动区间</t>
  </si>
  <si>
    <t>灵石修正</t>
  </si>
  <si>
    <t>阶段3.4</t>
  </si>
  <si>
    <t>弹头id</t>
  </si>
  <si>
    <t>阶段3.5</t>
  </si>
  <si>
    <t>阶段3.6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</si>
  <si>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1</t>
    </r>
  </si>
  <si>
    <t>开火时间/分钟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</si>
  <si>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</si>
  <si>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</si>
  <si>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</si>
  <si>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5</t>
    </r>
  </si>
  <si>
    <t>不计灵石升满N天</t>
  </si>
  <si>
    <t>最快N天</t>
  </si>
  <si>
    <t>1小时掉落材料</t>
  </si>
  <si>
    <t>灵石/锻造石价值比</t>
  </si>
  <si>
    <t>钻石per</t>
  </si>
  <si>
    <t>升满天数期望</t>
  </si>
  <si>
    <t>阶段1-4，5+1，结束条件为池子，阶段5为跳转房间</t>
  </si>
  <si>
    <t>每次锻造</t>
  </si>
  <si>
    <t>炮解锁炮倍率</t>
  </si>
  <si>
    <t>材料总数量/次</t>
  </si>
  <si>
    <t>失败灵石返还量</t>
  </si>
  <si>
    <t>灵石掉落波动范围</t>
  </si>
  <si>
    <t>灵石消耗总量</t>
  </si>
  <si>
    <t>灵石升级成功率</t>
  </si>
  <si>
    <t>材料期望验证</t>
  </si>
  <si>
    <t>钻石期望</t>
  </si>
  <si>
    <t>材料修正</t>
  </si>
  <si>
    <t>期望时间</t>
  </si>
  <si>
    <t>使用材料总量期望</t>
  </si>
  <si>
    <t>失败率</t>
  </si>
  <si>
    <t>灵石价值占比</t>
  </si>
  <si>
    <t>灵石数量</t>
  </si>
  <si>
    <t>实际材料</t>
  </si>
  <si>
    <t>灵石直升数量</t>
  </si>
  <si>
    <t>使用钻石总期望</t>
  </si>
  <si>
    <t>钻石/次</t>
  </si>
  <si>
    <t>[[6,1]]</t>
  </si>
  <si>
    <t>每天平均小时</t>
  </si>
  <si>
    <t>[[2,100]]</t>
  </si>
  <si>
    <t>每秒发射子弹</t>
  </si>
  <si>
    <t>[[3,5]]</t>
  </si>
  <si>
    <t>回报比</t>
  </si>
  <si>
    <t>[[0,10],[1,10]]</t>
  </si>
  <si>
    <t>炮倍</t>
  </si>
  <si>
    <t>[[4,1],[5,10]]</t>
  </si>
  <si>
    <t>每个耗X金币掉一个石头</t>
  </si>
  <si>
    <t>[[6,2]]</t>
  </si>
  <si>
    <t>[[3,10]]</t>
  </si>
  <si>
    <t>[[4,2],[5,20]]</t>
  </si>
  <si>
    <t>10000表示100%</t>
  </si>
  <si>
    <t>每秒子弹</t>
  </si>
  <si>
    <t>掉落1个石头消耗金币</t>
  </si>
  <si>
    <t>掉落40个需要时间/分钟</t>
  </si>
  <si>
    <t>最坏情况</t>
  </si>
  <si>
    <t>最多升级次数</t>
  </si>
  <si>
    <t>升级后剩余灵石</t>
  </si>
  <si>
    <t>剩余灵石总计</t>
  </si>
  <si>
    <t>灵石总消耗</t>
  </si>
  <si>
    <t>钻石总消耗</t>
  </si>
  <si>
    <t>材料数量</t>
  </si>
  <si>
    <t>钻石</t>
  </si>
  <si>
    <t>捕鱼小时数</t>
  </si>
  <si>
    <t>升满期望</t>
  </si>
  <si>
    <t>最小消耗</t>
  </si>
  <si>
    <t>最大消耗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</si>
  <si>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</si>
  <si>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</si>
  <si>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</si>
  <si>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</si>
  <si>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</si>
  <si>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</si>
  <si>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</si>
  <si>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</si>
  <si>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</si>
  <si>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</si>
  <si>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</si>
  <si>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</si>
  <si>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</si>
  <si>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</si>
  <si>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</si>
  <si>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</si>
  <si>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</si>
  <si>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</si>
  <si>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</si>
  <si>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</si>
  <si>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</si>
  <si>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</si>
  <si>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</si>
  <si>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</si>
  <si>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</si>
  <si>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首充306对应的</t>
  </si>
  <si>
    <t>发财金上限</t>
  </si>
  <si>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</si>
  <si>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</si>
  <si>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</si>
  <si>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</si>
  <si>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</si>
  <si>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</si>
  <si>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</si>
  <si>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</si>
  <si>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</si>
  <si>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</si>
  <si>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</si>
  <si>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CompenGold_308</t>
  </si>
  <si>
    <t>50000</t>
  </si>
  <si>
    <t>首充308、309对应的</t>
  </si>
  <si>
    <r>
      <rPr>
        <sz val="11"/>
        <color theme="1"/>
        <rFont val="微软雅黑"/>
        <family val="2"/>
        <charset val="134"/>
      </rPr>
      <t>发财金基础值，</t>
    </r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=基础值*贵族等级对应的倍数</t>
    </r>
  </si>
  <si>
    <t>Mission_Offer_Interval_limitfire</t>
  </si>
  <si>
    <t>300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</si>
  <si>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</si>
  <si>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</si>
  <si>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</si>
  <si>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</si>
  <si>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</si>
  <si>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</si>
  <si>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family val="2"/>
        <charset val="134"/>
      </rPr>
      <t>按照房间开炮总次数出现的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，需要的开炮总次数</t>
    </r>
  </si>
  <si>
    <t>weaponEnergy</t>
  </si>
  <si>
    <t>武器的初始能量=weaponEnergy/10000</t>
  </si>
  <si>
    <t>weaponEnerg4</t>
  </si>
  <si>
    <t>经典场第4个房间默认能量</t>
  </si>
  <si>
    <t>weaponEnerglw</t>
  </si>
  <si>
    <t>龙王专场默认能量</t>
  </si>
  <si>
    <t>weaponEnergyjjc</t>
  </si>
  <si>
    <t>9550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</si>
  <si>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</si>
  <si>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</si>
  <si>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</si>
  <si>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</si>
  <si>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</si>
  <si>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</si>
  <si>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</si>
  <si>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</si>
  <si>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</si>
  <si>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</si>
  <si>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</si>
  <si>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</si>
  <si>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</si>
  <si>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</si>
  <si>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</si>
  <si>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t>pikaqiuBaodi</t>
  </si>
  <si>
    <r>
      <rPr>
        <sz val="11"/>
        <color theme="1"/>
        <rFont val="微软雅黑"/>
        <family val="2"/>
        <charset val="134"/>
      </rPr>
      <t>皮卡丘闪电保底值，</t>
    </r>
    <r>
      <rPr>
        <sz val="11"/>
        <color rgb="FFFF0000"/>
        <rFont val="微软雅黑"/>
        <family val="2"/>
        <charset val="134"/>
      </rPr>
      <t>算闪电能量时需要闪电鱼value减去该值</t>
    </r>
    <r>
      <rPr>
        <b/>
        <sz val="11"/>
        <color rgb="FFFF0000"/>
        <rFont val="微软雅黑"/>
        <family val="2"/>
        <charset val="134"/>
      </rPr>
      <t>(暂时去掉)</t>
    </r>
  </si>
  <si>
    <t>zhadanFishRangeC</t>
  </si>
  <si>
    <t>9000,11000</t>
  </si>
  <si>
    <t>暂时废弃</t>
  </si>
  <si>
    <r>
      <rPr>
        <sz val="11"/>
        <color theme="1"/>
        <rFont val="微软雅黑"/>
        <family val="2"/>
        <charset val="134"/>
      </rPr>
      <t>炸弹蟹、闪电鱼分值浮动范围9000，表示0.9</t>
    </r>
    <r>
      <rPr>
        <sz val="11"/>
        <color rgb="FFFF0000"/>
        <rFont val="微软雅黑"/>
        <family val="2"/>
        <charset val="134"/>
      </rPr>
      <t>(暂时是写死的,待调整时拆开)</t>
    </r>
  </si>
  <si>
    <t>aishaSkillBaodi</t>
  </si>
  <si>
    <t>50,75</t>
  </si>
  <si>
    <r>
      <rPr>
        <sz val="11"/>
        <color theme="1"/>
        <rFont val="微软雅黑"/>
        <family val="2"/>
        <charset val="134"/>
      </rPr>
      <t>艾莎技能保底值，</t>
    </r>
    <r>
      <rPr>
        <sz val="11"/>
        <color rgb="FFFF0000"/>
        <rFont val="微软雅黑"/>
        <family val="2"/>
        <charset val="134"/>
      </rPr>
      <t>算闪电能量时需要技能value减去该值</t>
    </r>
  </si>
  <si>
    <t>aishaSkillValue</t>
  </si>
  <si>
    <t>200,300</t>
  </si>
  <si>
    <t>艾莎的技能value</t>
  </si>
  <si>
    <r>
      <rPr>
        <b/>
        <sz val="11"/>
        <color rgb="FF7030A0"/>
        <rFont val="微软雅黑"/>
        <family val="2"/>
        <charset val="134"/>
      </rPr>
      <t>longjing</t>
    </r>
    <r>
      <rPr>
        <b/>
        <sz val="11"/>
        <color rgb="FF7030A0"/>
        <rFont val="微软雅黑"/>
        <family val="2"/>
        <charset val="134"/>
      </rPr>
      <t>Score</t>
    </r>
  </si>
  <si>
    <t>裂海玄龙鲸score</t>
  </si>
  <si>
    <t>longjingE1st</t>
  </si>
  <si>
    <t>350</t>
  </si>
  <si>
    <t>裂海玄龙鲸第一阶段最大能量</t>
  </si>
  <si>
    <t>longjingTime1st</t>
  </si>
  <si>
    <t>15</t>
  </si>
  <si>
    <t>裂海玄龙鲸第一阶段最大持续时间</t>
  </si>
  <si>
    <t>longjingBaodi</t>
  </si>
  <si>
    <t>50</t>
  </si>
  <si>
    <t>裂海玄龙鲸保底值</t>
  </si>
  <si>
    <t>BHjinglingScore</t>
  </si>
  <si>
    <t>冰海精灵boss分值</t>
  </si>
  <si>
    <t>BHjinglingIndex</t>
  </si>
  <si>
    <t>[[10,10,1,150],[10,10,2,200],[10,10,3,250]]</t>
  </si>
  <si>
    <t>冰海精灵阶段对应得[时间/秒，增加时间上限，倍数，能量（能量读取特殊武器表中）]</t>
  </si>
  <si>
    <t>qiantingzhaoziValue</t>
  </si>
  <si>
    <t>80</t>
  </si>
  <si>
    <t>潜艇罩子的积分</t>
  </si>
  <si>
    <t>qiantingBoxScore</t>
  </si>
  <si>
    <t>20</t>
  </si>
  <si>
    <t>潜艇宝箱的value，与分值score一样</t>
  </si>
  <si>
    <t>龙舟</t>
  </si>
  <si>
    <t>初级Hp</t>
  </si>
  <si>
    <t>中级Hp</t>
  </si>
  <si>
    <t>高级Hp</t>
  </si>
  <si>
    <t>longzhouScore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</si>
  <si>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</si>
  <si>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</si>
  <si>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</si>
  <si>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</si>
  <si>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</si>
  <si>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</si>
  <si>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</si>
  <si>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</si>
  <si>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</si>
  <si>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</si>
  <si>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</si>
  <si>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</si>
  <si>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</si>
  <si>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</si>
  <si>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财神每次翻倍时间/s，用来控制boss播放led的延时时间</t>
  </si>
  <si>
    <r>
      <rPr>
        <sz val="11"/>
        <color theme="1"/>
        <rFont val="微软雅黑"/>
        <family val="2"/>
        <charset val="134"/>
      </rPr>
      <t>w</t>
    </r>
    <r>
      <rPr>
        <sz val="11"/>
        <color theme="1"/>
        <rFont val="微软雅黑"/>
        <family val="2"/>
        <charset val="134"/>
      </rPr>
      <t>useshenniu</t>
    </r>
    <r>
      <rPr>
        <sz val="11"/>
        <color theme="1"/>
        <rFont val="微软雅黑"/>
        <family val="2"/>
        <charset val="134"/>
      </rPr>
      <t>Fanbei</t>
    </r>
  </si>
  <si>
    <t>2560</t>
  </si>
  <si>
    <t>五色神牛每次翻倍时间/ms，用来控制boss播放led的延时时间，毫秒 1000毫秒改1秒</t>
  </si>
  <si>
    <t>jubaopenFanbei</t>
  </si>
  <si>
    <t>14</t>
  </si>
  <si>
    <t>聚宝盆翻倍总时间/s，用来控制聚宝盆播放led的延时时间</t>
  </si>
  <si>
    <t>duobaodaorenFanbei</t>
  </si>
  <si>
    <t>3560</t>
  </si>
  <si>
    <t>多宝道人每次翻倍时间/ms，用来控制boss播放led的延时时间，毫秒 1000毫秒改1秒</t>
  </si>
  <si>
    <t>lzTrackLeave</t>
  </si>
  <si>
    <t>龙舟及福卡争夺赛相关track快速游出屏幕需要时间/秒</t>
  </si>
  <si>
    <t>initItems</t>
  </si>
  <si>
    <t>1|2|10000,1|1|1,2|1001|2,2|1002|2,2|1004|1</t>
  </si>
  <si>
    <t>玩家初始数据，启航礼包：福卡、锁定、金币</t>
  </si>
  <si>
    <t>改为乐乐：金币钻石锁定冰冻召唤</t>
  </si>
  <si>
    <t>initItems_iostishen</t>
  </si>
  <si>
    <t>2|1001|2,2|1002|2,1|2|5000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</si>
  <si>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</si>
  <si>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</si>
  <si>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</si>
  <si>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</si>
  <si>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</si>
  <si>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</si>
  <si>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</si>
  <si>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</si>
  <si>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</si>
  <si>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family val="2"/>
        <charset val="134"/>
      </rPr>
      <t>全局系统邮件有效期/天（</t>
    </r>
    <r>
      <rPr>
        <sz val="11"/>
        <color rgb="FFFF0000"/>
        <rFont val="微软雅黑"/>
        <family val="2"/>
        <charset val="134"/>
      </rPr>
      <t>有</t>
    </r>
    <r>
      <rPr>
        <sz val="11"/>
        <color theme="1"/>
        <rFont val="微软雅黑"/>
        <family val="2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</si>
  <si>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</si>
  <si>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</si>
  <si>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</si>
  <si>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</si>
  <si>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</si>
  <si>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</si>
  <si>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</si>
  <si>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</si>
  <si>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</si>
  <si>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</si>
  <si>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</si>
  <si>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</si>
  <si>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</si>
  <si>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</si>
  <si>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</si>
  <si>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family val="2"/>
        <charset val="134"/>
      </rPr>
      <t>竞技场开启时间,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</si>
  <si>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</si>
  <si>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</si>
  <si>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family val="2"/>
        <charset val="134"/>
      </rPr>
      <t>竞技场报名截止时间,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</si>
  <si>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</si>
  <si>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</si>
  <si>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family val="2"/>
        <charset val="134"/>
      </rPr>
      <t>竞技场结束时间,</t>
    </r>
    <r>
      <rPr>
        <sz val="11"/>
        <color rgb="FFFF0000"/>
        <rFont val="微软雅黑"/>
        <family val="2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</si>
  <si>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</si>
  <si>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</si>
  <si>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family val="2"/>
        <charset val="134"/>
      </rPr>
      <t>竞技场日排行奖励发放时间,</t>
    </r>
    <r>
      <rPr>
        <sz val="11"/>
        <color rgb="FFFF0000"/>
        <rFont val="微软雅黑"/>
        <family val="2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</si>
  <si>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</si>
  <si>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</si>
  <si>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family val="2"/>
        <charset val="134"/>
      </rPr>
      <t>竞技场周冠军奖励发放时间，每周一早上9点,</t>
    </r>
    <r>
      <rPr>
        <sz val="11"/>
        <color rgb="FFFF0000"/>
        <rFont val="微软雅黑"/>
        <family val="2"/>
        <charset val="134"/>
      </rPr>
      <t>改时间要跟服务器说一下</t>
    </r>
  </si>
  <si>
    <t>FirstArenaDiamond</t>
  </si>
  <si>
    <t>[0,2,5,10,15,20,30]</t>
  </si>
  <si>
    <t>进入竞技场消耗钻石，次数对应的消耗，最后一个值表示后续都是这个消耗值</t>
  </si>
  <si>
    <t>[0,10,20,30,50,100,200,300,400,500,600]</t>
  </si>
  <si>
    <t>ArenaDiamond_A</t>
  </si>
  <si>
    <t>废弃</t>
  </si>
  <si>
    <t>(废弃)A再次进入竞技场的消耗钻石系数，暂定2，填表控制</t>
  </si>
  <si>
    <r>
      <rPr>
        <b/>
        <sz val="11"/>
        <color theme="1"/>
        <rFont val="微软雅黑"/>
        <family val="2"/>
        <charset val="134"/>
      </rPr>
      <t>竞技场进入钻石数量=MIN（A</t>
    </r>
    <r>
      <rPr>
        <b/>
        <vertAlign val="superscript"/>
        <sz val="11"/>
        <color theme="1"/>
        <rFont val="微软雅黑"/>
        <family val="2"/>
        <charset val="134"/>
      </rPr>
      <t>(n+B)</t>
    </r>
    <r>
      <rPr>
        <b/>
        <sz val="11"/>
        <color theme="1"/>
        <rFont val="微软雅黑"/>
        <family val="2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</si>
  <si>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</si>
  <si>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</si>
  <si>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</si>
  <si>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</si>
  <si>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</si>
  <si>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</si>
  <si>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</si>
  <si>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</si>
  <si>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</si>
  <si>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family val="2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family val="2"/>
        <charset val="134"/>
      </rPr>
      <t>暂时没用到</t>
    </r>
  </si>
  <si>
    <t>Arena_TaskMark</t>
  </si>
  <si>
    <t>5000,7500,10000</t>
  </si>
  <si>
    <t>竞技场每天首次完成竞技任务需要的积分；x,y,z表示3个档位</t>
  </si>
  <si>
    <t>Arena_TaskReward</t>
  </si>
  <si>
    <r>
      <rPr>
        <b/>
        <sz val="11"/>
        <color rgb="FFFF0000"/>
        <rFont val="微软雅黑"/>
        <family val="2"/>
        <charset val="134"/>
      </rPr>
      <t>[['1|1|10'],['1|1|20']</t>
    </r>
    <r>
      <rPr>
        <sz val="11"/>
        <color theme="1"/>
        <rFont val="微软雅黑"/>
        <family val="2"/>
        <charset val="134"/>
      </rPr>
      <t>,['1|2|</t>
    </r>
    <r>
      <rPr>
        <b/>
        <sz val="11"/>
        <color theme="1"/>
        <rFont val="微软雅黑"/>
        <family val="2"/>
        <charset val="134"/>
      </rPr>
      <t>500000</t>
    </r>
    <r>
      <rPr>
        <sz val="11"/>
        <color theme="1"/>
        <rFont val="微软雅黑"/>
        <family val="2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</si>
  <si>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</si>
  <si>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</si>
  <si>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</si>
  <si>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</si>
  <si>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</si>
  <si>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</si>
  <si>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</si>
  <si>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</si>
  <si>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</si>
  <si>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</si>
  <si>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</si>
  <si>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</si>
  <si>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</si>
  <si>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</si>
  <si>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</si>
  <si>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</si>
  <si>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</si>
  <si>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</si>
  <si>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</si>
  <si>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</si>
  <si>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</si>
  <si>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</si>
  <si>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</si>
  <si>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</si>
  <si>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</si>
  <si>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</si>
  <si>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</si>
  <si>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</si>
  <si>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</si>
  <si>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</si>
  <si>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</si>
  <si>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</si>
  <si>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</si>
  <si>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</si>
  <si>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</si>
  <si>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</si>
  <si>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</si>
  <si>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</si>
  <si>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family val="2"/>
        <charset val="134"/>
      </rPr>
      <t>轰炸机金币获得G</t>
    </r>
    <r>
      <rPr>
        <sz val="10.5"/>
        <color theme="1"/>
        <rFont val="微软雅黑"/>
        <family val="2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</si>
  <si>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</si>
  <si>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</si>
  <si>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family val="2"/>
        <charset val="134"/>
      </rPr>
      <t>hongzhaji_C,Ⅰ、Ⅱ、Ⅲ、Ⅳ</t>
    </r>
    <r>
      <rPr>
        <sz val="10.5"/>
        <color theme="1"/>
        <rFont val="微软雅黑"/>
        <family val="2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</si>
  <si>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</si>
  <si>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</si>
  <si>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</si>
  <si>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</si>
  <si>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</si>
  <si>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</si>
  <si>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</si>
  <si>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</si>
  <si>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</si>
  <si>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</si>
  <si>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</si>
  <si>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</si>
  <si>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</si>
  <si>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</si>
  <si>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</si>
  <si>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</si>
  <si>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</si>
  <si>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</si>
  <si>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</si>
  <si>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family val="2"/>
        <charset val="134"/>
      </rPr>
      <t>玩家1级以上金币小于等于</t>
    </r>
    <r>
      <rPr>
        <b/>
        <sz val="11"/>
        <color rgb="FFFF0000"/>
        <rFont val="微软雅黑"/>
        <family val="2"/>
        <charset val="134"/>
      </rPr>
      <t>400</t>
    </r>
    <r>
      <rPr>
        <sz val="11"/>
        <color rgb="FFFF0000"/>
        <rFont val="微软雅黑"/>
        <family val="2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</si>
  <si>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</si>
  <si>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</si>
  <si>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</si>
  <si>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</si>
  <si>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</si>
  <si>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</si>
  <si>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</si>
  <si>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</si>
  <si>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</si>
  <si>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</si>
  <si>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</si>
  <si>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</si>
  <si>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</si>
  <si>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</si>
  <si>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</si>
  <si>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</si>
  <si>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</si>
  <si>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</si>
  <si>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</si>
  <si>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</si>
  <si>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</si>
  <si>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</si>
  <si>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</si>
  <si>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</si>
  <si>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</si>
  <si>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</si>
  <si>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</si>
  <si>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</si>
  <si>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</si>
  <si>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</si>
  <si>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</si>
  <si>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</si>
  <si>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</si>
  <si>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</si>
  <si>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</si>
  <si>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</si>
  <si>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</si>
  <si>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</si>
  <si>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</si>
  <si>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</si>
  <si>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</si>
  <si>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family val="2"/>
        <charset val="134"/>
      </rPr>
      <t>七、</t>
    </r>
    <r>
      <rPr>
        <b/>
        <sz val="11"/>
        <color rgb="FFFF0000"/>
        <rFont val="微软雅黑"/>
        <family val="2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</si>
  <si>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</si>
  <si>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</si>
  <si>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</si>
  <si>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</si>
  <si>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</si>
  <si>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</si>
  <si>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</si>
  <si>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</si>
  <si>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</si>
  <si>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</si>
  <si>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</si>
  <si>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</si>
  <si>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</si>
  <si>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</si>
  <si>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</si>
  <si>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</si>
  <si>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</si>
  <si>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</si>
  <si>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</si>
  <si>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</si>
  <si>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</si>
  <si>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</si>
  <si>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</si>
  <si>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</si>
  <si>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</si>
  <si>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</si>
  <si>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</si>
  <si>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</si>
  <si>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</si>
  <si>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</si>
  <si>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</si>
  <si>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</si>
  <si>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</si>
  <si>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</si>
  <si>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</si>
  <si>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</si>
  <si>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</si>
  <si>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</si>
  <si>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</si>
  <si>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</si>
  <si>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</si>
  <si>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</si>
  <si>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，出现分享的次数上限，计算的成功次数</t>
    </r>
  </si>
  <si>
    <t>shareBoss_pro0</t>
  </si>
  <si>
    <t>100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</si>
  <si>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</si>
  <si>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</si>
  <si>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</si>
  <si>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</si>
  <si>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</si>
  <si>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</si>
  <si>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</si>
  <si>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</si>
  <si>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</si>
  <si>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</si>
  <si>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</si>
  <si>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</si>
  <si>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</si>
  <si>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</si>
  <si>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family val="2"/>
        <charset val="134"/>
      </rPr>
      <t>破产后，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</si>
  <si>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</si>
  <si>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</si>
  <si>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family val="2"/>
        <charset val="134"/>
      </rPr>
      <t>破产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</si>
  <si>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</si>
  <si>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family val="2"/>
        <charset val="134"/>
      </rPr>
      <t>破产中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获得的额外次数，其中N次是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成功所得,N&lt;=次数上限</t>
    </r>
  </si>
  <si>
    <t>shareDraw_timesLimit</t>
  </si>
  <si>
    <r>
      <rPr>
        <sz val="11"/>
        <color theme="1"/>
        <rFont val="微软雅黑"/>
        <family val="2"/>
        <charset val="134"/>
      </rPr>
      <t>玩家在抽奖模块中的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成功，出现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的次数上限</t>
    </r>
  </si>
  <si>
    <t>shareDraw_rewardTimesLimit</t>
  </si>
  <si>
    <r>
      <rPr>
        <sz val="11"/>
        <color rgb="FFFF0000"/>
        <rFont val="微软雅黑"/>
        <family val="2"/>
        <charset val="134"/>
      </rPr>
      <t>抽奖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rgb="FFFF0000"/>
        <rFont val="微软雅黑"/>
        <family val="2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</si>
  <si>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</si>
  <si>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</si>
  <si>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</si>
  <si>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</si>
  <si>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r>
      <rPr>
        <sz val="11"/>
        <color theme="1"/>
        <rFont val="微软雅黑"/>
        <family val="2"/>
        <charset val="134"/>
      </rPr>
      <t>话费鱼潮每天全服的福卡产出上限</t>
    </r>
    <r>
      <rPr>
        <sz val="11"/>
        <color rgb="FFFF0000"/>
        <rFont val="微软雅黑"/>
        <family val="2"/>
        <charset val="134"/>
      </rPr>
      <t>（废弃）</t>
    </r>
  </si>
  <si>
    <t>ownBillLimit</t>
  </si>
  <si>
    <t>150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</si>
  <si>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</si>
  <si>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</si>
  <si>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</si>
  <si>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</si>
  <si>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</si>
  <si>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</si>
  <si>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</si>
  <si>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</si>
  <si>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</si>
  <si>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</si>
  <si>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</si>
  <si>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</si>
  <si>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</si>
  <si>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family val="2"/>
        <charset val="134"/>
      </rPr>
      <t>解锁炮倍率时小手提示出现时间/s,客户端用，</t>
    </r>
    <r>
      <rPr>
        <sz val="11"/>
        <color rgb="FFFF0000"/>
        <rFont val="微软雅黑"/>
        <family val="2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</si>
  <si>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</si>
  <si>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</si>
  <si>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family val="2"/>
        <charset val="134"/>
      </rPr>
      <t>解锁炮倍率时美人鱼提示出现时间/s,客户端用</t>
    </r>
    <r>
      <rPr>
        <sz val="11"/>
        <color rgb="FFFF0000"/>
        <rFont val="微软雅黑"/>
        <family val="2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</si>
  <si>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</si>
  <si>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</si>
  <si>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</si>
  <si>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【免费金币】模块的最低等级限制（即到表中等级才解锁该功能）</t>
  </si>
  <si>
    <t>vowOpenlimit</t>
  </si>
  <si>
    <t>4</t>
  </si>
  <si>
    <t>财神赐福开启等级（明日礼）</t>
  </si>
  <si>
    <t>fuliOpenlimit</t>
  </si>
  <si>
    <t>福利显示的开启等级</t>
  </si>
  <si>
    <t>rankShowlimit</t>
  </si>
  <si>
    <t>排行榜引导的开启等级</t>
  </si>
  <si>
    <t>luckyGoldlimit</t>
  </si>
  <si>
    <t>6</t>
  </si>
  <si>
    <t>幸运金币（幸运抽抽乐）开启等级</t>
  </si>
  <si>
    <t>RMBcardGoldlessEx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</si>
  <si>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</si>
  <si>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</si>
  <si>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</si>
  <si>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</si>
  <si>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family val="2"/>
        <charset val="134"/>
      </rPr>
      <t>卡牌大放送,寻宝鱼小游戏</t>
    </r>
    <r>
      <rPr>
        <sz val="11"/>
        <color theme="1"/>
        <rFont val="微软雅黑"/>
        <family val="2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</si>
  <si>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</si>
  <si>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</si>
  <si>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</si>
  <si>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喜从天降,每日购买次数限制</t>
  </si>
  <si>
    <t>RMBBOSSAddShowTimes</t>
  </si>
  <si>
    <t>若触发后玩家有N次未购买则今日不在触发。</t>
  </si>
  <si>
    <t>RMBBOSSAddPro</t>
  </si>
  <si>
    <r>
      <rPr>
        <sz val="11"/>
        <color theme="1"/>
        <rFont val="微软雅黑"/>
        <family val="2"/>
        <charset val="134"/>
      </rPr>
      <t>玩家在没有</t>
    </r>
    <r>
      <rPr>
        <b/>
        <sz val="11"/>
        <color theme="1"/>
        <rFont val="微软雅黑"/>
        <family val="2"/>
        <charset val="134"/>
      </rPr>
      <t>喜从天降</t>
    </r>
    <r>
      <rPr>
        <sz val="11"/>
        <color theme="1"/>
        <rFont val="微软雅黑"/>
        <family val="2"/>
        <charset val="134"/>
      </rPr>
      <t>的情况下，如果本次概率为0则不增加，如果有概率时本次未触发，则下次触发的概率增加20%，概率=N/100</t>
    </r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</si>
  <si>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</si>
  <si>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</si>
  <si>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</si>
  <si>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</si>
  <si>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</si>
  <si>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</si>
  <si>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</si>
  <si>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</si>
  <si>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</si>
  <si>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</si>
  <si>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</si>
  <si>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</si>
  <si>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</si>
  <si>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</si>
  <si>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</si>
  <si>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</si>
  <si>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</si>
  <si>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</si>
  <si>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</si>
  <si>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</si>
  <si>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</si>
  <si>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</si>
  <si>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</si>
  <si>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</si>
  <si>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</si>
  <si>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</si>
  <si>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family val="2"/>
        <charset val="134"/>
      </rPr>
      <t>红包掉落概率系数：&lt;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，P=默认p*（currentweapon/min（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</si>
  <si>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</si>
  <si>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</si>
  <si>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</si>
  <si>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</si>
  <si>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</si>
  <si>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</si>
  <si>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</si>
  <si>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</si>
  <si>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</si>
  <si>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</si>
  <si>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</si>
  <si>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</si>
  <si>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</si>
  <si>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</si>
  <si>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</si>
  <si>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</si>
  <si>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</si>
  <si>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</si>
  <si>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</si>
  <si>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</si>
  <si>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</si>
  <si>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</si>
  <si>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</si>
  <si>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</si>
  <si>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</si>
  <si>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</si>
  <si>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</si>
  <si>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</si>
  <si>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</si>
  <si>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</si>
  <si>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</si>
  <si>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</si>
  <si>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</si>
  <si>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</si>
  <si>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</si>
  <si>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</si>
  <si>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</si>
  <si>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</si>
  <si>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</si>
  <si>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</si>
  <si>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</si>
  <si>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</si>
  <si>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</si>
  <si>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</si>
  <si>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</si>
  <si>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</si>
  <si>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</si>
  <si>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</si>
  <si>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</si>
  <si>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</si>
  <si>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</si>
  <si>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</si>
  <si>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</si>
  <si>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</si>
  <si>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</si>
  <si>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</si>
  <si>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</si>
  <si>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</si>
  <si>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</si>
  <si>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</si>
  <si>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</si>
  <si>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</si>
  <si>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</si>
  <si>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</si>
  <si>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</si>
  <si>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</si>
  <si>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</si>
  <si>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</si>
  <si>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</si>
  <si>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</si>
  <si>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</si>
  <si>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</si>
  <si>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</si>
  <si>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</si>
  <si>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</si>
  <si>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</si>
  <si>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1800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</si>
  <si>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</si>
  <si>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</si>
  <si>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</si>
  <si>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</si>
  <si>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</si>
  <si>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</si>
  <si>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</si>
  <si>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</si>
  <si>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</si>
  <si>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</si>
  <si>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</si>
  <si>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</si>
  <si>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</si>
  <si>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</si>
  <si>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</si>
  <si>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family val="2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</si>
  <si>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</si>
  <si>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</si>
  <si>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</si>
  <si>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</si>
  <si>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</si>
  <si>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</si>
  <si>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</si>
  <si>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</si>
  <si>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</si>
  <si>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family val="2"/>
        <charset val="134"/>
      </rPr>
      <t>[[</t>
    </r>
    <r>
      <rPr>
        <b/>
        <sz val="11"/>
        <color theme="1"/>
        <rFont val="微软雅黑"/>
        <family val="2"/>
        <charset val="134"/>
      </rPr>
      <t>25</t>
    </r>
    <r>
      <rPr>
        <sz val="11"/>
        <color theme="1"/>
        <rFont val="微软雅黑"/>
        <family val="2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</si>
  <si>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family val="2"/>
        <charset val="134"/>
      </rPr>
      <t>5.1随机规则，</t>
    </r>
    <r>
      <rPr>
        <b/>
        <sz val="11"/>
        <color rgb="FFFF00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</si>
  <si>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</si>
  <si>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</si>
  <si>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</si>
  <si>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</si>
  <si>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</si>
  <si>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</si>
  <si>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</si>
  <si>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</si>
  <si>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</si>
  <si>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</si>
  <si>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</si>
  <si>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</si>
  <si>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</si>
  <si>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</si>
  <si>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</si>
  <si>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</si>
  <si>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</si>
  <si>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212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</si>
  <si>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</si>
  <si>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</si>
  <si>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</si>
  <si>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</si>
  <si>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</si>
  <si>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</si>
  <si>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</si>
  <si>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</si>
  <si>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</si>
  <si>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</si>
  <si>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你游戏我买单活动时间（充49返50活动）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</si>
  <si>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</si>
  <si>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</si>
  <si>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</si>
  <si>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</si>
  <si>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</si>
  <si>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GaojiStart</t>
  </si>
  <si>
    <t>[1500000,1000000,0]</t>
  </si>
  <si>
    <t>中级场前期节奏阶段划分点,演出金币</t>
  </si>
  <si>
    <t>yanchuOver</t>
  </si>
  <si>
    <t>1300000</t>
  </si>
  <si>
    <t>玩家金币达到130万后演出结束</t>
  </si>
  <si>
    <t>buyuJinguseG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</si>
  <si>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</si>
  <si>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</si>
  <si>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</si>
  <si>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</si>
  <si>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</si>
  <si>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</si>
  <si>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r>
      <rPr>
        <sz val="11"/>
        <color theme="1"/>
        <rFont val="微软雅黑"/>
        <family val="2"/>
        <charset val="134"/>
      </rPr>
      <t>1|2|200000,1|1|20,2|1001|5,2|1002|</t>
    </r>
    <r>
      <rPr>
        <sz val="11"/>
        <color theme="1"/>
        <rFont val="微软雅黑"/>
        <family val="2"/>
        <charset val="134"/>
      </rPr>
      <t>5</t>
    </r>
    <r>
      <rPr>
        <sz val="11"/>
        <color theme="1"/>
        <rFont val="微软雅黑"/>
        <family val="2"/>
        <charset val="134"/>
      </rPr>
      <t>,2|1004|</t>
    </r>
    <r>
      <rPr>
        <sz val="11"/>
        <color theme="1"/>
        <rFont val="微软雅黑"/>
        <family val="2"/>
        <charset val="134"/>
      </rPr>
      <t>5</t>
    </r>
  </si>
  <si>
    <t>绑定手机号的奖励</t>
  </si>
  <si>
    <t>bindcard</t>
  </si>
  <si>
    <t>1|2|50000,1|1|50</t>
  </si>
  <si>
    <t>实名认证的奖励</t>
  </si>
  <si>
    <t>luckyBaseGold</t>
  </si>
  <si>
    <t>幸运金币基础金币</t>
  </si>
  <si>
    <t>luckyGoldptPrice</t>
  </si>
  <si>
    <r>
      <rPr>
        <sz val="11"/>
        <color theme="1"/>
        <rFont val="微软雅黑"/>
        <family val="2"/>
        <charset val="134"/>
      </rPr>
      <t>幸运金币超级翻倍钻石价格</t>
    </r>
    <r>
      <rPr>
        <sz val="11"/>
        <color rgb="FFFF0000"/>
        <rFont val="微软雅黑"/>
        <family val="2"/>
        <charset val="134"/>
      </rPr>
      <t>（钻石抽时对应的值）</t>
    </r>
  </si>
  <si>
    <t>luckyGoldcjPrice</t>
  </si>
  <si>
    <t>180</t>
  </si>
  <si>
    <t>luckyBaseGoldks</t>
  </si>
  <si>
    <r>
      <rPr>
        <sz val="11"/>
        <color theme="1"/>
        <rFont val="微软雅黑"/>
        <family val="2"/>
        <charset val="134"/>
      </rPr>
      <t>幸运金币基础金币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</si>
  <si>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luckyGoldptPriceks</t>
  </si>
  <si>
    <r>
      <rPr>
        <sz val="11"/>
        <color theme="1"/>
        <rFont val="微软雅黑"/>
        <family val="2"/>
        <charset val="134"/>
      </rPr>
      <t>幸运金币超级翻倍</t>
    </r>
    <r>
      <rPr>
        <b/>
        <sz val="11"/>
        <color rgb="FFFF0000"/>
        <rFont val="微软雅黑"/>
        <family val="2"/>
        <charset val="134"/>
      </rPr>
      <t>福卡</t>
    </r>
    <r>
      <rPr>
        <sz val="11"/>
        <color theme="1"/>
        <rFont val="微软雅黑"/>
        <family val="2"/>
        <charset val="134"/>
      </rPr>
      <t>价格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</si>
  <si>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luckyGoldcjPriceks</t>
  </si>
  <si>
    <t>20星钻=40万金币</t>
  </si>
  <si>
    <t>PTFreeCD</t>
  </si>
  <si>
    <t>45,120,1440,1440,1440,1440,1440</t>
  </si>
  <si>
    <t>幸运金币注册后第N次免费普通翻倍的冷却时间/分钟，配置了几个表示有几个免费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</si>
  <si>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</si>
  <si>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</si>
  <si>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</si>
  <si>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</si>
  <si>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</si>
  <si>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</si>
  <si>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family val="2"/>
        <charset val="134"/>
      </rPr>
      <t>不破产礼包购买后龙舟钻石掉落上限，rmb*N%</t>
    </r>
    <r>
      <rPr>
        <sz val="6"/>
        <color theme="1"/>
        <rFont val="微软雅黑"/>
        <family val="2"/>
        <charset val="134"/>
      </rPr>
      <t>00</t>
    </r>
    <r>
      <rPr>
        <sz val="11"/>
        <color theme="1"/>
        <rFont val="微软雅黑"/>
        <family val="2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</si>
  <si>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</si>
  <si>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</si>
  <si>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</si>
  <si>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</si>
  <si>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</si>
  <si>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</si>
  <si>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</si>
  <si>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</si>
  <si>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</si>
  <si>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</si>
  <si>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</si>
  <si>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</si>
  <si>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</si>
  <si>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</si>
  <si>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</si>
  <si>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</si>
  <si>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</si>
  <si>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恶龙HP</t>
  </si>
  <si>
    <t>Rechange_goldlimit</t>
  </si>
  <si>
    <t>充值池最高累积上限</t>
  </si>
  <si>
    <t>闪电金币价值</t>
  </si>
  <si>
    <t>记得修改鱼属性表！！</t>
  </si>
  <si>
    <t>DragonHp</t>
  </si>
  <si>
    <t>勇者斗恶龙</t>
  </si>
  <si>
    <t>星钻价格</t>
  </si>
  <si>
    <t>击杀奖励金币价值</t>
  </si>
  <si>
    <t>DragonShow</t>
  </si>
  <si>
    <t>[[1,0.8],[0.8,0.5],[0.5,0.2],[0.2,0]]</t>
  </si>
  <si>
    <t>恶龙状态表现阶段划分，依据百分比区分，例如100表示100%</t>
  </si>
  <si>
    <t>攻击1次</t>
  </si>
  <si>
    <t>攻击10次</t>
  </si>
  <si>
    <t>击杀需要次数</t>
  </si>
  <si>
    <t>消耗星钻</t>
  </si>
  <si>
    <t>3级核弹</t>
  </si>
  <si>
    <t>额外赠送比例</t>
  </si>
  <si>
    <t>hurt1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</si>
  <si>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攻击1次</t>
    </r>
    <r>
      <rPr>
        <sz val="11"/>
        <color theme="1"/>
        <rFont val="微软雅黑"/>
        <family val="2"/>
        <charset val="134"/>
      </rPr>
      <t>伤害</t>
    </r>
  </si>
  <si>
    <t>第N次</t>
  </si>
  <si>
    <t>最小</t>
  </si>
  <si>
    <t>最大</t>
  </si>
  <si>
    <t>期望</t>
  </si>
  <si>
    <t>hurt10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</si>
  <si>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攻击10次</t>
    </r>
    <r>
      <rPr>
        <sz val="11"/>
        <color theme="1"/>
        <rFont val="微软雅黑"/>
        <family val="2"/>
        <charset val="134"/>
      </rPr>
      <t>伤害</t>
    </r>
  </si>
  <si>
    <t>killDragonReward</t>
  </si>
  <si>
    <t>2|1007|1</t>
  </si>
  <si>
    <t>击杀恶龙奖励</t>
  </si>
  <si>
    <t>buyLimit1603</t>
  </si>
  <si>
    <t>闪电单次购买的上限值</t>
  </si>
  <si>
    <t>TurntableMustHit</t>
  </si>
  <si>
    <t>{"1101":{"2":1},"1103":{"1":1}}</t>
  </si>
  <si>
    <t>欢乐转转转必中设定，6元档第2次必中30倍（欢乐转转转表中的编号1）或者30元第1次必中30倍</t>
  </si>
  <si>
    <t>gengbaoTips1</t>
  </si>
  <si>
    <t>渔场停留实践/分钟</t>
  </si>
  <si>
    <t>更包提示，非强更提示逻辑之一：每天玩家在渔场捕鱼5分钟后且今日捕鱼总时间到达10分钟（30分钟、60分钟）时弹出）；</t>
  </si>
  <si>
    <t>gengbaoTips2</t>
  </si>
  <si>
    <t>10,30,60</t>
  </si>
  <si>
    <t>今日游戏总时间/分钟</t>
  </si>
  <si>
    <t>jubaopG</t>
  </si>
  <si>
    <t>聚宝盆每次开火存储金币，10表示10%</t>
  </si>
  <si>
    <t>CZvaluePer</t>
  </si>
  <si>
    <t>充值池子必中判定value百分比值，30表示30%</t>
  </si>
  <si>
    <t>CZvaluePerF</t>
  </si>
  <si>
    <t>30,80</t>
  </si>
  <si>
    <t>充值池子必中判定value百分比值，30%~80%浮动</t>
  </si>
  <si>
    <t>CZhitNum</t>
  </si>
  <si>
    <t>充值池子必中连续攻击必中鱼最低次数要求</t>
  </si>
  <si>
    <t>CZPF</t>
  </si>
  <si>
    <t>5,15</t>
  </si>
  <si>
    <t>充值池子必中连续攻击必中鱼最低次数要求,从浮动值随机一个</t>
  </si>
  <si>
    <t>CZfanbeiNum</t>
  </si>
  <si>
    <t>充值池子必中财神时处理倍数的临界值</t>
  </si>
  <si>
    <t>bindname</t>
  </si>
  <si>
    <t>首次修改昵称的奖励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</si>
  <si>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E</t>
    </r>
  </si>
  <si>
    <t>蟹元帅20个阶段对应的能量，填0表示当前阶段不消耗能量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</si>
  <si>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Track</t>
    </r>
  </si>
  <si>
    <r>
      <rPr>
        <sz val="11"/>
        <color theme="1"/>
        <rFont val="微软雅黑"/>
        <family val="2"/>
        <charset val="134"/>
      </rPr>
      <t>蟹元帅track群，</t>
    </r>
    <r>
      <rPr>
        <sz val="11"/>
        <color theme="1"/>
        <rFont val="微软雅黑"/>
        <family val="2"/>
        <charset val="134"/>
      </rPr>
      <t>1表示本次出现，0表示不出现</t>
    </r>
  </si>
  <si>
    <t>Personal1</t>
  </si>
  <si>
    <t>24</t>
  </si>
  <si>
    <t>ai私人豪礼玩家未购买icon存在时间/小时</t>
  </si>
  <si>
    <t>Personal2</t>
  </si>
  <si>
    <t>ai测试阶段，破产后私人豪礼界面弹出概率，1250，表示1250/10000</t>
  </si>
  <si>
    <t>fanpaiShowA0</t>
  </si>
  <si>
    <t>155000000</t>
  </si>
  <si>
    <t>展示奖池A初始值</t>
  </si>
  <si>
    <t>fanpaiShowRange</t>
  </si>
  <si>
    <t>奖池范围</t>
  </si>
  <si>
    <t>fanpaiAddInterval</t>
  </si>
  <si>
    <t>服务器每1s增加1667</t>
  </si>
  <si>
    <t>fanpaiChangeTime</t>
  </si>
  <si>
    <t>在范围内，每20秒随机1次，下面一行为随机权重和随机范围</t>
  </si>
  <si>
    <t>fanpaiChangeNum</t>
  </si>
  <si>
    <t>[[25,-18903,3780],[25,-189038,151230],[20,-378075,3482075],[10,-5671134,5644669],[20,0,0]]</t>
  </si>
  <si>
    <t>fanpaiChangeTime1</t>
  </si>
  <si>
    <t>A超过最大值，每10s随机1次，下面一行为随机权重和随机范围</t>
  </si>
  <si>
    <t>fanpaiChangeNum1</t>
  </si>
  <si>
    <t>[[70,-4725945,283556],[30,0,0]]</t>
  </si>
  <si>
    <t>fanpaiChangeTime2</t>
  </si>
  <si>
    <t>A低于最小值，每10s随机1次，下面一行为随机权重和随机范围</t>
  </si>
  <si>
    <t>fanpaiChangeNum2</t>
  </si>
  <si>
    <t>[[70,-283556,4725945],[30,0,0]]</t>
  </si>
  <si>
    <t>monkeyPaoNeed</t>
  </si>
  <si>
    <t>活动开启期间，累计充值rmb648后获得永久</t>
  </si>
  <si>
    <t>mongkeyPaoId</t>
  </si>
  <si>
    <t>4000</t>
  </si>
  <si>
    <t>炮id</t>
  </si>
  <si>
    <r>
      <rPr>
        <sz val="11"/>
        <color theme="1"/>
        <rFont val="微软雅黑"/>
        <family val="2"/>
        <charset val="134"/>
      </rPr>
      <t>mongkey</t>
    </r>
    <r>
      <rPr>
        <sz val="11"/>
        <color theme="1"/>
        <rFont val="微软雅黑"/>
        <family val="2"/>
        <charset val="134"/>
      </rPr>
      <t>SPG</t>
    </r>
  </si>
  <si>
    <t>捕鱼净消耗500万金币得1碎片</t>
  </si>
  <si>
    <t>mongkeySPLimit</t>
  </si>
  <si>
    <t>170</t>
  </si>
  <si>
    <t>美猴王碎片掉落上限</t>
  </si>
  <si>
    <t>mongkeySPN</t>
  </si>
  <si>
    <t>碎片掉落数量分界线，&lt;=10为一个概率，&gt;10为一个概率</t>
  </si>
  <si>
    <t>leaveUpLz</t>
  </si>
  <si>
    <t>距离龙舟赛开始多长时间内，退出房间时提示此模块（退出房间提示）</t>
  </si>
  <si>
    <t>Recharge1N</t>
  </si>
  <si>
    <t>[[1,[0.4,10000],[1,9600]],[2,[0.4,10000],[1,9600]],[3,[0.4,10000],[1,9600]],[4,[0.4,10000],[1,9600]]]</t>
  </si>
  <si>
    <t>若配置不足4，则最后两个用一样的</t>
  </si>
  <si>
    <t>4个方案，充值体验阶段1中1.1和1.2开火次数分界点0.4N和能量，能量0.96=9600/10000</t>
  </si>
  <si>
    <t>Recharge2G</t>
  </si>
  <si>
    <t>[[1,[0.64,9000],[0.35,9200],[0.14,9400],[0,9600]],[2,[0.64,9000],[0.35,9200],[0.14,9400],[0,9600]],[3,[0.64,9000],[0.35,9200],[0.14,9400],[0,9600]],[4,[0.64,9000],[0.35,9200],[0.14,9400],[0,9600]]]</t>
  </si>
  <si>
    <t>充值体验阶段2，依据玩家持有金币分界的4个阶段划分和能量设定</t>
  </si>
  <si>
    <t>RechargePrange</t>
  </si>
  <si>
    <t>[[1,[0.5,1.5]],[2,[0.5,1.5]],[3,[0.5,1.5]],[4,[0.5,1.5]]]</t>
  </si>
  <si>
    <t>充值体验阶段触发不破产必中时玩家持有金币随机范围</t>
  </si>
  <si>
    <t>RechargeMiss</t>
  </si>
  <si>
    <t>[[30,200],[40,100],[50,50]]</t>
  </si>
  <si>
    <t>当玩家持有金币-免费金币超过30倍G时，攻击value200以上的鱼必不中</t>
  </si>
  <si>
    <t>leaveUpQd</t>
  </si>
  <si>
    <t>签到最高翻的倍数，仅用于明日可领的计算数值，退出房间时提示此模块（退出房间提示）</t>
  </si>
  <si>
    <t>push0</t>
  </si>
  <si>
    <t>奖励已发送😊|您好，收到一份奖励，点我领取&gt;&gt;|gate</t>
  </si>
  <si>
    <t>推送奖励（标题｜内容｜页面参数）</t>
  </si>
  <si>
    <t>页面参数前端和闲来运用后台页面一一对应</t>
  </si>
  <si>
    <t>push1</t>
  </si>
  <si>
    <t>签到领好礼|上线签到，最高可领10倍金币&gt;&gt;|openSign</t>
  </si>
  <si>
    <t>推送签到</t>
  </si>
  <si>
    <t>push2</t>
  </si>
  <si>
    <t>大家一起发财|发财金已到账，登录最高可领66倍金币&gt;&gt;|gate</t>
  </si>
  <si>
    <t>推送发财金</t>
  </si>
  <si>
    <t>push3</t>
  </si>
  <si>
    <t>幸运抽抽乐|幸运抽抽乐已准备好，超级翻倍最高999倍，等你来领！&gt;&gt;|openLuckyGoldView</t>
  </si>
  <si>
    <t>推送抽抽乐</t>
  </si>
  <si>
    <t>push4</t>
  </si>
  <si>
    <t>邮件通知！|您有一封新的邮件待领取，现在领取！&gt;&gt;|openMail</t>
  </si>
  <si>
    <t>推送邮件</t>
  </si>
  <si>
    <t>push5</t>
  </si>
  <si>
    <t>龙舟赛开赛啦！|龙舟副卡赛马上开始，超级大奖等你来领！&gt;&gt;|openDragonBoatMatch</t>
  </si>
  <si>
    <t>推送龙舟赛</t>
  </si>
  <si>
    <t>push6</t>
  </si>
  <si>
    <t>贵族金币领取|贵族金币已准备就绪，上线金币补充至%s万|gate</t>
  </si>
  <si>
    <t>推送贵族补充金币，“gate”表示没有返回位置或大厅</t>
  </si>
  <si>
    <t>pushtime0</t>
  </si>
  <si>
    <t>2|12:00,20:00</t>
  </si>
  <si>
    <t>推送奖励时间</t>
  </si>
  <si>
    <t>类型2:时间段（开始时间，结束时间），整点或者半点推送</t>
  </si>
  <si>
    <t>pushtime1</t>
  </si>
  <si>
    <t>1|10:00,12:00</t>
  </si>
  <si>
    <t>推送签到时间</t>
  </si>
  <si>
    <t>类型1:固定时间点｜多个时间点用逗号隔开</t>
  </si>
  <si>
    <t>pushtime2</t>
  </si>
  <si>
    <t>2|10:00,23:00</t>
  </si>
  <si>
    <t>推送发财金时间</t>
  </si>
  <si>
    <t>pushtime3</t>
  </si>
  <si>
    <t>2|12:00,23:00</t>
  </si>
  <si>
    <t>推送抽抽乐时间</t>
  </si>
  <si>
    <t>pushtime4</t>
  </si>
  <si>
    <t>推送邮件时间</t>
  </si>
  <si>
    <t>池子不出现概率</t>
  </si>
  <si>
    <t>发财金池子</t>
  </si>
  <si>
    <t>计算出
总期望</t>
  </si>
  <si>
    <t>出现池子后的期望</t>
  </si>
  <si>
    <t>pushtime5</t>
  </si>
  <si>
    <t>3|10:00,23:00</t>
  </si>
  <si>
    <t>推送龙舟赛时间</t>
  </si>
  <si>
    <t>类型3：龙舟赛特殊时间</t>
  </si>
  <si>
    <t>方案</t>
  </si>
  <si>
    <t>P0</t>
  </si>
  <si>
    <t>权重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</si>
  <si>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</si>
  <si>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</si>
  <si>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</si>
  <si>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</si>
  <si>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</si>
  <si>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</si>
  <si>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</si>
  <si>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</si>
  <si>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</si>
  <si>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</si>
  <si>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pushtime6</t>
  </si>
  <si>
    <t>1|11:00</t>
  </si>
  <si>
    <t>推送贵族补充金币时间</t>
  </si>
  <si>
    <t>pushreward</t>
  </si>
  <si>
    <t>1|2|500000,1|1|20,2|1001|3</t>
  </si>
  <si>
    <t>推送弹窗奖励</t>
  </si>
  <si>
    <t>fcjPoolGroup</t>
  </si>
  <si>
    <t>发财金池子,方案6、7、8</t>
  </si>
  <si>
    <t>autoFireVipLv</t>
  </si>
  <si>
    <t>自动开火需要的VIP等级</t>
  </si>
  <si>
    <t>LuckyValRef</t>
  </si>
  <si>
    <r>
      <rPr>
        <sz val="11"/>
        <color theme="1"/>
        <rFont val="微软雅黑"/>
        <family val="2"/>
        <charset val="134"/>
      </rPr>
      <t>8</t>
    </r>
    <r>
      <rPr>
        <sz val="11"/>
        <color theme="1"/>
        <rFont val="微软雅黑"/>
        <family val="2"/>
        <charset val="134"/>
      </rPr>
      <t>,18</t>
    </r>
  </si>
  <si>
    <t>方案C</t>
  </si>
  <si>
    <t>幸运值每8~18秒重置或捕获奖金鱼后重置</t>
  </si>
  <si>
    <t>ReKC</t>
  </si>
  <si>
    <t>[5,20]</t>
  </si>
  <si>
    <t>充值库存系数【5,20】秒根据当前的充值库存范围，变化一次</t>
  </si>
  <si>
    <t>1次不出</t>
  </si>
  <si>
    <t>出1次</t>
  </si>
  <si>
    <t>出2次</t>
  </si>
  <si>
    <t>出3次</t>
  </si>
  <si>
    <t>出4次</t>
  </si>
  <si>
    <t>Re648addKC</t>
  </si>
  <si>
    <t>[1.4,1.2,1]</t>
  </si>
  <si>
    <t>每日648有充值库存系数加成（充值库存系数*加成）,表示第1次为1.2，第2次为1,第3次后都为1</t>
  </si>
  <si>
    <t>ReKresetP</t>
  </si>
  <si>
    <t>[50,50,0]</t>
  </si>
  <si>
    <t>充值库存失效后会重置为强前值得50%，修正两次后，第3次清零，50标识50%</t>
  </si>
  <si>
    <t>ReKnoeffectC</t>
  </si>
  <si>
    <t>充值库存失效值，库存中的值小于当前炮倍率*2时，GM库存置为0；</t>
  </si>
  <si>
    <t>shimingreward</t>
  </si>
  <si>
    <t>1|2|200000,1|1|20,2|1001|3,2|1002|3</t>
  </si>
  <si>
    <t>实名认证奖励</t>
  </si>
  <si>
    <t>brokeA</t>
  </si>
  <si>
    <t>当前金币小于等于当前炮*120倍时，触发一次破产保护</t>
  </si>
  <si>
    <t>brokeB</t>
  </si>
  <si>
    <t>800</t>
  </si>
  <si>
    <t>当金币数大于等于当前炮*800时，已触发的破产保护取消；</t>
  </si>
  <si>
    <t>broProtLimit</t>
  </si>
  <si>
    <t>破产保护次数上限，5次</t>
  </si>
  <si>
    <t>broProtAddLimit</t>
  </si>
  <si>
    <t>额外保护加成次数上限：3次</t>
  </si>
  <si>
    <t>broProtAddTR</t>
  </si>
  <si>
    <t>[6,238]</t>
  </si>
  <si>
    <t>单次充值金额在【6，238】范围内时，赠送一次破产保护；</t>
  </si>
  <si>
    <t>broProtAddCR</t>
  </si>
  <si>
    <t>[50,238]</t>
  </si>
  <si>
    <t>单次充值金额在【50，238】范围内时，赠送一次额外保护加成；</t>
  </si>
  <si>
    <t>brokeEffectP</t>
  </si>
  <si>
    <t>8000</t>
  </si>
  <si>
    <t>消耗破产保护次数，触发破产保护的概率：80%,8000=8000/10000,当日不同的充值金额，会额外增加破产保护的子弹数和破产系数，消耗一次额外加成次数：</t>
  </si>
  <si>
    <t>RealName_AddReward</t>
  </si>
  <si>
    <t>实名认证充值加送100%奖励为充值金额每元*10万金币</t>
  </si>
  <si>
    <t>lianxuBroShopId</t>
  </si>
  <si>
    <t>[206,207]</t>
  </si>
  <si>
    <t>有效破产次数增加，必要条件1，商城金币648、328的档位id，每充1次记录有效破产次数1</t>
  </si>
  <si>
    <t>lianxuBroG</t>
  </si>
  <si>
    <t>20000000</t>
  </si>
  <si>
    <t>有效破产次数增加，必要条件2，金币必须小于2000万</t>
  </si>
  <si>
    <t>lianxuBroContTime</t>
  </si>
  <si>
    <r>
      <rPr>
        <sz val="11"/>
        <color theme="1"/>
        <rFont val="微软雅黑"/>
        <family val="2"/>
        <charset val="134"/>
      </rPr>
      <t>有效破产次数增加，必要条件3，有效时间(秒)，</t>
    </r>
    <r>
      <rPr>
        <sz val="9"/>
        <color theme="1"/>
        <rFont val="微软雅黑"/>
        <family val="2"/>
        <charset val="134"/>
      </rPr>
      <t>从最后一次商城328或648算起，到现在</t>
    </r>
  </si>
  <si>
    <t>lianxuBroNum</t>
  </si>
  <si>
    <t>连续破产触发保护生效，需要的最小有效破产次数</t>
  </si>
  <si>
    <t>lianxuBroPao</t>
  </si>
  <si>
    <t>80000</t>
  </si>
  <si>
    <t>连续破产触发保护生效，需要的最低炮倍</t>
  </si>
  <si>
    <t>kuangbaoN</t>
  </si>
  <si>
    <t>[1,2,4,5]</t>
  </si>
  <si>
    <t>狂暴道具加成系数（锁定按照1倍狂暴考虑，即可以理解成狂暴1~4倍）</t>
  </si>
  <si>
    <t>kuangbaoC</t>
  </si>
  <si>
    <t>25</t>
  </si>
  <si>
    <t>道具（锁定、狂暴）技能修正系数,25=25/10000</t>
  </si>
  <si>
    <t>kuangbaoAdd</t>
  </si>
  <si>
    <t>[[500,80000],[400,80000],[300,80000],[200,80000],[100,80000],[1,80000]]</t>
  </si>
  <si>
    <t>狂暴保护系数，终身第N次使用且炮倍小于80000时，增加修正系数（kuangbaoC）倍数，数组5个值相当于前5次有保护</t>
  </si>
  <si>
    <t>suodingAdd</t>
  </si>
  <si>
    <t>[[200,4000],[100,4000],[100,4000],[50,4000],[50,4000],[50,4000],[50,4000],[50,4000],[50,4000],[50,4000],[1,4000]]</t>
  </si>
  <si>
    <t>锁定保护系数，终身第N次使用且炮倍小于4000时，增加修正系数（kuangbaoC）倍数，数组10个值相当于前10次有保护</t>
  </si>
  <si>
    <t>broProtNew</t>
  </si>
  <si>
    <t>新玩家赠送两次破产保护</t>
  </si>
  <si>
    <t>soulSharkLedTime</t>
  </si>
  <si>
    <t>8</t>
  </si>
  <si>
    <t>噬魂鲨led延时时长（秒）</t>
  </si>
  <si>
    <t>爆炸河豚倍数</t>
  </si>
  <si>
    <t>fish52EC</t>
  </si>
  <si>
    <t>[[1,1],[2,1],[3,1]]</t>
  </si>
  <si>
    <t>爆炸河豚倍数和权重</t>
  </si>
  <si>
    <t>fishidxw</t>
  </si>
  <si>
    <t>漩涡鱼</t>
  </si>
  <si>
    <t>oxcoin</t>
  </si>
  <si>
    <t>[[10,15],[15,20],[0,0.9]]</t>
  </si>
  <si>
    <t>五彩神牛普通攻击金币个数范围、终结攻击金币个数范围、单个金币上下浮动百分比区间</t>
  </si>
  <si>
    <t>vipGift</t>
  </si>
  <si>
    <t>[250000,5,0.9,0.9,0.75,0.77]</t>
  </si>
  <si>
    <t>贵族直升礼包，2001系数配置</t>
  </si>
  <si>
    <t>基础能量</t>
  </si>
  <si>
    <t>bingDongN</t>
  </si>
  <si>
    <t>[[3,5],[5,10],[2,4],[2,3],[1,3],[1,4]]</t>
  </si>
  <si>
    <t>部分冰冻，按照鱼类型分，冰冻鱼的数量</t>
  </si>
  <si>
    <t>基础保底值</t>
  </si>
  <si>
    <t>ledShow3</t>
  </si>
  <si>
    <r>
      <rPr>
        <sz val="10"/>
        <color theme="1"/>
        <rFont val="微软雅黑"/>
        <family val="2"/>
        <charset val="134"/>
      </rPr>
      <t>[[37,[300,1500]],[42,[300,1500]],[61,[500,3000]],[65,[500,5000]],[7</t>
    </r>
    <r>
      <rPr>
        <sz val="10"/>
        <color theme="1"/>
        <rFont val="微软雅黑"/>
        <family val="2"/>
        <charset val="134"/>
      </rPr>
      <t>6</t>
    </r>
    <r>
      <rPr>
        <sz val="10"/>
        <color theme="1"/>
        <rFont val="微软雅黑"/>
        <family val="2"/>
        <charset val="134"/>
      </rPr>
      <t>,[500,3000]]]</t>
    </r>
  </si>
  <si>
    <t>假led，3类型针对哪些不按套路的boss，格式为鱼id和分值范围</t>
  </si>
  <si>
    <t>鱼score</t>
  </si>
  <si>
    <t>shejituItemValue1</t>
  </si>
  <si>
    <t>社稷图击破效果道具分值</t>
  </si>
  <si>
    <t>shejituItemValue2</t>
  </si>
  <si>
    <t>社稷图捕获后（每个）道具分值</t>
  </si>
  <si>
    <t>shejituItemNum</t>
  </si>
  <si>
    <t>[2,4]</t>
  </si>
  <si>
    <t>社稷图捕获后掉落道具数量</t>
  </si>
  <si>
    <t>huiguilibaoGift</t>
  </si>
  <si>
    <t>1|2|200000,2|1001|2,2|1002|3</t>
  </si>
  <si>
    <t>改为VIP表配置</t>
  </si>
  <si>
    <t>回归礼包免费奖励</t>
  </si>
  <si>
    <t>fishNum</t>
  </si>
  <si>
    <t>[[9,20,7],[23,45,45]]</t>
  </si>
  <si>
    <t>刷新机制：同屏鱼数量，第一次补7条track、15条鱼,不足时必补充6条track；之后20条track、40条鱼,不足时必补充至40条鱼</t>
  </si>
  <si>
    <t>choiceRoom</t>
  </si>
  <si>
    <t>vip多少时解锁，自选房间功能</t>
  </si>
  <si>
    <t>ReK0</t>
  </si>
  <si>
    <t>创建账号后初始库存</t>
  </si>
  <si>
    <t>choiceRoom2</t>
  </si>
  <si>
    <t>多少分钟刷新一次假数据（单位为分钟，自选房间的假房间数据）</t>
  </si>
  <si>
    <t>limitGold1</t>
  </si>
  <si>
    <t>鸿运福利-定时领宝箱功能，领取n天福利金后可转动一次转盘</t>
  </si>
  <si>
    <t>limitGold2</t>
  </si>
  <si>
    <t>鸿运福利-定时领宝箱功能，领取n次福利金后可摇一次骰子</t>
  </si>
  <si>
    <t>gameDiamondValue</t>
  </si>
  <si>
    <t>20000</t>
  </si>
  <si>
    <t>小游戏补齐能量时，钻石的价值</t>
  </si>
  <si>
    <t>暂时读取炮解锁表，当前容错用</t>
  </si>
  <si>
    <t>锻造材料掉落节奏，每消耗5万金币获得1个材料</t>
  </si>
  <si>
    <t>duanzaoP</t>
  </si>
  <si>
    <t>掉落材料需要玩家使用的最低炮倍</t>
  </si>
  <si>
    <t>duanzaoCrit</t>
  </si>
  <si>
    <t>玩家触发暴击需要使用的最低炮倍</t>
  </si>
  <si>
    <t>limitgoldTurntable</t>
  </si>
  <si>
    <t>2,4</t>
  </si>
  <si>
    <t>鸿运福利-定时领宝箱功能，转盘阶段：x，y（x为首次领取需要的进度，y为非首次领取需要的进度）</t>
  </si>
  <si>
    <t>limitgoldDice</t>
  </si>
  <si>
    <t>3,5</t>
  </si>
  <si>
    <t>鸿运福利-定时领宝箱功能，骰子阶段：x，y（x为首次领取需要的进度，y为非首次领取需要的进度）</t>
  </si>
  <si>
    <t>duanzaoFuyou</t>
  </si>
  <si>
    <t>玩家触发浮游炮需要使用的最低炮倍</t>
  </si>
  <si>
    <t>fuyouPaoE1</t>
  </si>
  <si>
    <t>[0.2,0.18,0.15,0.12,0.1,0]</t>
  </si>
  <si>
    <t>触发1枚浮游炮增加能量E</t>
  </si>
  <si>
    <t>fuyouPaoE2</t>
  </si>
  <si>
    <t>[0.3,0.25,0.2,0.15,0.12,0]</t>
  </si>
  <si>
    <t>触发2枚浮游炮增加能量E</t>
  </si>
  <si>
    <t>fuyouPaoPro</t>
  </si>
  <si>
    <t>触发浮游炮的默认概率5表示5%</t>
  </si>
  <si>
    <t>fuyouPaoAddPro</t>
  </si>
  <si>
    <t>触发浮游炮失败增加的概率</t>
  </si>
  <si>
    <t>hToapp</t>
  </si>
  <si>
    <t>1|2|1000000,1|1|100,2|2107|1,2|1001|10</t>
  </si>
  <si>
    <t>H5往app导量（目前只有H5版本专用）</t>
  </si>
  <si>
    <t>newSignIn1</t>
  </si>
  <si>
    <t>2000000</t>
  </si>
  <si>
    <t>新签到（转盘），第二阶段6点券获得金币的期望值：x金币</t>
  </si>
  <si>
    <t>newSignIn2</t>
  </si>
  <si>
    <t>6,8</t>
  </si>
  <si>
    <t>新签到（转盘），吉祥物落在外圈的随机数量</t>
  </si>
  <si>
    <t>newSignIn3</t>
  </si>
  <si>
    <t>新签到（转盘），吉祥物落在内圈的随机数量</t>
  </si>
  <si>
    <t>newSignIn4</t>
  </si>
  <si>
    <t>2,3</t>
  </si>
  <si>
    <t>新签到（转盘），吉祥物落在翻倍栏的随机数量</t>
  </si>
  <si>
    <t>newSignIn5</t>
  </si>
  <si>
    <t>新签到（转盘），出现0个吉祥物的权重</t>
  </si>
  <si>
    <t>newSignIn6</t>
  </si>
  <si>
    <t>新签到（转盘），出现1个吉祥物的权重</t>
  </si>
  <si>
    <t>newSignIn7</t>
  </si>
  <si>
    <t>新签到（转盘），出现2个吉祥物的权重</t>
  </si>
  <si>
    <t>newSignInFake1</t>
  </si>
  <si>
    <t>13365687,桃桃九</t>
  </si>
  <si>
    <t>新签到（转盘），假数据</t>
  </si>
  <si>
    <t>newSignInFake2</t>
  </si>
  <si>
    <t>12106826,鱼王之王</t>
  </si>
  <si>
    <t>newSignInFake3</t>
  </si>
  <si>
    <t>13562809,越来越有趣</t>
  </si>
  <si>
    <t>newSignInjackpotR</t>
  </si>
  <si>
    <t>服务器校验的奖金池范围，在jackpotShowA00.7~1.3之间波动</t>
  </si>
  <si>
    <t>newSignIn8</t>
  </si>
  <si>
    <t>1|2|100000</t>
  </si>
  <si>
    <t>新签到更新奖励（补偿老玩家）</t>
  </si>
  <si>
    <t>c</t>
  </si>
  <si>
    <t>int[]</t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</si>
  <si>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2小时领取一次</t>
    </r>
  </si>
  <si>
    <t>VIPLevel</t>
  </si>
  <si>
    <t>VIPExp</t>
  </si>
  <si>
    <t>desVIP</t>
  </si>
  <si>
    <t>desVIPTs</t>
  </si>
  <si>
    <t>desRechange</t>
  </si>
  <si>
    <t>signIn</t>
  </si>
  <si>
    <t>attackAdd</t>
  </si>
  <si>
    <t>freeGoldTimes</t>
  </si>
  <si>
    <t>oneTimeBuy</t>
  </si>
  <si>
    <t>oneTimeReward</t>
  </si>
  <si>
    <t>backGift</t>
  </si>
  <si>
    <t>goldFreeGift</t>
  </si>
  <si>
    <t>diamondFreeGift</t>
  </si>
  <si>
    <t>PTfanbei</t>
  </si>
  <si>
    <t>CJfanbei</t>
  </si>
  <si>
    <t>goldAddedTo</t>
  </si>
  <si>
    <t>compenGoldTimes</t>
  </si>
  <si>
    <t>compenGoldNum</t>
  </si>
  <si>
    <t>compenGoldNum308</t>
  </si>
  <si>
    <t>buyRage</t>
  </si>
  <si>
    <t>unlockRageLv</t>
  </si>
  <si>
    <t>extraGoldRecharge</t>
  </si>
  <si>
    <t>mailAdd</t>
  </si>
  <si>
    <t>itemLimit</t>
  </si>
  <si>
    <t>shandianLimit</t>
  </si>
  <si>
    <t>freeNum</t>
  </si>
  <si>
    <t>spLimit</t>
  </si>
  <si>
    <t>Marble1Limit</t>
  </si>
  <si>
    <t>Marble2Limit</t>
  </si>
  <si>
    <t>Marble3Limit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</si>
  <si>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</si>
  <si>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</si>
  <si>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</si>
  <si>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</si>
  <si>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</si>
  <si>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</si>
  <si>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</si>
  <si>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</si>
  <si>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</si>
  <si>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</si>
  <si>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</si>
  <si>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</si>
  <si>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</si>
  <si>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</si>
  <si>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</si>
  <si>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</si>
  <si>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</si>
  <si>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r>
      <rPr>
        <sz val="10"/>
        <color theme="1"/>
        <rFont val="微软雅黑"/>
        <family val="2"/>
        <charset val="134"/>
      </rPr>
      <t>LuckVal</t>
    </r>
    <r>
      <rPr>
        <sz val="10"/>
        <color theme="1"/>
        <rFont val="微软雅黑"/>
        <family val="2"/>
        <charset val="134"/>
      </rPr>
      <t>R</t>
    </r>
  </si>
  <si>
    <t>resetKtime</t>
  </si>
  <si>
    <t>broPPro</t>
  </si>
  <si>
    <t>broPBulletNum</t>
  </si>
  <si>
    <t>broPC</t>
  </si>
  <si>
    <t>lianxuBulletNum</t>
  </si>
  <si>
    <t>lianxubroPC</t>
  </si>
  <si>
    <t>VIPC</t>
  </si>
  <si>
    <t>perLuckyCardAdd</t>
  </si>
  <si>
    <t>limitGoldAdd1</t>
  </si>
  <si>
    <t>limitGoldAdd2</t>
  </si>
  <si>
    <t>limitGoldAdd3</t>
  </si>
  <si>
    <t>商城免费领取金币</t>
  </si>
  <si>
    <t>商城免费领取钻石</t>
  </si>
  <si>
    <t>波动值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</si>
  <si>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</si>
  <si>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</si>
  <si>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</si>
  <si>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</si>
  <si>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</si>
  <si>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r>
      <rPr>
        <sz val="8"/>
        <color theme="1"/>
        <rFont val="微软雅黑"/>
        <family val="2"/>
        <charset val="134"/>
      </rPr>
      <t xml:space="preserve">vipn时，签到奖励翻x倍
</t>
    </r>
    <r>
      <rPr>
        <sz val="8"/>
        <color rgb="FFFF0000"/>
        <rFont val="微软雅黑"/>
        <family val="2"/>
        <charset val="134"/>
      </rPr>
      <t>V9和V10必须是不一样的</t>
    </r>
  </si>
  <si>
    <t>攻击力（能量）增加提示图片
当前版本没有，配空</t>
  </si>
  <si>
    <t>免费金币一等奖每天次数限制</t>
  </si>
  <si>
    <t>升级到某档VIP，可购买的一次性礼包id（对应充值相关表）</t>
  </si>
  <si>
    <t>升级到某档VIP，可领取的一次性奖励（格式：x|y|z，x为类型，y为道具编号，z为数量）</t>
  </si>
  <si>
    <r>
      <rPr>
        <sz val="8"/>
        <color theme="1"/>
        <rFont val="微软雅黑"/>
        <family val="2"/>
        <charset val="134"/>
      </rPr>
      <t>回归礼包</t>
    </r>
    <r>
      <rPr>
        <sz val="8"/>
        <color rgb="FFFF0000"/>
        <rFont val="微软雅黑"/>
        <family val="2"/>
        <charset val="134"/>
      </rPr>
      <t>，免费领取的奖励</t>
    </r>
  </si>
  <si>
    <t>商城金币页签免费礼包奖励内容
从范围内随机，包含填写的最小和最大值</t>
  </si>
  <si>
    <t>商城钻石页签免费礼包奖励内容</t>
  </si>
  <si>
    <t>幸运金币
普通翻倍</t>
  </si>
  <si>
    <t>幸运金币
超级翻倍</t>
  </si>
  <si>
    <t>每日首次登陆将金币补足至300万</t>
  </si>
  <si>
    <t>每日领取N次发财金</t>
  </si>
  <si>
    <r>
      <rPr>
        <sz val="8"/>
        <color theme="1"/>
        <rFont val="微软雅黑"/>
        <family val="2"/>
        <charset val="134"/>
      </rPr>
      <t xml:space="preserve">每次领取发财金+xxx金币
</t>
    </r>
    <r>
      <rPr>
        <b/>
        <sz val="8"/>
        <color theme="0"/>
        <rFont val="微软雅黑"/>
        <family val="2"/>
        <charset val="134"/>
      </rPr>
      <t>对应首充306</t>
    </r>
  </si>
  <si>
    <r>
      <rPr>
        <sz val="8"/>
        <color theme="1"/>
        <rFont val="微软雅黑"/>
        <family val="2"/>
        <charset val="134"/>
      </rPr>
      <t xml:space="preserve">每次领取发财金倍数
</t>
    </r>
    <r>
      <rPr>
        <b/>
        <sz val="8"/>
        <color theme="0"/>
        <rFont val="微软雅黑"/>
        <family val="2"/>
        <charset val="134"/>
      </rPr>
      <t>对应首充308</t>
    </r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</si>
  <si>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</si>
  <si>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</si>
  <si>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</si>
  <si>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</si>
  <si>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</si>
  <si>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勇者斗恶龙闪电掉落上限/每天</t>
  </si>
  <si>
    <t>勇者斗恶龙闪电赠送上限/每天</t>
  </si>
  <si>
    <t>美猴王碎片掉落上限/每天</t>
  </si>
  <si>
    <t>弹珠掉落上限/每天</t>
  </si>
  <si>
    <r>
      <rPr>
        <sz val="9"/>
        <color theme="1"/>
        <rFont val="微软雅黑"/>
        <family val="2"/>
        <charset val="134"/>
      </rPr>
      <t xml:space="preserve">竞技场积分加成%
</t>
    </r>
    <r>
      <rPr>
        <sz val="9"/>
        <color rgb="FFFF0000"/>
        <rFont val="微软雅黑"/>
        <family val="2"/>
        <charset val="134"/>
      </rPr>
      <t>注意！改动此列需要收到调整多语言描述</t>
    </r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</si>
  <si>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</si>
  <si>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</si>
  <si>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</si>
  <si>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</si>
  <si>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</si>
  <si>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</si>
  <si>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</si>
  <si>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</si>
  <si>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</si>
  <si>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</si>
  <si>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</si>
  <si>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</si>
  <si>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family val="2"/>
        <charset val="134"/>
      </rPr>
      <t xml:space="preserve">临界时E
</t>
    </r>
    <r>
      <rPr>
        <b/>
        <sz val="11"/>
        <color rgb="FF00B0F0"/>
        <rFont val="微软雅黑"/>
        <family val="2"/>
        <charset val="134"/>
      </rPr>
      <t>仅</t>
    </r>
    <r>
      <rPr>
        <b/>
        <sz val="10"/>
        <color rgb="FF00B0F0"/>
        <rFont val="微软雅黑"/>
        <family val="2"/>
        <charset val="134"/>
      </rPr>
      <t>渔场用</t>
    </r>
  </si>
  <si>
    <r>
      <rPr>
        <b/>
        <sz val="11"/>
        <color rgb="FFFF0000"/>
        <rFont val="微软雅黑"/>
        <family val="2"/>
        <charset val="134"/>
      </rPr>
      <t>E</t>
    </r>
    <r>
      <rPr>
        <sz val="11"/>
        <color theme="1"/>
        <rFont val="宋体"/>
        <family val="3"/>
        <charset val="134"/>
      </rPr>
      <t xml:space="preserve">默认
</t>
    </r>
    <r>
      <rPr>
        <b/>
        <sz val="10"/>
        <color rgb="FF00B0F0"/>
        <rFont val="宋体"/>
        <family val="3"/>
        <charset val="134"/>
      </rPr>
      <t>渔场通用</t>
    </r>
  </si>
  <si>
    <t>玩家金币&gt;N时某些鱼捕获概率降低</t>
  </si>
  <si>
    <r>
      <rPr>
        <b/>
        <sz val="10"/>
        <color rgb="FFFF0000"/>
        <rFont val="微软雅黑"/>
        <family val="2"/>
        <charset val="134"/>
      </rPr>
      <t xml:space="preserve">鱼类型和对应的能量%
</t>
    </r>
    <r>
      <rPr>
        <b/>
        <sz val="10"/>
        <color rgb="FF00B0F0"/>
        <rFont val="微软雅黑"/>
        <family val="2"/>
        <charset val="134"/>
      </rPr>
      <t>仅渔场用</t>
    </r>
  </si>
  <si>
    <t>波动值范围
波动值*最终能量为最后能量</t>
  </si>
  <si>
    <t>充值库存重置时间/小时
从a,b范围内随机
每次登录检查时间</t>
  </si>
  <si>
    <t>不同VIP， 领取救济金时， 触发破产保护的概率（不额外消耗破产保护次数）</t>
  </si>
  <si>
    <t>不同VIP，触发破产保护的子弹数量
a,b表示从之间随机</t>
  </si>
  <si>
    <t>不同VIP， 触发破产保护时， 破产保护系数：</t>
  </si>
  <si>
    <t>玩家使用10万炮时生效
玩家3次及以上高额328或628元的商城金币充值，但在短时间内金币小于了2000万，增加修正子弹和能量</t>
  </si>
  <si>
    <t>vip修正系数对能量的
0.009=90/10000</t>
  </si>
  <si>
    <t>vip积累幸运卡牌能量时额外积累的百分比</t>
  </si>
  <si>
    <t>鸿运福利的加成
模块：福利金</t>
  </si>
  <si>
    <t>鸿运福利的加成
模块：转盘</t>
  </si>
  <si>
    <t>鸿运福利的加成
模块：骰子</t>
  </si>
  <si>
    <t>平均值</t>
  </si>
  <si>
    <t>倒计时/小时</t>
  </si>
  <si>
    <t>每天领取</t>
  </si>
  <si>
    <t>v0--v3</t>
  </si>
  <si>
    <t>值范围（小）</t>
  </si>
  <si>
    <t>值范围（大）</t>
  </si>
  <si>
    <t>1|2|200000,2|1001|2,2|1002|2</t>
  </si>
  <si>
    <t>1|2|10000,1|2|15000,1|2|20000</t>
  </si>
  <si>
    <t>1|1|1,1|1|1</t>
  </si>
  <si>
    <t>2|1001|1,2|1002|1,2|1004|1,2|1601|5,2|2301|999,2|2302|999,2|2303|999,2|2304|999</t>
  </si>
  <si>
    <t>[[4,0.95],[5,0.95],[6,0.85]]</t>
  </si>
  <si>
    <t>[48,96]</t>
  </si>
  <si>
    <t>[10,30]</t>
  </si>
  <si>
    <t>[0,1.2]</t>
  </si>
  <si>
    <t>[200,400]</t>
  </si>
  <si>
    <t>[1,3]</t>
  </si>
  <si>
    <t>基础炮</t>
  </si>
  <si>
    <t>总期望</t>
  </si>
  <si>
    <t>16,0,12,99</t>
  </si>
  <si>
    <t>0,3</t>
  </si>
  <si>
    <t>1|2|500000</t>
  </si>
  <si>
    <t>1|2|20000,1|2|30000,1|2|40000</t>
  </si>
  <si>
    <t>1|1|1,1|1|2</t>
  </si>
  <si>
    <t>[36,72]</t>
  </si>
  <si>
    <t>[20,36]</t>
  </si>
  <si>
    <t>[0.5,1.6]</t>
  </si>
  <si>
    <t>金刚王座</t>
  </si>
  <si>
    <t>16,0,17,3</t>
  </si>
  <si>
    <t>0,4,8</t>
  </si>
  <si>
    <t>1|2|2000000</t>
  </si>
  <si>
    <t>1|2|500000,2|1001|5,2|1002|5</t>
  </si>
  <si>
    <t>2|1001|1,2|1002|1,2|1004|1,2|1601|6,2|2301|999,2|2302|999,2|2303|999,2|2304|999</t>
  </si>
  <si>
    <t>[24,48]</t>
  </si>
  <si>
    <t>[24,40]</t>
  </si>
  <si>
    <t>[0.6,2]</t>
  </si>
  <si>
    <t>急速旋涡</t>
  </si>
  <si>
    <t>16,0,9,7,4,15,5</t>
  </si>
  <si>
    <t>0,4,5</t>
  </si>
  <si>
    <t>1|2|5000000</t>
  </si>
  <si>
    <t>1|2|1000000,2|1001|10,2|1002|10</t>
  </si>
  <si>
    <t>4,5</t>
  </si>
  <si>
    <t>1|2|300000</t>
  </si>
  <si>
    <t>[24,36]</t>
  </si>
  <si>
    <t>[28,44]</t>
  </si>
  <si>
    <t>[0.7,2]</t>
  </si>
  <si>
    <t>未来科技</t>
  </si>
  <si>
    <t>16,0,18,9,12</t>
  </si>
  <si>
    <t>1|2|10000000</t>
  </si>
  <si>
    <t>1|2|1500000,2|1001|15,2|1002|15</t>
  </si>
  <si>
    <t>2|1001|2,2|1002|2,2|1004|2,2|1601|8,2|2301|999,2|2302|999,2|2303|999,2|2304|999</t>
  </si>
  <si>
    <t>1|2|1000000</t>
  </si>
  <si>
    <t>1|2|7500000</t>
  </si>
  <si>
    <t>[18,36]</t>
  </si>
  <si>
    <t>[36,50]</t>
  </si>
  <si>
    <t>[0.8,2]</t>
  </si>
  <si>
    <t>热能熔炉</t>
  </si>
  <si>
    <t>16,0,2,9,7,4,15,5</t>
  </si>
  <si>
    <t>1|2|15000000</t>
  </si>
  <si>
    <t>1|2|2000000,2|1001|20,2|1002|20</t>
  </si>
  <si>
    <t>1|2|40000,1|2|50000,1|2|60000,1|2|70000,1|2|80000</t>
  </si>
  <si>
    <t>1|1|2,1|1|3,1|1|4</t>
  </si>
  <si>
    <t>1|2|1500000</t>
  </si>
  <si>
    <t>[42,60]</t>
  </si>
  <si>
    <t>[1,2]</t>
  </si>
  <si>
    <t>[2,3]</t>
  </si>
  <si>
    <t>生命守护</t>
  </si>
  <si>
    <t>0,4,9,8</t>
  </si>
  <si>
    <t>1|2|18000000</t>
  </si>
  <si>
    <t>1|2|3000000,2|1001|30,2|1002|30</t>
  </si>
  <si>
    <t>2|1001|2,2|1002|2,2|1004|2,2|1601|10,2|2301|999,2|2302|999,2|2303|999,2|2304|999</t>
  </si>
  <si>
    <t>1|2|3000000</t>
  </si>
  <si>
    <t>[12,36]</t>
  </si>
  <si>
    <t>[50,70]</t>
  </si>
  <si>
    <t>[1.2,2.2]</t>
  </si>
  <si>
    <t>[2.5,4]</t>
  </si>
  <si>
    <t>磁悬风暴</t>
  </si>
  <si>
    <t>0,4,5,9,7</t>
  </si>
  <si>
    <t>1|2|25000000</t>
  </si>
  <si>
    <t>1|2|4000000,2|1001|40,2|1002|40</t>
  </si>
  <si>
    <t>2|1001|3,2|1002|3,2|1004|3,2|1601|10,2|2301|999,2|2302|999,2|2303|999,2|2304|999</t>
  </si>
  <si>
    <t>1,1</t>
  </si>
  <si>
    <t>2,5</t>
  </si>
  <si>
    <t>6,10</t>
  </si>
  <si>
    <t>[1.2,2.4]</t>
  </si>
  <si>
    <t>[3,5]</t>
  </si>
  <si>
    <t>恶魔城堡</t>
  </si>
  <si>
    <t>16,0,2,9</t>
  </si>
  <si>
    <t>0,9,8,7</t>
  </si>
  <si>
    <t>1|2|50000000</t>
  </si>
  <si>
    <t>1|2|6000000,2|1001|60,2|1002|60</t>
  </si>
  <si>
    <t>2|1001|3,2|1002|3,2|1004|3,2|1601|12,2|2301|999,2|2302|999,2|2303|999,2|2304|999</t>
  </si>
  <si>
    <t>11,15</t>
  </si>
  <si>
    <t>[12,30]</t>
  </si>
  <si>
    <t>[1.2,2.6]</t>
  </si>
  <si>
    <t>[3.5,5.5]</t>
  </si>
  <si>
    <t>赤色火焰</t>
  </si>
  <si>
    <t>0,4,9,8,7</t>
  </si>
  <si>
    <t>1|2|100000000</t>
  </si>
  <si>
    <t>1|2|8000000,2|1001|70,2|1002|70</t>
  </si>
  <si>
    <t>1|2|80000,1|2|90000,1|2|100000,1|2|110000,1|2|120000</t>
  </si>
  <si>
    <t>1|1|4,1|1|5,1|1|6</t>
  </si>
  <si>
    <t>2|1001|3,2|1002|3,2|1004|3,2|1601|15,2|2301|999,2|2302|999,2|2303|999,2|2304|999</t>
  </si>
  <si>
    <t>16,20</t>
  </si>
  <si>
    <t>[1.2,2.8]</t>
  </si>
  <si>
    <t>[3.5,7]</t>
  </si>
  <si>
    <t>末日裁决</t>
  </si>
  <si>
    <t>v4--v7</t>
  </si>
  <si>
    <t>16,0,2,9,7,4,15,12</t>
  </si>
  <si>
    <t>1|2|200000000</t>
  </si>
  <si>
    <t>1|2|10000000,2|1001|80,2|1002|80</t>
  </si>
  <si>
    <t>2|1001|3,2|1002|3,2|1004|3,2|1601|20,2|2301|999,2|2302|999,2|2303|999,2|2304|999</t>
  </si>
  <si>
    <t>1|2|20000000</t>
  </si>
  <si>
    <t>[1.2,3]</t>
  </si>
  <si>
    <t>[3.5,8]</t>
  </si>
  <si>
    <t>v8--v10</t>
  </si>
  <si>
    <t>rangeMin</t>
  </si>
  <si>
    <t>弹头金币价值</t>
  </si>
  <si>
    <t>掉落弹头的范围最小值前闭后开
最大值为下一档的最小值
最高档的最大值为无穷大</t>
  </si>
  <si>
    <t>服务器开关</t>
  </si>
  <si>
    <t>itemId</t>
  </si>
  <si>
    <t>name</t>
  </si>
  <si>
    <t>nameLanguage</t>
  </si>
  <si>
    <t>nameChinese</t>
  </si>
  <si>
    <t>coinValue</t>
  </si>
  <si>
    <t>GValue</t>
  </si>
  <si>
    <t>DValue</t>
  </si>
  <si>
    <t>automaticUse</t>
  </si>
  <si>
    <t>desLanguage</t>
  </si>
  <si>
    <t>functionType</t>
  </si>
  <si>
    <t>channel</t>
  </si>
  <si>
    <t>channelid</t>
  </si>
  <si>
    <t>parameterType</t>
  </si>
  <si>
    <t>parameterType2</t>
  </si>
  <si>
    <t>displayButtons</t>
  </si>
  <si>
    <t>unlockGiveNum</t>
  </si>
  <si>
    <t>canGiveNumLimit</t>
  </si>
  <si>
    <t>giveMinVip</t>
  </si>
  <si>
    <t>defaultGiveNum</t>
  </si>
  <si>
    <t>giveLimit</t>
  </si>
  <si>
    <t>receiveLimit</t>
  </si>
  <si>
    <t>buyPrice</t>
  </si>
  <si>
    <t>defaultBuyNum</t>
  </si>
  <si>
    <t>sellPrice</t>
  </si>
  <si>
    <t>defaultSellNum</t>
  </si>
  <si>
    <t>notOwned</t>
  </si>
  <si>
    <t>notOwned2</t>
  </si>
  <si>
    <t>upLimit</t>
  </si>
  <si>
    <t>道具id
1xxx开头
2xxx开头
3xxx开头
道具只能到3xxx，区分记录日志的炮4xxx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</si>
  <si>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</si>
  <si>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</si>
  <si>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</si>
  <si>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</si>
  <si>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星钻价值</t>
  </si>
  <si>
    <t>自动使用，1获得道具后，服务端控制自动使用
目前只有首充和邮件在使用</t>
  </si>
  <si>
    <t>道具描述(多语言格式)</t>
  </si>
  <si>
    <r>
      <rPr>
        <sz val="8"/>
        <color theme="1"/>
        <rFont val="微软雅黑"/>
        <family val="2"/>
        <charset val="134"/>
      </rPr>
      <t xml:space="preserve">道具效果
1.锁定;2.冰冻;3.狂暴;4.召唤
5.自动开火+限时;6.礼包；7贵族卡，8话费卡，9实物
10轰炸机,11红包.12活动道具（限时），13用于合成
20会员加长卡
21.炮台体验卡
22充值金币返利卡
</t>
    </r>
    <r>
      <rPr>
        <sz val="8"/>
        <color rgb="FFFF0000"/>
        <rFont val="微软雅黑"/>
        <family val="2"/>
        <charset val="134"/>
      </rPr>
      <t>23用于锻造 24灵石</t>
    </r>
  </si>
  <si>
    <t xml:space="preserve">实物所属渠道
1,大麦城
</t>
  </si>
  <si>
    <t>物品在渠道商城所属id</t>
  </si>
  <si>
    <r>
      <rPr>
        <sz val="8"/>
        <color theme="1"/>
        <rFont val="微软雅黑"/>
        <family val="2"/>
        <charset val="134"/>
      </rPr>
      <t>参数类型，
针对道具效果7，6周卡(6\7\8)，</t>
    </r>
    <r>
      <rPr>
        <sz val="8"/>
        <color rgb="FFFF0000"/>
        <rFont val="微软雅黑"/>
        <family val="2"/>
        <charset val="134"/>
      </rPr>
      <t>2金币月卡（废弃）</t>
    </r>
    <r>
      <rPr>
        <sz val="8"/>
        <color theme="1"/>
        <rFont val="微软雅黑"/>
        <family val="2"/>
        <charset val="134"/>
      </rPr>
      <t>，3三年卡;4星钻月卡，5金币月卡
针对8,话费卡人民币面额/元;
针对10,爆炸半径R,像素
11互动红包基础金币值
针对道具效果4，0表示普通召唤，1表示主宰召唤
注意：当I列道具效果为13（用于合成）时，此列对应合成配方的key（合成表中）</t>
    </r>
  </si>
  <si>
    <t>参数类型2
附加参数</t>
  </si>
  <si>
    <t>显示的功能按钮
1赠送;2购买
3使用;4续费
5转换成话费券;6跳转（用使用）
7出售,8合成、9无任何功能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</si>
  <si>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</si>
  <si>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</si>
  <si>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</si>
  <si>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</si>
  <si>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t>该物品每日赠送上限
-1表示无限制</t>
  </si>
  <si>
    <t>该物品每日接收上限
-1表示无限制</t>
  </si>
  <si>
    <t>购买道具消耗钻石</t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</si>
  <si>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</si>
  <si>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</si>
  <si>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</si>
  <si>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family val="2"/>
        <charset val="134"/>
      </rPr>
      <t>未拥有</t>
    </r>
    <r>
      <rPr>
        <sz val="8"/>
        <color theme="1"/>
        <rFont val="微软雅黑"/>
        <family val="2"/>
        <charset val="134"/>
      </rPr>
      <t>是否展示
0不展示
1展示</t>
    </r>
  </si>
  <si>
    <r>
      <rPr>
        <b/>
        <sz val="8"/>
        <color theme="1"/>
        <rFont val="微软雅黑"/>
        <family val="2"/>
        <charset val="134"/>
      </rPr>
      <t>拥有的道具在背包中</t>
    </r>
    <r>
      <rPr>
        <sz val="8"/>
        <color theme="1"/>
        <rFont val="微软雅黑"/>
        <family val="2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</si>
  <si>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</si>
  <si>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</si>
  <si>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</si>
  <si>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</si>
  <si>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zuanshi_des</t>
  </si>
  <si>
    <t>ic_jb_01</t>
  </si>
  <si>
    <t>jinbi</t>
  </si>
  <si>
    <t>jinbi_des</t>
  </si>
  <si>
    <t>ic_cj_01</t>
  </si>
  <si>
    <t>jifen</t>
  </si>
  <si>
    <t>抽奖券</t>
  </si>
  <si>
    <t>icon_vip_exp_01</t>
  </si>
  <si>
    <t>vipexp</t>
  </si>
  <si>
    <t>VIP经验</t>
  </si>
  <si>
    <t>vipexp_des</t>
  </si>
  <si>
    <t>icon_jifen_01</t>
  </si>
  <si>
    <t>竞技场积分</t>
  </si>
  <si>
    <t>icon_huoyuedu_01</t>
  </si>
  <si>
    <t>huoyuedu</t>
  </si>
  <si>
    <t>活跃度</t>
  </si>
  <si>
    <t>huoyuedu_des</t>
  </si>
  <si>
    <t>ic_sc_dq_01</t>
  </si>
  <si>
    <t>dianquan</t>
  </si>
  <si>
    <t>点券</t>
  </si>
  <si>
    <t>dianquang_des</t>
  </si>
  <si>
    <t>ui_cj_icon02</t>
  </si>
  <si>
    <t>chengjiudian</t>
  </si>
  <si>
    <t>成就点</t>
  </si>
  <si>
    <t>chengjiudian_des</t>
  </si>
  <si>
    <t>ic_jn_01</t>
  </si>
  <si>
    <t>suoding</t>
  </si>
  <si>
    <t>锁定</t>
  </si>
  <si>
    <t>suoding_des</t>
  </si>
  <si>
    <t>2,1</t>
  </si>
  <si>
    <t>ic_jn_02</t>
  </si>
  <si>
    <t>bingdong</t>
  </si>
  <si>
    <t>冰冻</t>
  </si>
  <si>
    <t>bingdong_des</t>
  </si>
  <si>
    <t>ic_jn_03</t>
  </si>
  <si>
    <t>kuangbao</t>
  </si>
  <si>
    <t>狂暴</t>
  </si>
  <si>
    <t>kuangbao_des</t>
  </si>
  <si>
    <t>ic_jn_04</t>
  </si>
  <si>
    <t>zhaohuan</t>
  </si>
  <si>
    <t>召唤</t>
  </si>
  <si>
    <t>zhaohuan_des</t>
  </si>
  <si>
    <t>ic_jn_05</t>
  </si>
  <si>
    <t>zhuzaizhaohuan</t>
  </si>
  <si>
    <t>主宰召唤</t>
  </si>
  <si>
    <t>zhuzaizhaohuan_des</t>
  </si>
  <si>
    <t>ic_hd_01</t>
  </si>
  <si>
    <t>chaojiwuqi1</t>
  </si>
  <si>
    <t>Ⅰ级核弹</t>
  </si>
  <si>
    <t>chaojiwuqi1_des</t>
  </si>
  <si>
    <t>7,1</t>
  </si>
  <si>
    <t>ic_hd_02</t>
  </si>
  <si>
    <t>chaojiwuqi2</t>
  </si>
  <si>
    <t>Ⅱ级核弹</t>
  </si>
  <si>
    <t>chaojiwuqi2_des</t>
  </si>
  <si>
    <t>ic_hd_03</t>
  </si>
  <si>
    <t>chaojiwuqi3</t>
  </si>
  <si>
    <t>Ⅲ级核弹</t>
  </si>
  <si>
    <t>chaojiwuqi3_des</t>
  </si>
  <si>
    <t>ic_hd_04</t>
  </si>
  <si>
    <t>chaojiwuqi4</t>
  </si>
  <si>
    <t>Ⅳ级核弹</t>
  </si>
  <si>
    <t>chaojiwuqi4_des</t>
  </si>
  <si>
    <t>zidongfire</t>
  </si>
  <si>
    <t>自动开炮</t>
  </si>
  <si>
    <t>zidongfire_des</t>
  </si>
  <si>
    <t>icon_guizuka_zhouka_01</t>
  </si>
  <si>
    <t>zhouka</t>
  </si>
  <si>
    <t>周卡</t>
  </si>
  <si>
    <t>zhouka_des</t>
  </si>
  <si>
    <t>icon_guizuka_yueka_01</t>
  </si>
  <si>
    <t>yueka</t>
  </si>
  <si>
    <t>金币月卡</t>
  </si>
  <si>
    <t>yueka_des</t>
  </si>
  <si>
    <t>yueka2</t>
  </si>
  <si>
    <t>星钻月卡</t>
  </si>
  <si>
    <t>yueka2_des</t>
  </si>
  <si>
    <t>ic_fk_01</t>
  </si>
  <si>
    <t>huafeiquan</t>
  </si>
  <si>
    <t>福卡</t>
  </si>
  <si>
    <t>huafeiquan_des</t>
  </si>
  <si>
    <t>ic_hf_01</t>
  </si>
  <si>
    <t>zhichongka2</t>
  </si>
  <si>
    <t>2元话费直充卡</t>
  </si>
  <si>
    <t>zhichongka_des</t>
  </si>
  <si>
    <t>3,7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</si>
  <si>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</si>
  <si>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</si>
  <si>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</si>
  <si>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</si>
  <si>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</si>
  <si>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</si>
  <si>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</si>
  <si>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</si>
  <si>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</si>
  <si>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</si>
  <si>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30元话费卡</t>
  </si>
  <si>
    <t>1|2|12000000</t>
  </si>
  <si>
    <t>ic_hf_05</t>
  </si>
  <si>
    <t>zhichongka50</t>
  </si>
  <si>
    <t>50元话费卡</t>
  </si>
  <si>
    <t>icon_1yuanzhichongka_01</t>
  </si>
  <si>
    <t>zhichongka1</t>
  </si>
  <si>
    <t>1元话费直充卡</t>
  </si>
  <si>
    <t>1|2|400000</t>
  </si>
  <si>
    <t>ic_cj_02</t>
  </si>
  <si>
    <t>maidanquan</t>
  </si>
  <si>
    <t>买单券</t>
  </si>
  <si>
    <t>maidanquan_des</t>
  </si>
  <si>
    <t>6,7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</si>
  <si>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</si>
  <si>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</si>
  <si>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</si>
  <si>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</si>
  <si>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</si>
  <si>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</si>
  <si>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</si>
  <si>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</si>
  <si>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ic_shandian2</t>
  </si>
  <si>
    <t>shandian</t>
  </si>
  <si>
    <t>闪电</t>
  </si>
  <si>
    <t>shangdian_des</t>
  </si>
  <si>
    <t>ic_hwsp_01</t>
  </si>
  <si>
    <t>houwangsuipian</t>
  </si>
  <si>
    <t>超级猴王碎片</t>
  </si>
  <si>
    <t>houwangsuipian_des</t>
  </si>
  <si>
    <t>ic_danzhu1</t>
  </si>
  <si>
    <t>danzhu1</t>
  </si>
  <si>
    <t>玻璃弹珠</t>
  </si>
  <si>
    <t>danzhu1_des</t>
  </si>
  <si>
    <t>ic_danzhu2</t>
  </si>
  <si>
    <t>danzhu2</t>
  </si>
  <si>
    <t>金弹珠</t>
  </si>
  <si>
    <t>danzhu2_des</t>
  </si>
  <si>
    <t>ic_danzhu3</t>
  </si>
  <si>
    <t>danzhu3</t>
  </si>
  <si>
    <t>七彩弹珠</t>
  </si>
  <si>
    <t>danzhu3_des</t>
  </si>
  <si>
    <t>ic_hyk_01</t>
  </si>
  <si>
    <t>huiyuanplus</t>
  </si>
  <si>
    <t>金币月卡加时</t>
  </si>
  <si>
    <t>huiyuanplus_des</t>
  </si>
  <si>
    <t>1|2|150000</t>
  </si>
  <si>
    <t>huiyuanplus1</t>
  </si>
  <si>
    <t>星钻月卡加时</t>
  </si>
  <si>
    <t>huiyuanplus1_des</t>
  </si>
  <si>
    <t>ic_hdsp_01</t>
  </si>
  <si>
    <t>hdsp1</t>
  </si>
  <si>
    <t>Ⅰ级核弹碎片</t>
  </si>
  <si>
    <t>hdsp1_des</t>
  </si>
  <si>
    <t>1|2|10000</t>
  </si>
  <si>
    <t>ic_hdsp_02</t>
  </si>
  <si>
    <t>hdsp2</t>
  </si>
  <si>
    <t>Ⅱ级核弹碎片</t>
  </si>
  <si>
    <t>hdsp2_des</t>
  </si>
  <si>
    <t>1|2|20000</t>
  </si>
  <si>
    <t>ic_hdsp_03</t>
  </si>
  <si>
    <t>hdsp3</t>
  </si>
  <si>
    <t>Ⅲ级核弹碎片</t>
  </si>
  <si>
    <t>hdsp3_des</t>
  </si>
  <si>
    <t>1|2|50000</t>
  </si>
  <si>
    <t>ic_hdsp_04</t>
  </si>
  <si>
    <t>hdsp4</t>
  </si>
  <si>
    <t>Ⅳ级核弹碎片</t>
  </si>
  <si>
    <t>hdsp4_des</t>
  </si>
  <si>
    <t>ic_hwty_01</t>
  </si>
  <si>
    <t>houwangpao1</t>
  </si>
  <si>
    <t>齐天大圣1天体验卡</t>
  </si>
  <si>
    <t>houwangpao1_des</t>
  </si>
  <si>
    <t>houwangpao3</t>
  </si>
  <si>
    <t>齐天大圣3天体验卡</t>
  </si>
  <si>
    <t>houwangpao3_des</t>
  </si>
  <si>
    <t>houwangpao5</t>
  </si>
  <si>
    <t>齐天大圣5天体验卡</t>
  </si>
  <si>
    <t>houwangpao5_des</t>
  </si>
  <si>
    <t>houwangpao7</t>
  </si>
  <si>
    <t>齐天大圣7天体验卡</t>
  </si>
  <si>
    <t>houwangpao7_des</t>
  </si>
  <si>
    <t>ic_huochibang_01</t>
  </si>
  <si>
    <t>huochibang3</t>
  </si>
  <si>
    <t>火翅膀体验卡3天</t>
  </si>
  <si>
    <t>huochibang3_des</t>
  </si>
  <si>
    <t>huochibang30</t>
  </si>
  <si>
    <t>火翅膀体验卡30天</t>
  </si>
  <si>
    <t>huochibang30_des</t>
  </si>
  <si>
    <t>huochibang7</t>
  </si>
  <si>
    <t>火翅膀体验卡7天</t>
  </si>
  <si>
    <t>huochibang7_des</t>
  </si>
  <si>
    <t>ic_jbfl_01</t>
  </si>
  <si>
    <t>jinbifanli1</t>
  </si>
  <si>
    <t>20%金牛返利卡</t>
  </si>
  <si>
    <t>jinbifanli1_des</t>
  </si>
  <si>
    <t>ic_jbfl_02</t>
  </si>
  <si>
    <t>jinbifanli2</t>
  </si>
  <si>
    <t>30%金牛返利卡</t>
  </si>
  <si>
    <t>jinbifanli2_des</t>
  </si>
  <si>
    <t>ic_jbfl_03</t>
  </si>
  <si>
    <t>jinbifanli3</t>
  </si>
  <si>
    <t>40%金牛返利卡</t>
  </si>
  <si>
    <t>jinbifanli3_des</t>
  </si>
  <si>
    <t>ic_jbfl_04</t>
  </si>
  <si>
    <t>jinbifanli4</t>
  </si>
  <si>
    <t>50%金牛返利卡</t>
  </si>
  <si>
    <t>jinbifanli4_des</t>
  </si>
  <si>
    <t>ic_jbfl_05</t>
  </si>
  <si>
    <t>jinbifanli5</t>
  </si>
  <si>
    <t>60%金牛返利卡</t>
  </si>
  <si>
    <t>jinbifanli5_des</t>
  </si>
  <si>
    <t>ic_jbfl_06</t>
  </si>
  <si>
    <t>jinbifanli6</t>
  </si>
  <si>
    <t>70%金牛返利卡</t>
  </si>
  <si>
    <t>jinbifanli6_des</t>
  </si>
  <si>
    <t>ic_jbfl_07</t>
  </si>
  <si>
    <t>jinbifanli7</t>
  </si>
  <si>
    <t>80%金牛返利卡</t>
  </si>
  <si>
    <t>jinbifanli7_des</t>
  </si>
  <si>
    <t>ic_jbfl_08</t>
  </si>
  <si>
    <t>jinbifanli8</t>
  </si>
  <si>
    <t>90%金牛返利卡</t>
  </si>
  <si>
    <t>jinbifanli8_des</t>
  </si>
  <si>
    <t>ic_jbfl_09</t>
  </si>
  <si>
    <t>jinbifanli9</t>
  </si>
  <si>
    <t>100%金牛返利卡</t>
  </si>
  <si>
    <t>jinbifanli9_des</t>
  </si>
  <si>
    <t>ic_jbfl_10</t>
  </si>
  <si>
    <t>jinbifanli10</t>
  </si>
  <si>
    <t>200%金牛返利卡</t>
  </si>
  <si>
    <t>jinbifanli10_des</t>
  </si>
  <si>
    <t>ic_jbfl_11</t>
  </si>
  <si>
    <t>jinbifanli11</t>
  </si>
  <si>
    <t>300%金牛返利卡</t>
  </si>
  <si>
    <t>jinbifanli11_des</t>
  </si>
  <si>
    <t>ic_lingshi_01</t>
  </si>
  <si>
    <t>lingshi</t>
  </si>
  <si>
    <t>灵石</t>
  </si>
  <si>
    <t>ic_zhuqueshi_01</t>
  </si>
  <si>
    <t>zhuqueshi</t>
  </si>
  <si>
    <t>朱雀石</t>
  </si>
  <si>
    <t>ic_xuanwushi_01</t>
  </si>
  <si>
    <t>xuanwushi</t>
  </si>
  <si>
    <t>玄武石</t>
  </si>
  <si>
    <t>ic_qinglongshi_01</t>
  </si>
  <si>
    <t>qinglongshi</t>
  </si>
  <si>
    <t>青龙石</t>
  </si>
  <si>
    <t>ic_baihushi_01</t>
  </si>
  <si>
    <t>baihushi</t>
  </si>
  <si>
    <t>白虎石</t>
  </si>
  <si>
    <t>道具id
1xxx开头</t>
  </si>
  <si>
    <r>
      <rPr>
        <sz val="8"/>
        <color theme="1"/>
        <rFont val="微软雅黑"/>
        <family val="2"/>
        <charset val="134"/>
      </rPr>
      <t xml:space="preserve">道具图片
资源名称
</t>
    </r>
    <r>
      <rPr>
        <sz val="11"/>
        <color rgb="FFFF0000"/>
        <rFont val="微软雅黑"/>
        <family val="2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</si>
  <si>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</si>
  <si>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</si>
  <si>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</si>
  <si>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</si>
  <si>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</si>
  <si>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</si>
  <si>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</si>
  <si>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newSignInMaxG</t>
    <phoneticPr fontId="55" type="noConversion"/>
  </si>
  <si>
    <t>第1轮签到最高可令奖励，今天明天</t>
    <phoneticPr fontId="55" type="noConversion"/>
  </si>
  <si>
    <t>1200000</t>
    <phoneticPr fontId="55" type="noConversion"/>
  </si>
  <si>
    <t>16,0,2,9,7,3</t>
    <phoneticPr fontId="55" type="noConversion"/>
  </si>
  <si>
    <t>16,0,2,9,4,15,5,12</t>
    <phoneticPr fontId="55" type="noConversion"/>
  </si>
  <si>
    <t>[0.5,2]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</si>
</sst>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000_);[Red]\(0.0000\)"/>
    <numFmt numFmtId="177" formatCode="0_);[Red]\(0\)"/>
    <numFmt numFmtId="178" formatCode="0.0%"/>
    <numFmt numFmtId="179" formatCode="0.0_);[Red]\(0.0\)"/>
    <numFmt numFmtId="180" formatCode="0.00_);[Red]\(0.00\)"/>
    <numFmt numFmtId="181" formatCode="0.000"/>
    <numFmt numFmtId="182" formatCode="0.000000"/>
    <numFmt numFmtId="183" formatCode="0.0_ "/>
    <numFmt numFmtId="184" formatCode="0.0"/>
    <numFmt numFmtId="185" formatCode="0.00_ "/>
  </numFmts>
  <fonts count="56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8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0.5"/>
      <color theme="1"/>
      <name val="Calibri"/>
      <family val="2"/>
    </font>
    <font>
      <sz val="10.5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8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10"/>
      <color rgb="FF00B0F0"/>
      <name val="微软雅黑"/>
      <family val="2"/>
      <charset val="134"/>
    </font>
    <font>
      <b/>
      <sz val="10"/>
      <color rgb="FF00B0F0"/>
      <name val="宋体"/>
      <family val="3"/>
      <charset val="134"/>
    </font>
    <font>
      <b/>
      <vertAlign val="superscript"/>
      <sz val="11"/>
      <color theme="1"/>
      <name val="微软雅黑"/>
      <family val="2"/>
      <charset val="134"/>
    </font>
    <font>
      <b/>
      <sz val="10.5"/>
      <color theme="1"/>
      <name val="Calibri"/>
      <family val="2"/>
    </font>
    <font>
      <b/>
      <i/>
      <sz val="10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u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6"/>
      <name val="宋体"/>
      <family val="3"/>
      <charset val="134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664906765953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0" tint="-0.14667195654164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66490676595355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9" fontId="41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</cellStyleXfs>
  <cellXfs count="36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top" wrapText="1"/>
    </xf>
    <xf numFmtId="0" fontId="2" fillId="0" borderId="0" xfId="0" applyNumberFormat="1" applyFont="1" applyAlignment="1">
      <alignment horizontal="left"/>
    </xf>
    <xf numFmtId="0" fontId="2" fillId="0" borderId="0" xfId="0" applyFont="1"/>
    <xf numFmtId="0" fontId="1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2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center"/>
    </xf>
    <xf numFmtId="49" fontId="2" fillId="6" borderId="0" xfId="0" applyNumberFormat="1" applyFont="1" applyFill="1" applyAlignment="1">
      <alignment horizontal="left" vertical="center"/>
    </xf>
    <xf numFmtId="49" fontId="2" fillId="7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13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176" fontId="2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2" fillId="13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177" fontId="2" fillId="0" borderId="0" xfId="0" applyNumberFormat="1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NumberFormat="1" applyFont="1" applyAlignment="1">
      <alignment horizontal="left" vertical="center"/>
    </xf>
    <xf numFmtId="0" fontId="0" fillId="0" borderId="0" xfId="0" applyFont="1"/>
    <xf numFmtId="0" fontId="2" fillId="5" borderId="0" xfId="0" applyFont="1" applyFill="1" applyAlignment="1">
      <alignment horizontal="center"/>
    </xf>
    <xf numFmtId="0" fontId="18" fillId="15" borderId="0" xfId="0" applyFont="1" applyFill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19" fillId="1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9" fillId="10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178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20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177" fontId="2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2" fillId="16" borderId="2" xfId="0" applyFont="1" applyFill="1" applyBorder="1" applyAlignment="1">
      <alignment horizontal="left" vertical="center"/>
    </xf>
    <xf numFmtId="177" fontId="2" fillId="16" borderId="4" xfId="0" applyNumberFormat="1" applyFont="1" applyFill="1" applyBorder="1" applyAlignment="1">
      <alignment horizontal="left" vertical="center"/>
    </xf>
    <xf numFmtId="0" fontId="2" fillId="16" borderId="5" xfId="0" applyFont="1" applyFill="1" applyBorder="1" applyAlignment="1">
      <alignment horizontal="left" vertical="center"/>
    </xf>
    <xf numFmtId="49" fontId="20" fillId="16" borderId="6" xfId="0" applyNumberFormat="1" applyFont="1" applyFill="1" applyBorder="1" applyAlignment="1">
      <alignment horizontal="left" vertical="center"/>
    </xf>
    <xf numFmtId="0" fontId="2" fillId="16" borderId="6" xfId="0" applyNumberFormat="1" applyFont="1" applyFill="1" applyBorder="1" applyAlignment="1">
      <alignment horizontal="left" vertical="center"/>
    </xf>
    <xf numFmtId="0" fontId="2" fillId="16" borderId="7" xfId="0" applyFont="1" applyFill="1" applyBorder="1" applyAlignment="1">
      <alignment horizontal="left" vertical="center"/>
    </xf>
    <xf numFmtId="0" fontId="2" fillId="16" borderId="9" xfId="0" applyNumberFormat="1" applyFont="1" applyFill="1" applyBorder="1" applyAlignment="1">
      <alignment horizontal="left" vertical="center"/>
    </xf>
    <xf numFmtId="0" fontId="2" fillId="14" borderId="5" xfId="0" applyFont="1" applyFill="1" applyBorder="1" applyAlignment="1">
      <alignment horizontal="left" vertical="center"/>
    </xf>
    <xf numFmtId="177" fontId="2" fillId="14" borderId="6" xfId="0" applyNumberFormat="1" applyFont="1" applyFill="1" applyBorder="1" applyAlignment="1">
      <alignment horizontal="left" vertical="center"/>
    </xf>
    <xf numFmtId="0" fontId="2" fillId="14" borderId="7" xfId="0" applyFont="1" applyFill="1" applyBorder="1" applyAlignment="1">
      <alignment horizontal="left" vertical="center"/>
    </xf>
    <xf numFmtId="177" fontId="20" fillId="14" borderId="9" xfId="0" applyNumberFormat="1" applyFont="1" applyFill="1" applyBorder="1" applyAlignment="1">
      <alignment horizontal="left" vertical="center"/>
    </xf>
    <xf numFmtId="49" fontId="2" fillId="16" borderId="4" xfId="0" applyNumberFormat="1" applyFont="1" applyFill="1" applyBorder="1" applyAlignment="1">
      <alignment horizontal="left" vertical="center"/>
    </xf>
    <xf numFmtId="0" fontId="20" fillId="16" borderId="6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14" borderId="2" xfId="0" applyFont="1" applyFill="1" applyBorder="1" applyAlignment="1">
      <alignment horizontal="left" vertical="center"/>
    </xf>
    <xf numFmtId="49" fontId="20" fillId="14" borderId="4" xfId="0" applyNumberFormat="1" applyFont="1" applyFill="1" applyBorder="1" applyAlignment="1">
      <alignment horizontal="left" vertical="center"/>
    </xf>
    <xf numFmtId="49" fontId="2" fillId="14" borderId="9" xfId="0" applyNumberFormat="1" applyFont="1" applyFill="1" applyBorder="1" applyAlignment="1">
      <alignment horizontal="left" vertical="center"/>
    </xf>
    <xf numFmtId="49" fontId="20" fillId="16" borderId="4" xfId="0" applyNumberFormat="1" applyFont="1" applyFill="1" applyBorder="1" applyAlignment="1">
      <alignment horizontal="left" vertical="center"/>
    </xf>
    <xf numFmtId="0" fontId="2" fillId="14" borderId="4" xfId="0" applyFont="1" applyFill="1" applyBorder="1" applyAlignment="1">
      <alignment horizontal="left" vertical="center"/>
    </xf>
    <xf numFmtId="0" fontId="2" fillId="14" borderId="6" xfId="0" applyFont="1" applyFill="1" applyBorder="1" applyAlignment="1">
      <alignment horizontal="left" vertical="center"/>
    </xf>
    <xf numFmtId="0" fontId="20" fillId="14" borderId="6" xfId="0" applyFont="1" applyFill="1" applyBorder="1" applyAlignment="1">
      <alignment horizontal="left" vertical="center"/>
    </xf>
    <xf numFmtId="0" fontId="20" fillId="14" borderId="9" xfId="0" applyFont="1" applyFill="1" applyBorder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" fillId="14" borderId="9" xfId="0" applyFont="1" applyFill="1" applyBorder="1" applyAlignment="1">
      <alignment horizontal="left" vertical="center"/>
    </xf>
    <xf numFmtId="0" fontId="5" fillId="16" borderId="2" xfId="0" applyFont="1" applyFill="1" applyBorder="1" applyAlignment="1">
      <alignment horizontal="left" vertical="center"/>
    </xf>
    <xf numFmtId="0" fontId="2" fillId="16" borderId="4" xfId="0" applyFont="1" applyFill="1" applyBorder="1" applyAlignment="1">
      <alignment horizontal="left" vertical="center"/>
    </xf>
    <xf numFmtId="0" fontId="5" fillId="16" borderId="7" xfId="0" applyFont="1" applyFill="1" applyBorder="1" applyAlignment="1">
      <alignment horizontal="left" vertical="center"/>
    </xf>
    <xf numFmtId="0" fontId="2" fillId="16" borderId="9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24" fillId="0" borderId="0" xfId="0" applyFont="1"/>
    <xf numFmtId="0" fontId="15" fillId="9" borderId="0" xfId="0" applyFont="1" applyFill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2" fillId="17" borderId="0" xfId="0" applyNumberFormat="1" applyFont="1" applyFill="1" applyAlignment="1">
      <alignment horizontal="left" vertical="center"/>
    </xf>
    <xf numFmtId="49" fontId="20" fillId="17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18" borderId="0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10" fontId="2" fillId="0" borderId="0" xfId="1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0" fontId="2" fillId="0" borderId="6" xfId="1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0" fontId="2" fillId="0" borderId="9" xfId="1" applyNumberFormat="1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0" fontId="2" fillId="0" borderId="8" xfId="1" applyNumberFormat="1" applyFont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left" vertical="center"/>
    </xf>
    <xf numFmtId="181" fontId="2" fillId="0" borderId="0" xfId="0" applyNumberFormat="1" applyFont="1" applyAlignment="1">
      <alignment horizontal="left" vertical="center"/>
    </xf>
    <xf numFmtId="18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6" applyFont="1" applyAlignment="1">
      <alignment horizontal="left"/>
    </xf>
    <xf numFmtId="0" fontId="15" fillId="0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2" fillId="16" borderId="0" xfId="0" applyFont="1" applyFill="1" applyAlignment="1">
      <alignment horizontal="left"/>
    </xf>
    <xf numFmtId="0" fontId="13" fillId="16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6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178" fontId="0" fillId="6" borderId="0" xfId="1" applyNumberFormat="1" applyFont="1" applyFill="1" applyAlignment="1"/>
    <xf numFmtId="0" fontId="2" fillId="11" borderId="4" xfId="0" applyFont="1" applyFill="1" applyBorder="1" applyAlignment="1">
      <alignment horizontal="left" vertical="center"/>
    </xf>
    <xf numFmtId="178" fontId="0" fillId="0" borderId="0" xfId="1" applyNumberFormat="1" applyFont="1" applyAlignment="1"/>
    <xf numFmtId="0" fontId="2" fillId="11" borderId="6" xfId="0" applyFont="1" applyFill="1" applyBorder="1" applyAlignment="1">
      <alignment horizontal="left" vertical="center"/>
    </xf>
    <xf numFmtId="2" fontId="2" fillId="11" borderId="6" xfId="0" applyNumberFormat="1" applyFont="1" applyFill="1" applyBorder="1" applyAlignment="1">
      <alignment horizontal="left" vertical="center"/>
    </xf>
    <xf numFmtId="0" fontId="2" fillId="11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5" fillId="19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20" borderId="0" xfId="0" applyFont="1" applyFill="1" applyAlignment="1">
      <alignment horizontal="left" vertical="center"/>
    </xf>
    <xf numFmtId="183" fontId="2" fillId="0" borderId="0" xfId="0" applyNumberFormat="1" applyFont="1" applyAlignment="1">
      <alignment horizontal="left" vertical="center"/>
    </xf>
    <xf numFmtId="0" fontId="3" fillId="11" borderId="0" xfId="0" applyNumberFormat="1" applyFont="1" applyFill="1" applyAlignment="1">
      <alignment horizontal="left" vertical="center"/>
    </xf>
    <xf numFmtId="0" fontId="14" fillId="21" borderId="0" xfId="0" applyFont="1" applyFill="1" applyAlignment="1">
      <alignment horizontal="left" vertical="center"/>
    </xf>
    <xf numFmtId="0" fontId="3" fillId="19" borderId="0" xfId="0" applyNumberFormat="1" applyFont="1" applyFill="1" applyAlignment="1">
      <alignment horizontal="left" vertical="center"/>
    </xf>
    <xf numFmtId="0" fontId="3" fillId="13" borderId="0" xfId="0" applyNumberFormat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32" fillId="0" borderId="0" xfId="0" applyFont="1" applyAlignment="1">
      <alignment vertical="center"/>
    </xf>
    <xf numFmtId="9" fontId="2" fillId="6" borderId="0" xfId="0" applyNumberFormat="1" applyFont="1" applyFill="1" applyAlignment="1">
      <alignment horizontal="left"/>
    </xf>
    <xf numFmtId="9" fontId="2" fillId="0" borderId="0" xfId="0" applyNumberFormat="1" applyFont="1" applyAlignment="1">
      <alignment horizontal="left"/>
    </xf>
    <xf numFmtId="0" fontId="2" fillId="16" borderId="0" xfId="0" applyFont="1" applyFill="1" applyAlignment="1">
      <alignment horizontal="left" wrapText="1"/>
    </xf>
    <xf numFmtId="0" fontId="6" fillId="16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17" borderId="0" xfId="0" applyFont="1" applyFill="1" applyAlignment="1">
      <alignment horizontal="left" wrapText="1"/>
    </xf>
    <xf numFmtId="0" fontId="16" fillId="17" borderId="0" xfId="0" applyFont="1" applyFill="1" applyAlignment="1">
      <alignment horizontal="left" wrapText="1"/>
    </xf>
    <xf numFmtId="10" fontId="2" fillId="0" borderId="0" xfId="1" applyNumberFormat="1" applyFont="1" applyAlignment="1">
      <alignment horizontal="left"/>
    </xf>
    <xf numFmtId="0" fontId="33" fillId="22" borderId="0" xfId="0" applyFont="1" applyFill="1" applyAlignment="1">
      <alignment horizontal="left" wrapText="1"/>
    </xf>
    <xf numFmtId="9" fontId="3" fillId="0" borderId="0" xfId="0" applyNumberFormat="1" applyFont="1" applyAlignment="1">
      <alignment horizontal="left"/>
    </xf>
    <xf numFmtId="184" fontId="13" fillId="0" borderId="0" xfId="0" applyNumberFormat="1" applyFont="1" applyAlignment="1">
      <alignment horizontal="left"/>
    </xf>
    <xf numFmtId="0" fontId="13" fillId="6" borderId="0" xfId="0" applyFont="1" applyFill="1" applyAlignment="1">
      <alignment horizontal="left"/>
    </xf>
    <xf numFmtId="9" fontId="13" fillId="0" borderId="0" xfId="1" applyFont="1" applyAlignment="1">
      <alignment horizontal="left"/>
    </xf>
    <xf numFmtId="184" fontId="0" fillId="0" borderId="0" xfId="0" applyNumberFormat="1" applyAlignment="1">
      <alignment horizontal="left"/>
    </xf>
    <xf numFmtId="0" fontId="34" fillId="0" borderId="0" xfId="0" applyFont="1" applyAlignment="1">
      <alignment horizontal="left"/>
    </xf>
    <xf numFmtId="0" fontId="1" fillId="2" borderId="13" xfId="0" applyFont="1" applyFill="1" applyBorder="1" applyAlignment="1">
      <alignment horizontal="left" vertical="top" wrapText="1"/>
    </xf>
    <xf numFmtId="9" fontId="0" fillId="6" borderId="0" xfId="1" applyFont="1" applyFill="1" applyAlignment="1">
      <alignment horizontal="left"/>
    </xf>
    <xf numFmtId="0" fontId="35" fillId="0" borderId="0" xfId="0" applyFont="1" applyAlignment="1">
      <alignment horizontal="left"/>
    </xf>
    <xf numFmtId="9" fontId="0" fillId="0" borderId="0" xfId="1" applyFont="1" applyAlignment="1">
      <alignment horizontal="left"/>
    </xf>
    <xf numFmtId="9" fontId="0" fillId="0" borderId="0" xfId="0" applyNumberForma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/>
    <xf numFmtId="0" fontId="36" fillId="0" borderId="0" xfId="0" applyFont="1"/>
    <xf numFmtId="0" fontId="0" fillId="6" borderId="0" xfId="0" applyFill="1" applyAlignment="1">
      <alignment horizontal="left"/>
    </xf>
    <xf numFmtId="1" fontId="0" fillId="0" borderId="0" xfId="0" applyNumberFormat="1" applyAlignment="1">
      <alignment horizontal="left"/>
    </xf>
    <xf numFmtId="185" fontId="0" fillId="0" borderId="0" xfId="0" applyNumberFormat="1" applyAlignment="1">
      <alignment horizontal="left"/>
    </xf>
    <xf numFmtId="0" fontId="3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NumberFormat="1" applyFill="1" applyBorder="1" applyAlignment="1">
      <alignment horizontal="left"/>
    </xf>
    <xf numFmtId="10" fontId="0" fillId="6" borderId="1" xfId="1" applyNumberFormat="1" applyFont="1" applyFill="1" applyBorder="1" applyAlignment="1">
      <alignment horizontal="left"/>
    </xf>
    <xf numFmtId="0" fontId="0" fillId="6" borderId="1" xfId="1" applyNumberFormat="1" applyFont="1" applyFill="1" applyBorder="1" applyAlignment="1">
      <alignment horizontal="left"/>
    </xf>
    <xf numFmtId="10" fontId="0" fillId="0" borderId="0" xfId="0" applyNumberFormat="1" applyAlignment="1">
      <alignment horizontal="left"/>
    </xf>
    <xf numFmtId="9" fontId="0" fillId="6" borderId="1" xfId="0" applyNumberFormat="1" applyFill="1" applyBorder="1" applyAlignment="1">
      <alignment horizontal="left"/>
    </xf>
    <xf numFmtId="2" fontId="0" fillId="0" borderId="1" xfId="0" applyNumberFormat="1" applyFill="1" applyBorder="1" applyAlignment="1">
      <alignment horizontal="left"/>
    </xf>
    <xf numFmtId="9" fontId="0" fillId="0" borderId="1" xfId="0" applyNumberFormat="1" applyFill="1" applyBorder="1" applyAlignment="1">
      <alignment horizontal="left"/>
    </xf>
    <xf numFmtId="2" fontId="0" fillId="0" borderId="0" xfId="0" applyNumberFormat="1" applyAlignment="1">
      <alignment horizontal="left"/>
    </xf>
    <xf numFmtId="178" fontId="13" fillId="0" borderId="0" xfId="1" applyNumberFormat="1" applyFont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15" xfId="0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9" fillId="0" borderId="0" xfId="0" applyFont="1"/>
    <xf numFmtId="0" fontId="39" fillId="0" borderId="0" xfId="0" applyFont="1" applyAlignment="1">
      <alignment horizontal="left"/>
    </xf>
    <xf numFmtId="9" fontId="0" fillId="6" borderId="0" xfId="0" applyNumberFormat="1" applyFill="1" applyAlignment="1">
      <alignment horizontal="left"/>
    </xf>
    <xf numFmtId="1" fontId="0" fillId="6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0" fontId="36" fillId="0" borderId="2" xfId="0" applyFont="1" applyBorder="1"/>
    <xf numFmtId="0" fontId="0" fillId="0" borderId="4" xfId="0" applyBorder="1"/>
    <xf numFmtId="0" fontId="36" fillId="0" borderId="5" xfId="0" applyFont="1" applyBorder="1"/>
    <xf numFmtId="0" fontId="0" fillId="0" borderId="6" xfId="0" applyBorder="1"/>
    <xf numFmtId="9" fontId="0" fillId="0" borderId="6" xfId="0" applyNumberFormat="1" applyBorder="1"/>
    <xf numFmtId="0" fontId="37" fillId="0" borderId="7" xfId="0" applyFont="1" applyBorder="1"/>
    <xf numFmtId="0" fontId="40" fillId="23" borderId="9" xfId="2" applyBorder="1" applyAlignment="1"/>
    <xf numFmtId="0" fontId="37" fillId="0" borderId="2" xfId="0" applyFont="1" applyBorder="1"/>
    <xf numFmtId="9" fontId="36" fillId="0" borderId="3" xfId="0" applyNumberFormat="1" applyFont="1" applyBorder="1" applyAlignment="1">
      <alignment horizontal="left"/>
    </xf>
    <xf numFmtId="0" fontId="37" fillId="0" borderId="5" xfId="0" applyFont="1" applyBorder="1"/>
    <xf numFmtId="0" fontId="36" fillId="0" borderId="0" xfId="0" applyFont="1" applyBorder="1" applyAlignment="1">
      <alignment horizontal="left"/>
    </xf>
    <xf numFmtId="0" fontId="37" fillId="0" borderId="0" xfId="0" applyFont="1" applyBorder="1"/>
    <xf numFmtId="0" fontId="37" fillId="0" borderId="6" xfId="0" applyFont="1" applyBorder="1"/>
    <xf numFmtId="0" fontId="35" fillId="0" borderId="0" xfId="0" applyFont="1" applyBorder="1" applyAlignment="1">
      <alignment horizontal="left"/>
    </xf>
    <xf numFmtId="0" fontId="35" fillId="6" borderId="6" xfId="0" applyFont="1" applyFill="1" applyBorder="1" applyAlignment="1">
      <alignment horizontal="left"/>
    </xf>
    <xf numFmtId="0" fontId="36" fillId="0" borderId="17" xfId="0" applyFont="1" applyBorder="1" applyAlignment="1">
      <alignment horizontal="left"/>
    </xf>
    <xf numFmtId="0" fontId="36" fillId="0" borderId="18" xfId="0" applyFont="1" applyBorder="1" applyAlignment="1">
      <alignment horizontal="left"/>
    </xf>
    <xf numFmtId="1" fontId="0" fillId="0" borderId="6" xfId="0" applyNumberFormat="1" applyBorder="1" applyAlignment="1">
      <alignment horizontal="left"/>
    </xf>
    <xf numFmtId="184" fontId="0" fillId="0" borderId="0" xfId="0" applyNumberFormat="1" applyFont="1" applyBorder="1" applyAlignment="1">
      <alignment horizontal="left"/>
    </xf>
    <xf numFmtId="184" fontId="0" fillId="0" borderId="19" xfId="0" applyNumberFormat="1" applyFont="1" applyBorder="1" applyAlignment="1">
      <alignment horizontal="left"/>
    </xf>
    <xf numFmtId="184" fontId="0" fillId="0" borderId="20" xfId="0" applyNumberFormat="1" applyFont="1" applyBorder="1" applyAlignment="1">
      <alignment horizontal="left"/>
    </xf>
    <xf numFmtId="184" fontId="0" fillId="0" borderId="21" xfId="0" applyNumberFormat="1" applyFont="1" applyBorder="1" applyAlignment="1">
      <alignment horizontal="left"/>
    </xf>
    <xf numFmtId="0" fontId="0" fillId="6" borderId="9" xfId="0" applyFill="1" applyBorder="1" applyAlignment="1">
      <alignment horizontal="left"/>
    </xf>
    <xf numFmtId="0" fontId="36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18" borderId="0" xfId="0" applyFont="1" applyFill="1" applyAlignment="1">
      <alignment horizontal="center" vertical="center" wrapText="1"/>
    </xf>
    <xf numFmtId="0" fontId="2" fillId="18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18" fillId="15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wrapText="1"/>
    </xf>
  </cellXfs>
  <cellStyles count="7">
    <cellStyle name="百分比" xfId="1" builtinId="5"/>
    <cellStyle name="常规" xfId="0" builtinId="0"/>
    <cellStyle name="常规 2" xfId="3"/>
    <cellStyle name="常规 3" xfId="4"/>
    <cellStyle name="常规 4" xfId="5"/>
    <cellStyle name="常规 5" xfId="6"/>
    <cellStyle name="好" xfId="2" builtinId="26"/>
  </cellStyles>
  <dxfs count="98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434340</xdr:colOff>
      <xdr:row>10</xdr:row>
      <xdr:rowOff>138390</xdr:rowOff>
    </xdr:from>
    <xdr:to>
      <xdr:col>27</xdr:col>
      <xdr:colOff>1593446</xdr:colOff>
      <xdr:row>21</xdr:row>
      <xdr:rowOff>1370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45260" y="3277235"/>
          <a:ext cx="3970655" cy="2042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248</xdr:row>
      <xdr:rowOff>60960</xdr:rowOff>
    </xdr:from>
    <xdr:to>
      <xdr:col>6</xdr:col>
      <xdr:colOff>470365</xdr:colOff>
      <xdr:row>250</xdr:row>
      <xdr:rowOff>7577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8960" y="50059590"/>
          <a:ext cx="1361440" cy="342265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3535680</xdr:colOff>
      <xdr:row>278</xdr:row>
      <xdr:rowOff>167640</xdr:rowOff>
    </xdr:from>
    <xdr:to>
      <xdr:col>7</xdr:col>
      <xdr:colOff>266700</xdr:colOff>
      <xdr:row>280</xdr:row>
      <xdr:rowOff>131103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5100" y="56178450"/>
          <a:ext cx="2743200" cy="367030"/>
        </a:xfrm>
        <a:prstGeom prst="rect">
          <a:avLst/>
        </a:prstGeom>
      </xdr:spPr>
    </xdr:pic>
    <xdr:clientData/>
  </xdr:twoCellAnchor>
  <xdr:twoCellAnchor editAs="oneCell">
    <xdr:from>
      <xdr:col>11</xdr:col>
      <xdr:colOff>441960</xdr:colOff>
      <xdr:row>272</xdr:row>
      <xdr:rowOff>149950</xdr:rowOff>
    </xdr:from>
    <xdr:to>
      <xdr:col>25</xdr:col>
      <xdr:colOff>684267</xdr:colOff>
      <xdr:row>279</xdr:row>
      <xdr:rowOff>79797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8180" y="54956710"/>
          <a:ext cx="9629775" cy="1331595"/>
        </a:xfrm>
        <a:prstGeom prst="rect">
          <a:avLst/>
        </a:prstGeom>
      </xdr:spPr>
    </xdr:pic>
    <xdr:clientData/>
  </xdr:twoCellAnchor>
  <xdr:twoCellAnchor editAs="oneCell">
    <xdr:from>
      <xdr:col>11</xdr:col>
      <xdr:colOff>525780</xdr:colOff>
      <xdr:row>288</xdr:row>
      <xdr:rowOff>53341</xdr:rowOff>
    </xdr:from>
    <xdr:to>
      <xdr:col>18</xdr:col>
      <xdr:colOff>619792</xdr:colOff>
      <xdr:row>298</xdr:row>
      <xdr:rowOff>76201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02000" y="58060590"/>
          <a:ext cx="4726940" cy="2004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sh\tech\json_fish_8980\&#40060;&#28846;VIP&#36947;&#20855;&#20840;&#23616;&#34920;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炮解锁|CannonUnlock"/>
      <sheetName val="全局参数|GlobalPar"/>
      <sheetName val="VIP升级|VIPUp"/>
      <sheetName val="弹头价值|Dantou"/>
      <sheetName val="道具|Item"/>
      <sheetName val="道具|Item-f"/>
      <sheetName val="鱼属性|FishAttribute"/>
      <sheetName val="track属性|TrackAttribute"/>
    </sheetNames>
    <sheetDataSet>
      <sheetData sheetId="0"/>
      <sheetData sheetId="1"/>
      <sheetData sheetId="2"/>
      <sheetData sheetId="3"/>
      <sheetData sheetId="4"/>
      <sheetData sheetId="5"/>
      <sheetData sheetId="6">
        <row r="61">
          <cell r="E61">
            <v>400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X73"/>
  <sheetViews>
    <sheetView workbookViewId="0">
      <pane xSplit="1" ySplit="4" topLeftCell="AM20" activePane="bottomRight" state="frozen"/>
      <selection pane="topRight"/>
      <selection pane="bottomLeft"/>
      <selection pane="bottomRight" activeCell="CI13" sqref="CI13"/>
    </sheetView>
  </sheetViews>
  <sheetFormatPr defaultColWidth="9" defaultRowHeight="15.6" outlineLevelCol="1" x14ac:dyDescent="0.35"/>
  <cols>
    <col min="1" max="1" width="12.33203125" style="24" customWidth="1"/>
    <col min="2" max="2" width="14.44140625" style="24" hidden="1" customWidth="1"/>
    <col min="3" max="3" width="13.77734375" style="24" customWidth="1"/>
    <col min="4" max="4" width="14.109375" style="24" customWidth="1"/>
    <col min="5" max="5" width="21.109375" style="24" customWidth="1"/>
    <col min="6" max="6" width="20.33203125" style="24" customWidth="1"/>
    <col min="7" max="7" width="11.33203125" style="24" customWidth="1"/>
    <col min="8" max="8" width="14.109375" style="24" customWidth="1"/>
    <col min="9" max="9" width="17.21875" style="24" customWidth="1"/>
    <col min="10" max="10" width="41.21875" style="24" customWidth="1"/>
    <col min="11" max="12" width="17.21875" style="24" customWidth="1"/>
    <col min="13" max="21" width="12.44140625" style="24" customWidth="1"/>
    <col min="22" max="22" width="46.109375" style="24" customWidth="1"/>
    <col min="23" max="23" width="9.88671875" style="24" customWidth="1"/>
    <col min="24" max="24" width="17.109375" style="24" customWidth="1"/>
    <col min="25" max="27" width="13.6640625" style="24" customWidth="1"/>
    <col min="28" max="28" width="32.33203125" style="24" customWidth="1"/>
    <col min="29" max="29" width="34.33203125" style="24" customWidth="1"/>
    <col min="30" max="30" width="12.109375" style="24" customWidth="1"/>
    <col min="31" max="31" width="18.88671875" style="24" customWidth="1"/>
    <col min="32" max="32" width="9.77734375" style="24" customWidth="1"/>
    <col min="33" max="33" width="23.6640625" style="24" customWidth="1"/>
    <col min="34" max="37" width="14.21875" style="24" customWidth="1"/>
    <col min="38" max="38" width="23.33203125" style="24" customWidth="1"/>
    <col min="39" max="40" width="14.21875" style="24" customWidth="1"/>
    <col min="41" max="41" width="15.44140625" style="24" customWidth="1"/>
    <col min="42" max="42" width="17.77734375" style="24" customWidth="1"/>
    <col min="43" max="43" width="31.44140625" style="24" customWidth="1"/>
    <col min="44" max="44" width="16.77734375" style="24" customWidth="1"/>
    <col min="45" max="45" width="14.21875" style="24" hidden="1" customWidth="1" outlineLevel="1"/>
    <col min="46" max="46" width="9.6640625" style="24" hidden="1" customWidth="1" outlineLevel="1"/>
    <col min="47" max="47" width="13.21875" style="24" hidden="1" customWidth="1" outlineLevel="1"/>
    <col min="48" max="48" width="11.44140625" style="24" hidden="1" customWidth="1" outlineLevel="1"/>
    <col min="49" max="49" width="9.109375" style="24" hidden="1" customWidth="1" outlineLevel="1"/>
    <col min="50" max="50" width="9" style="143" hidden="1" customWidth="1" outlineLevel="1"/>
    <col min="51" max="51" width="13.109375" style="143" hidden="1" customWidth="1" outlineLevel="1"/>
    <col min="52" max="52" width="10.6640625" style="212" hidden="1" customWidth="1" outlineLevel="1"/>
    <col min="53" max="53" width="9.33203125" style="212" hidden="1" customWidth="1" outlineLevel="1"/>
    <col min="54" max="54" width="12.44140625" style="212" hidden="1" customWidth="1" outlineLevel="1"/>
    <col min="55" max="55" width="10.88671875" style="212" hidden="1" customWidth="1" outlineLevel="1"/>
    <col min="56" max="56" width="10.21875" style="212" hidden="1" customWidth="1" outlineLevel="1"/>
    <col min="57" max="57" width="10.88671875" style="212" hidden="1" customWidth="1" outlineLevel="1"/>
    <col min="58" max="59" width="10.21875" style="212" hidden="1" customWidth="1" outlineLevel="1"/>
    <col min="60" max="60" width="8.44140625" style="212" hidden="1" customWidth="1" outlineLevel="1"/>
    <col min="61" max="61" width="10.77734375" style="212" hidden="1" customWidth="1" outlineLevel="1"/>
    <col min="62" max="62" width="10.21875" style="212" hidden="1" customWidth="1" outlineLevel="1"/>
    <col min="63" max="63" width="7.6640625" style="212" hidden="1" customWidth="1" outlineLevel="1"/>
    <col min="64" max="65" width="10.21875" style="212" hidden="1" customWidth="1" outlineLevel="1"/>
    <col min="66" max="66" width="8.44140625" style="212" hidden="1" customWidth="1" outlineLevel="1"/>
    <col min="67" max="67" width="10.21875" style="212" hidden="1" customWidth="1" outlineLevel="1"/>
    <col min="68" max="71" width="9.44140625" style="143" hidden="1" customWidth="1" outlineLevel="1"/>
    <col min="72" max="72" width="8.21875" style="143" hidden="1" customWidth="1" outlineLevel="1"/>
    <col min="73" max="83" width="9.44140625" style="143" hidden="1" customWidth="1" outlineLevel="1"/>
    <col min="84" max="84" width="13.77734375" style="143" hidden="1" customWidth="1" outlineLevel="1"/>
    <col min="85" max="85" width="8.88671875" style="143" customWidth="1" collapsed="1"/>
    <col min="86" max="97" width="8.88671875" style="143" customWidth="1"/>
    <col min="98" max="98" width="8.88671875" style="143" customWidth="1" collapsed="1"/>
    <col min="99" max="101" width="8.88671875" style="143" customWidth="1"/>
    <col min="102" max="102" width="16.109375" style="31" hidden="1" customWidth="1" outlineLevel="1"/>
    <col min="103" max="103" width="11" style="31" hidden="1" customWidth="1" outlineLevel="1"/>
    <col min="104" max="104" width="9" style="31" hidden="1" customWidth="1" outlineLevel="1"/>
    <col min="105" max="105" width="12.44140625" style="31" hidden="1" customWidth="1" outlineLevel="1"/>
    <col min="106" max="107" width="9.109375" style="31" hidden="1" customWidth="1" outlineLevel="1"/>
    <col min="108" max="108" width="10.21875" style="31" hidden="1" customWidth="1" outlineLevel="1"/>
    <col min="109" max="109" width="9.109375" style="31" hidden="1" customWidth="1" outlineLevel="1"/>
    <col min="110" max="110" width="12" style="31" hidden="1" customWidth="1" outlineLevel="1"/>
    <col min="111" max="111" width="9.21875" style="31" hidden="1" customWidth="1" outlineLevel="1"/>
    <col min="112" max="113" width="9.109375" style="31" hidden="1" customWidth="1" outlineLevel="1"/>
    <col min="114" max="114" width="11.88671875" style="31" hidden="1" customWidth="1" outlineLevel="1"/>
    <col min="115" max="117" width="9.21875" style="31" hidden="1" customWidth="1" outlineLevel="1"/>
    <col min="118" max="118" width="10.44140625" style="31" hidden="1" customWidth="1" outlineLevel="1"/>
    <col min="119" max="121" width="9.21875" style="31" hidden="1" customWidth="1" outlineLevel="1"/>
    <col min="122" max="122" width="9" customWidth="1" collapsed="1"/>
    <col min="123" max="124" width="9" customWidth="1"/>
    <col min="125" max="125" width="10" customWidth="1"/>
    <col min="126" max="126" width="10.77734375" customWidth="1"/>
    <col min="127" max="127" width="7.109375" customWidth="1"/>
    <col min="128" max="128" width="6" customWidth="1"/>
    <col min="129" max="129" width="11.5546875" customWidth="1"/>
    <col min="130" max="130" width="13.21875" customWidth="1"/>
    <col min="131" max="131" width="10" customWidth="1"/>
    <col min="132" max="132" width="12.109375" customWidth="1"/>
    <col min="133" max="133" width="10" customWidth="1"/>
    <col min="134" max="136" width="7.109375" customWidth="1"/>
    <col min="138" max="138" width="10.88671875" customWidth="1"/>
    <col min="139" max="139" width="12.77734375" customWidth="1"/>
    <col min="140" max="140" width="13.33203125" customWidth="1"/>
    <col min="141" max="141" width="15.33203125" customWidth="1"/>
    <col min="142" max="142" width="10.33203125" customWidth="1"/>
    <col min="143" max="143" width="10" customWidth="1"/>
    <col min="145" max="145" width="11" customWidth="1"/>
    <col min="146" max="146" width="10.6640625" customWidth="1"/>
    <col min="148" max="148" width="15.88671875" customWidth="1"/>
    <col min="149" max="150" width="10.88671875" customWidth="1"/>
    <col min="151" max="151" width="10.5546875" customWidth="1"/>
  </cols>
  <sheetData>
    <row r="1" spans="1:154" s="2" customFormat="1" ht="16.2" customHeight="1" x14ac:dyDescent="0.4">
      <c r="A1" s="3" t="s">
        <v>0</v>
      </c>
      <c r="B1" s="3" t="s">
        <v>0</v>
      </c>
      <c r="C1" s="3" t="s">
        <v>1</v>
      </c>
      <c r="D1" s="34" t="s">
        <v>1</v>
      </c>
      <c r="E1" s="34" t="s">
        <v>1</v>
      </c>
      <c r="F1" s="34" t="s">
        <v>0</v>
      </c>
      <c r="G1" s="213" t="s">
        <v>1</v>
      </c>
      <c r="H1" s="3" t="s">
        <v>1</v>
      </c>
      <c r="I1" s="223" t="s">
        <v>0</v>
      </c>
      <c r="J1" s="223" t="s">
        <v>0</v>
      </c>
      <c r="K1" s="223" t="s">
        <v>1</v>
      </c>
      <c r="L1" s="223" t="s">
        <v>1</v>
      </c>
      <c r="M1" s="3" t="s">
        <v>0</v>
      </c>
      <c r="N1" s="3" t="s">
        <v>0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223" t="s">
        <v>1</v>
      </c>
      <c r="V1" s="223" t="s">
        <v>0</v>
      </c>
      <c r="W1" s="223" t="s">
        <v>1</v>
      </c>
      <c r="X1" s="223" t="s">
        <v>0</v>
      </c>
      <c r="Y1" s="223" t="s">
        <v>0</v>
      </c>
      <c r="Z1" s="223" t="s">
        <v>0</v>
      </c>
      <c r="AA1" s="223" t="s">
        <v>0</v>
      </c>
      <c r="AB1" s="223" t="s">
        <v>0</v>
      </c>
      <c r="AC1" s="34" t="s">
        <v>0</v>
      </c>
      <c r="AD1" s="34" t="s">
        <v>0</v>
      </c>
      <c r="AE1" s="3" t="s">
        <v>0</v>
      </c>
      <c r="AF1" s="3" t="s">
        <v>1</v>
      </c>
      <c r="AG1" s="3" t="s">
        <v>0</v>
      </c>
      <c r="AH1" s="3" t="s">
        <v>0</v>
      </c>
      <c r="AI1" s="34" t="s">
        <v>0</v>
      </c>
      <c r="AJ1" s="34" t="s">
        <v>0</v>
      </c>
      <c r="AK1" s="34" t="s">
        <v>0</v>
      </c>
      <c r="AL1" s="3" t="s">
        <v>1</v>
      </c>
      <c r="AM1" s="3" t="s">
        <v>1</v>
      </c>
      <c r="AN1" s="3" t="s">
        <v>1</v>
      </c>
      <c r="AO1" s="3" t="s">
        <v>1</v>
      </c>
      <c r="AP1" s="3" t="s">
        <v>1</v>
      </c>
      <c r="AQ1" s="3" t="s">
        <v>1</v>
      </c>
      <c r="AR1" s="3" t="s">
        <v>1</v>
      </c>
      <c r="AS1" s="340" t="s">
        <v>2</v>
      </c>
      <c r="AT1" s="340"/>
      <c r="AU1" s="340"/>
      <c r="AV1" s="340"/>
      <c r="AW1" s="340"/>
      <c r="AX1" s="340"/>
      <c r="AY1" s="340"/>
      <c r="AZ1" s="340"/>
      <c r="BA1" s="340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Q1" s="2" t="s">
        <v>3</v>
      </c>
      <c r="BR1" s="341" t="s">
        <v>4</v>
      </c>
      <c r="BS1" s="342"/>
      <c r="BT1" s="2">
        <f>$A5*BT5</f>
        <v>1000</v>
      </c>
      <c r="BU1" s="347" t="s">
        <v>5</v>
      </c>
      <c r="BV1" s="348"/>
      <c r="BW1" s="2">
        <v>1200</v>
      </c>
      <c r="BX1" s="343" t="s">
        <v>6</v>
      </c>
      <c r="BY1" s="344"/>
      <c r="BZ1" s="2">
        <f>$A5*BZ5</f>
        <v>1000</v>
      </c>
      <c r="CA1" s="343" t="s">
        <v>7</v>
      </c>
      <c r="CB1" s="344"/>
      <c r="CC1" s="2">
        <v>1200</v>
      </c>
      <c r="CD1" s="345" t="s">
        <v>8</v>
      </c>
      <c r="CE1" s="346"/>
      <c r="CF1" s="176">
        <f>A9*20+100000</f>
        <v>102000</v>
      </c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24" t="s">
        <v>9</v>
      </c>
      <c r="CY1" s="24">
        <v>20</v>
      </c>
      <c r="CZ1" s="24"/>
      <c r="DA1" s="24" t="s">
        <v>10</v>
      </c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</row>
    <row r="2" spans="1:154" s="2" customFormat="1" ht="16.2" x14ac:dyDescent="0.4">
      <c r="A2" s="3" t="s">
        <v>11</v>
      </c>
      <c r="B2" s="3" t="s">
        <v>11</v>
      </c>
      <c r="C2" s="3" t="s">
        <v>12</v>
      </c>
      <c r="D2" s="3" t="s">
        <v>13</v>
      </c>
      <c r="E2" s="3" t="s">
        <v>11</v>
      </c>
      <c r="F2" s="34" t="s">
        <v>11</v>
      </c>
      <c r="G2" s="213" t="s">
        <v>11</v>
      </c>
      <c r="H2" s="3" t="s">
        <v>11</v>
      </c>
      <c r="I2" s="223" t="s">
        <v>11</v>
      </c>
      <c r="J2" s="3" t="s">
        <v>12</v>
      </c>
      <c r="K2" s="223" t="s">
        <v>11</v>
      </c>
      <c r="L2" s="223" t="s">
        <v>11</v>
      </c>
      <c r="M2" s="3" t="s">
        <v>11</v>
      </c>
      <c r="N2" s="3" t="s">
        <v>11</v>
      </c>
      <c r="O2" s="3" t="s">
        <v>11</v>
      </c>
      <c r="P2" s="3" t="s">
        <v>11</v>
      </c>
      <c r="Q2" s="3" t="s">
        <v>11</v>
      </c>
      <c r="R2" s="3" t="s">
        <v>11</v>
      </c>
      <c r="S2" s="3" t="s">
        <v>11</v>
      </c>
      <c r="T2" s="3" t="s">
        <v>11</v>
      </c>
      <c r="U2" s="3" t="s">
        <v>11</v>
      </c>
      <c r="V2" s="223" t="s">
        <v>12</v>
      </c>
      <c r="W2" s="223" t="s">
        <v>11</v>
      </c>
      <c r="X2" s="223" t="s">
        <v>12</v>
      </c>
      <c r="Y2" s="223" t="s">
        <v>12</v>
      </c>
      <c r="Z2" s="223" t="s">
        <v>11</v>
      </c>
      <c r="AA2" s="223" t="s">
        <v>11</v>
      </c>
      <c r="AB2" s="223" t="s">
        <v>12</v>
      </c>
      <c r="AC2" s="34" t="s">
        <v>12</v>
      </c>
      <c r="AD2" s="34" t="s">
        <v>12</v>
      </c>
      <c r="AE2" s="3" t="s">
        <v>11</v>
      </c>
      <c r="AF2" s="3" t="s">
        <v>11</v>
      </c>
      <c r="AG2" s="3" t="s">
        <v>12</v>
      </c>
      <c r="AH2" s="3" t="s">
        <v>12</v>
      </c>
      <c r="AI2" s="34" t="s">
        <v>12</v>
      </c>
      <c r="AJ2" s="34" t="s">
        <v>12</v>
      </c>
      <c r="AK2" s="34" t="s">
        <v>11</v>
      </c>
      <c r="AL2" s="3" t="s">
        <v>14</v>
      </c>
      <c r="AM2" s="3" t="s">
        <v>14</v>
      </c>
      <c r="AN2" s="3" t="s">
        <v>14</v>
      </c>
      <c r="AO2" s="3" t="s">
        <v>14</v>
      </c>
      <c r="AP2" s="3" t="s">
        <v>14</v>
      </c>
      <c r="AQ2" s="3" t="s">
        <v>14</v>
      </c>
      <c r="AR2" s="3" t="s">
        <v>13</v>
      </c>
      <c r="AS2" s="340"/>
      <c r="AT2" s="340"/>
      <c r="AU2" s="340"/>
      <c r="AV2" s="340"/>
      <c r="AW2" s="340"/>
      <c r="AX2" s="340"/>
      <c r="AY2" s="340"/>
      <c r="AZ2" s="340"/>
      <c r="BA2" s="340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Q2" s="2" t="s">
        <v>15</v>
      </c>
      <c r="BR2" s="342"/>
      <c r="BS2" s="342"/>
      <c r="BT2" s="2">
        <f>$A10*BT10</f>
        <v>10000</v>
      </c>
      <c r="BU2" s="348"/>
      <c r="BV2" s="348"/>
      <c r="BW2" s="2">
        <v>12000</v>
      </c>
      <c r="BX2" s="344"/>
      <c r="BY2" s="344"/>
      <c r="BZ2" s="2">
        <f>$A10*BZ10</f>
        <v>10000</v>
      </c>
      <c r="CA2" s="344"/>
      <c r="CB2" s="344"/>
      <c r="CC2" s="2">
        <v>12000</v>
      </c>
      <c r="CD2" s="346"/>
      <c r="CE2" s="346"/>
      <c r="CF2" s="176">
        <f>A14*20+1000000</f>
        <v>1020000</v>
      </c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24" t="s">
        <v>16</v>
      </c>
      <c r="CY2" s="24">
        <v>30</v>
      </c>
      <c r="CZ2" s="24"/>
      <c r="DA2" s="349" t="s">
        <v>17</v>
      </c>
      <c r="DB2" s="349"/>
      <c r="DC2" s="349"/>
      <c r="DD2" s="349"/>
      <c r="DE2" s="24"/>
      <c r="DF2" s="350" t="s">
        <v>18</v>
      </c>
      <c r="DG2" s="350"/>
      <c r="DH2" s="350"/>
      <c r="DI2" s="350"/>
      <c r="DJ2" s="350"/>
      <c r="DK2" s="350"/>
      <c r="DL2" s="350"/>
      <c r="DM2" s="350"/>
      <c r="DN2" s="350"/>
      <c r="DO2" s="350"/>
      <c r="DP2" s="350"/>
      <c r="DQ2" s="350"/>
    </row>
    <row r="3" spans="1:154" s="2" customFormat="1" ht="16.2" x14ac:dyDescent="0.4">
      <c r="A3" s="3" t="s">
        <v>19</v>
      </c>
      <c r="B3" s="3" t="s">
        <v>20</v>
      </c>
      <c r="C3" s="214" t="s">
        <v>21</v>
      </c>
      <c r="D3" s="214" t="s">
        <v>22</v>
      </c>
      <c r="E3" s="214" t="s">
        <v>23</v>
      </c>
      <c r="F3" s="215" t="s">
        <v>24</v>
      </c>
      <c r="G3" s="216" t="s">
        <v>25</v>
      </c>
      <c r="H3" s="217" t="s">
        <v>26</v>
      </c>
      <c r="I3" s="224" t="s">
        <v>27</v>
      </c>
      <c r="J3" s="224" t="s">
        <v>28</v>
      </c>
      <c r="K3" s="224" t="s">
        <v>29</v>
      </c>
      <c r="L3" s="224" t="s">
        <v>30</v>
      </c>
      <c r="M3" s="217" t="s">
        <v>31</v>
      </c>
      <c r="N3" s="217" t="s">
        <v>32</v>
      </c>
      <c r="O3" s="217" t="s">
        <v>33</v>
      </c>
      <c r="P3" s="217" t="s">
        <v>34</v>
      </c>
      <c r="Q3" s="217" t="s">
        <v>35</v>
      </c>
      <c r="R3" s="217" t="s">
        <v>36</v>
      </c>
      <c r="S3" s="217" t="s">
        <v>37</v>
      </c>
      <c r="T3" s="217" t="s">
        <v>38</v>
      </c>
      <c r="U3" s="217" t="s">
        <v>39</v>
      </c>
      <c r="V3" s="223" t="s">
        <v>40</v>
      </c>
      <c r="W3" s="223" t="s">
        <v>41</v>
      </c>
      <c r="X3" s="230" t="s">
        <v>42</v>
      </c>
      <c r="Y3" s="223" t="s">
        <v>43</v>
      </c>
      <c r="Z3" s="223" t="s">
        <v>44</v>
      </c>
      <c r="AA3" s="223" t="s">
        <v>45</v>
      </c>
      <c r="AB3" s="223" t="s">
        <v>46</v>
      </c>
      <c r="AC3" s="34" t="s">
        <v>47</v>
      </c>
      <c r="AD3" s="34" t="s">
        <v>48</v>
      </c>
      <c r="AE3" s="3" t="s">
        <v>49</v>
      </c>
      <c r="AF3" s="213" t="s">
        <v>50</v>
      </c>
      <c r="AG3" s="213" t="s">
        <v>51</v>
      </c>
      <c r="AH3" s="213" t="s">
        <v>52</v>
      </c>
      <c r="AI3" s="34" t="s">
        <v>53</v>
      </c>
      <c r="AJ3" s="34" t="s">
        <v>54</v>
      </c>
      <c r="AK3" s="34" t="s">
        <v>55</v>
      </c>
      <c r="AL3" s="34" t="s">
        <v>56</v>
      </c>
      <c r="AM3" s="34" t="s">
        <v>57</v>
      </c>
      <c r="AN3" s="34" t="s">
        <v>58</v>
      </c>
      <c r="AO3" s="3" t="s">
        <v>59</v>
      </c>
      <c r="AP3" s="3" t="s">
        <v>60</v>
      </c>
      <c r="AQ3" s="3" t="s">
        <v>61</v>
      </c>
      <c r="AR3" s="3" t="s">
        <v>62</v>
      </c>
      <c r="AS3" s="351" t="s">
        <v>57</v>
      </c>
      <c r="AT3" s="351"/>
      <c r="AU3" s="351"/>
      <c r="AV3" s="24"/>
      <c r="AW3" s="24"/>
      <c r="AX3" s="351" t="s">
        <v>56</v>
      </c>
      <c r="AY3" s="351"/>
      <c r="AZ3" s="351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59"/>
      <c r="BQ3" s="259" t="s">
        <v>63</v>
      </c>
      <c r="BR3" s="342"/>
      <c r="BS3" s="342"/>
      <c r="BT3" s="2">
        <f>$A15*BT15</f>
        <v>100000</v>
      </c>
      <c r="BU3" s="348"/>
      <c r="BV3" s="348"/>
      <c r="BW3" s="2">
        <v>120000</v>
      </c>
      <c r="BX3" s="344"/>
      <c r="BY3" s="344"/>
      <c r="BZ3" s="2">
        <f>$A15*BZ15</f>
        <v>100000</v>
      </c>
      <c r="CA3" s="344"/>
      <c r="CB3" s="344"/>
      <c r="CC3" s="2">
        <v>120000</v>
      </c>
      <c r="CD3" s="346"/>
      <c r="CE3" s="346"/>
      <c r="CF3" s="176">
        <f>A19*20+10000000</f>
        <v>10200000</v>
      </c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24" t="s">
        <v>64</v>
      </c>
      <c r="CY3" s="24">
        <v>50</v>
      </c>
      <c r="CZ3" s="24"/>
      <c r="DA3" s="352" t="s">
        <v>65</v>
      </c>
      <c r="DB3" s="352"/>
      <c r="DC3" s="352"/>
      <c r="DD3" s="352"/>
      <c r="DE3" s="24"/>
      <c r="DF3" s="24" t="s">
        <v>66</v>
      </c>
      <c r="DG3" s="24"/>
      <c r="DH3" s="24"/>
      <c r="DI3" s="24"/>
      <c r="DJ3" s="24" t="s">
        <v>67</v>
      </c>
      <c r="DK3" s="24"/>
      <c r="DL3" s="24"/>
      <c r="DM3" s="24"/>
      <c r="DN3" s="24" t="s">
        <v>68</v>
      </c>
      <c r="DO3" s="24"/>
      <c r="DP3" s="24"/>
      <c r="DQ3" s="24"/>
    </row>
    <row r="4" spans="1:154" s="2" customFormat="1" ht="105.6" x14ac:dyDescent="0.4">
      <c r="A4" s="5" t="s">
        <v>69</v>
      </c>
      <c r="B4" s="5" t="s">
        <v>70</v>
      </c>
      <c r="C4" s="5" t="s">
        <v>71</v>
      </c>
      <c r="D4" s="5" t="s">
        <v>72</v>
      </c>
      <c r="E4" s="5" t="s">
        <v>73</v>
      </c>
      <c r="F4" s="218" t="s">
        <v>74</v>
      </c>
      <c r="G4" s="219" t="s">
        <v>75</v>
      </c>
      <c r="H4" s="219" t="s">
        <v>76</v>
      </c>
      <c r="I4" s="225" t="s">
        <v>77</v>
      </c>
      <c r="J4" s="225" t="s">
        <v>78</v>
      </c>
      <c r="K4" s="32" t="s">
        <v>79</v>
      </c>
      <c r="L4" s="32" t="s">
        <v>80</v>
      </c>
      <c r="M4" s="226" t="s">
        <v>81</v>
      </c>
      <c r="N4" s="226" t="s">
        <v>82</v>
      </c>
      <c r="O4" s="226" t="s">
        <v>83</v>
      </c>
      <c r="P4" s="226" t="s">
        <v>84</v>
      </c>
      <c r="Q4" s="226" t="s">
        <v>85</v>
      </c>
      <c r="R4" s="226" t="s">
        <v>86</v>
      </c>
      <c r="S4" s="226" t="s">
        <v>87</v>
      </c>
      <c r="T4" s="226" t="s">
        <v>88</v>
      </c>
      <c r="U4" s="226" t="s">
        <v>89</v>
      </c>
      <c r="V4" s="18" t="s">
        <v>90</v>
      </c>
      <c r="W4" s="18" t="s">
        <v>91</v>
      </c>
      <c r="X4" s="231" t="s">
        <v>92</v>
      </c>
      <c r="Y4" s="18" t="s">
        <v>93</v>
      </c>
      <c r="Z4" s="18" t="s">
        <v>94</v>
      </c>
      <c r="AA4" s="18" t="s">
        <v>95</v>
      </c>
      <c r="AB4" s="18" t="s">
        <v>96</v>
      </c>
      <c r="AC4" s="36" t="s">
        <v>97</v>
      </c>
      <c r="AD4" s="36" t="s">
        <v>98</v>
      </c>
      <c r="AE4" s="5" t="s">
        <v>99</v>
      </c>
      <c r="AF4" s="5" t="s">
        <v>100</v>
      </c>
      <c r="AG4" s="5" t="s">
        <v>101</v>
      </c>
      <c r="AH4" s="5" t="s">
        <v>102</v>
      </c>
      <c r="AI4" s="5" t="s">
        <v>103</v>
      </c>
      <c r="AJ4" s="5" t="s">
        <v>104</v>
      </c>
      <c r="AK4" s="5" t="s">
        <v>105</v>
      </c>
      <c r="AL4" s="5" t="s">
        <v>106</v>
      </c>
      <c r="AM4" s="5" t="s">
        <v>107</v>
      </c>
      <c r="AN4" s="5" t="s">
        <v>108</v>
      </c>
      <c r="AO4" s="5" t="s">
        <v>109</v>
      </c>
      <c r="AP4" s="5" t="s">
        <v>110</v>
      </c>
      <c r="AQ4" s="5" t="s">
        <v>111</v>
      </c>
      <c r="AR4" s="5" t="s">
        <v>112</v>
      </c>
      <c r="AS4" s="236" t="s">
        <v>113</v>
      </c>
      <c r="AT4" s="237" t="s">
        <v>114</v>
      </c>
      <c r="AU4" s="238" t="s">
        <v>115</v>
      </c>
      <c r="AV4" s="24"/>
      <c r="AW4" s="246" t="s">
        <v>116</v>
      </c>
      <c r="AX4" s="236" t="s">
        <v>113</v>
      </c>
      <c r="AY4" s="236" t="s">
        <v>114</v>
      </c>
      <c r="AZ4" s="238" t="s">
        <v>115</v>
      </c>
      <c r="BA4" s="102" t="s">
        <v>117</v>
      </c>
      <c r="BB4" s="247" t="s">
        <v>118</v>
      </c>
      <c r="BC4" s="248" t="s">
        <v>119</v>
      </c>
      <c r="BD4" s="245"/>
      <c r="BE4" s="245"/>
      <c r="BF4" s="245"/>
      <c r="BG4" s="245" t="s">
        <v>120</v>
      </c>
      <c r="BH4" s="245" t="s">
        <v>121</v>
      </c>
      <c r="BI4" s="245" t="s">
        <v>122</v>
      </c>
      <c r="BJ4" s="245"/>
      <c r="BK4" s="245"/>
      <c r="BL4" s="245"/>
      <c r="BM4" s="245"/>
      <c r="BN4" s="245"/>
      <c r="BO4" s="245"/>
      <c r="BQ4" s="22" t="s">
        <v>123</v>
      </c>
      <c r="BR4" s="236" t="s">
        <v>124</v>
      </c>
      <c r="BS4" s="236" t="s">
        <v>114</v>
      </c>
      <c r="BT4" s="238" t="s">
        <v>125</v>
      </c>
      <c r="BU4" s="198" t="s">
        <v>126</v>
      </c>
      <c r="BV4" s="257" t="s">
        <v>127</v>
      </c>
      <c r="BW4" s="265" t="s">
        <v>128</v>
      </c>
      <c r="BX4" s="198" t="s">
        <v>129</v>
      </c>
      <c r="BY4" s="257" t="s">
        <v>127</v>
      </c>
      <c r="BZ4" s="257" t="s">
        <v>130</v>
      </c>
      <c r="CA4" s="198" t="s">
        <v>131</v>
      </c>
      <c r="CB4" s="257" t="s">
        <v>127</v>
      </c>
      <c r="CC4" s="257" t="s">
        <v>130</v>
      </c>
      <c r="CD4" s="198" t="s">
        <v>132</v>
      </c>
      <c r="CE4" s="257" t="s">
        <v>127</v>
      </c>
      <c r="CF4" s="265" t="s">
        <v>133</v>
      </c>
      <c r="CG4" s="241"/>
      <c r="CH4" s="241"/>
      <c r="CI4" s="241"/>
      <c r="CJ4" s="241"/>
      <c r="CK4" s="241"/>
      <c r="CL4" s="241"/>
      <c r="CM4" s="241"/>
      <c r="CN4" s="241"/>
      <c r="CO4" s="241"/>
      <c r="CP4" s="241"/>
      <c r="CQ4" s="241"/>
      <c r="CR4" s="241"/>
      <c r="CS4" s="239"/>
      <c r="CT4" s="266"/>
      <c r="CU4" s="266"/>
      <c r="CV4" s="266"/>
      <c r="CW4" s="266"/>
      <c r="CZ4" s="24"/>
      <c r="DA4" s="269" t="s">
        <v>134</v>
      </c>
      <c r="DB4" s="270" t="s">
        <v>135</v>
      </c>
      <c r="DC4" s="270" t="s">
        <v>136</v>
      </c>
      <c r="DD4" s="270" t="s">
        <v>137</v>
      </c>
      <c r="DE4" s="271"/>
      <c r="DF4" s="272" t="s">
        <v>138</v>
      </c>
      <c r="DG4" s="273" t="s">
        <v>139</v>
      </c>
      <c r="DH4" s="273" t="s">
        <v>140</v>
      </c>
      <c r="DI4" s="273" t="s">
        <v>141</v>
      </c>
      <c r="DJ4" s="269" t="s">
        <v>138</v>
      </c>
      <c r="DK4" s="269" t="s">
        <v>139</v>
      </c>
      <c r="DL4" s="269" t="s">
        <v>140</v>
      </c>
      <c r="DM4" s="269" t="s">
        <v>141</v>
      </c>
      <c r="DN4" s="275" t="s">
        <v>138</v>
      </c>
      <c r="DO4" s="275" t="s">
        <v>139</v>
      </c>
      <c r="DP4" s="275" t="s">
        <v>140</v>
      </c>
      <c r="DQ4" s="275" t="s">
        <v>141</v>
      </c>
    </row>
    <row r="5" spans="1:154" ht="15.6" customHeight="1" x14ac:dyDescent="0.35">
      <c r="A5" s="220">
        <v>20</v>
      </c>
      <c r="B5" s="24">
        <v>0</v>
      </c>
      <c r="C5" s="24">
        <v>1</v>
      </c>
      <c r="D5" s="24">
        <v>0.3</v>
      </c>
      <c r="E5" s="221">
        <v>0</v>
      </c>
      <c r="F5" s="24">
        <v>-1</v>
      </c>
      <c r="G5" s="24">
        <v>1005</v>
      </c>
      <c r="H5" s="24">
        <f t="shared" ref="H5:H32" si="0">A5*5000</f>
        <v>100000</v>
      </c>
      <c r="I5" s="227">
        <f>A5*250</f>
        <v>5000</v>
      </c>
      <c r="J5" s="228" t="str">
        <f t="shared" ref="J5:J32" si="1">"[[7001,"&amp;I5&amp;"],[7002,"&amp;I5&amp;"],[7003,"&amp;I5&amp;"]]"</f>
        <v>[[7001,5000],[7002,5000],[7003,5000]]</v>
      </c>
      <c r="K5" s="24">
        <f t="shared" ref="K5:K23" si="2">A5*$K$24/$A$24</f>
        <v>576</v>
      </c>
      <c r="L5" s="24">
        <f>K5</f>
        <v>576</v>
      </c>
      <c r="M5" s="24">
        <v>100</v>
      </c>
      <c r="N5" s="24">
        <v>100</v>
      </c>
      <c r="O5" s="24">
        <v>0</v>
      </c>
      <c r="P5" s="24">
        <v>1605</v>
      </c>
      <c r="Q5" s="24">
        <v>9600</v>
      </c>
      <c r="R5" s="69">
        <v>9600</v>
      </c>
      <c r="S5" s="24">
        <v>9600</v>
      </c>
      <c r="T5" s="24">
        <v>9600</v>
      </c>
      <c r="U5" s="232">
        <f t="shared" ref="U5:U19" si="3">U6</f>
        <v>720000</v>
      </c>
      <c r="AE5" s="24">
        <v>1</v>
      </c>
      <c r="AF5" s="24">
        <f t="shared" ref="AF5:AF32" si="4">ROW(A5)-4</f>
        <v>1</v>
      </c>
      <c r="AL5" s="24">
        <f t="shared" ref="AL5:AL14" si="5">AX5</f>
        <v>3.7778</v>
      </c>
      <c r="AM5" s="24">
        <f>AS5</f>
        <v>0.94440000000000002</v>
      </c>
      <c r="AN5" s="234" t="str">
        <f>BR5&amp;","&amp;BU5&amp;","&amp;BX5&amp;","&amp;CA5&amp;","&amp;CD5</f>
        <v>2,0.88,2,0.88,2.02</v>
      </c>
      <c r="AO5" s="24" t="str">
        <f t="shared" ref="AO5:AO24" si="6">DB5&amp;","&amp;DC5&amp;","&amp;DD5</f>
        <v>1,1,0.0003</v>
      </c>
      <c r="AQ5" s="24" t="str">
        <f t="shared" ref="AQ5:AQ24" si="7">"[["&amp;DG5&amp;","&amp;DH5&amp;","&amp;DI5&amp;"],["&amp;DK5&amp;","&amp;DL5&amp;","&amp;DM5&amp;"],["&amp;DO5&amp;","&amp;DP5&amp;","&amp;DQ5&amp;"]]"</f>
        <v>[[0,0,0],[0,0,0],[0,0,0]]</v>
      </c>
      <c r="AR5" s="239">
        <v>1</v>
      </c>
      <c r="AS5" s="116">
        <f>ROUND((0-$AV$5)/($A5*AU5*60*6)+1,4)</f>
        <v>0.94440000000000002</v>
      </c>
      <c r="AT5" s="117">
        <f t="shared" ref="AT5:AT32" si="8">A5*(1-AS5)*6</f>
        <v>6.6719999999999979</v>
      </c>
      <c r="AU5" s="240">
        <v>25</v>
      </c>
      <c r="AV5" s="24">
        <v>10000</v>
      </c>
      <c r="AW5" s="24">
        <f>10*60*6</f>
        <v>3600</v>
      </c>
      <c r="AX5" s="2">
        <f>ROUND(($BB$5)/(AZ5*60*A5*6)+1,4)</f>
        <v>3.7778</v>
      </c>
      <c r="AY5" s="2">
        <f t="shared" ref="AY5:AY14" si="9">(AX5-1)*A5*6</f>
        <v>333.33600000000001</v>
      </c>
      <c r="AZ5" s="249">
        <v>5</v>
      </c>
      <c r="BA5" s="250" t="s">
        <v>142</v>
      </c>
      <c r="BB5" s="251">
        <v>100000</v>
      </c>
      <c r="BC5" s="252" t="s">
        <v>143</v>
      </c>
      <c r="BD5" s="198"/>
      <c r="BE5" s="198"/>
      <c r="BF5" s="257" t="s">
        <v>144</v>
      </c>
      <c r="BG5" s="198">
        <f>AZ9+AZ14+AZ19+BC19+BF19</f>
        <v>17.899999999999999</v>
      </c>
      <c r="BH5" s="198">
        <f>AZ5+AZ10+AZ15+BC15+BF15</f>
        <v>54.1</v>
      </c>
      <c r="BJ5" s="198"/>
      <c r="BK5" s="198"/>
      <c r="BL5" s="198"/>
      <c r="BM5" s="198"/>
      <c r="BN5" s="198"/>
      <c r="BO5" s="198"/>
      <c r="BQ5" s="2">
        <f t="shared" ref="BQ5:BQ19" si="10">BT5+BW5+BZ5+CC5+CF5</f>
        <v>6100</v>
      </c>
      <c r="BR5" s="21">
        <f>ROUND((BT$1)/(BT5*$A5)+1,4)</f>
        <v>2</v>
      </c>
      <c r="BS5" s="21">
        <f>(BR5-1)*$A5*6</f>
        <v>120</v>
      </c>
      <c r="BT5" s="260">
        <v>50</v>
      </c>
      <c r="BU5" s="21">
        <f>ROUND((-BW$1)/(BW5*$A5)+1,4)</f>
        <v>0.88</v>
      </c>
      <c r="BV5" s="21">
        <f t="shared" ref="BV5:BV19" si="11">(BU5-1)*$A5*6</f>
        <v>-14.399999999999999</v>
      </c>
      <c r="BW5" s="260">
        <v>500</v>
      </c>
      <c r="BX5" s="21">
        <f>ROUND((BZ$1)/(BZ5*$A5)+1,4)</f>
        <v>2</v>
      </c>
      <c r="BY5" s="21">
        <f>(BX5-1)*$A5*6</f>
        <v>120</v>
      </c>
      <c r="BZ5" s="260">
        <v>50</v>
      </c>
      <c r="CA5" s="21">
        <f>ROUND((-CC$1)/(CC5*$A5)+1,4)</f>
        <v>0.88</v>
      </c>
      <c r="CB5" s="21">
        <f t="shared" ref="CB5:CB19" si="12">(CA5-1)*$A5*6</f>
        <v>-14.399999999999999</v>
      </c>
      <c r="CC5" s="260">
        <v>500</v>
      </c>
      <c r="CD5" s="21">
        <f>ROUND((CF$1)/(CF5*$A5)+1,4)</f>
        <v>2.02</v>
      </c>
      <c r="CE5" s="21">
        <f>(CD5-1)*$A5*6</f>
        <v>122.39999999999999</v>
      </c>
      <c r="CF5" s="260">
        <v>5000</v>
      </c>
      <c r="CG5" s="251"/>
      <c r="CH5" s="252"/>
      <c r="CI5" s="198"/>
      <c r="CJ5" s="198"/>
      <c r="CK5" s="198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4" t="s">
        <v>145</v>
      </c>
      <c r="CY5" s="267">
        <v>0.01</v>
      </c>
      <c r="CZ5" s="24"/>
      <c r="DA5" s="274">
        <f t="shared" ref="DA5:DA32" si="13">$CY$2*$CY$5/$CY$6*A5</f>
        <v>2.9999999999999997E-4</v>
      </c>
      <c r="DB5" s="24">
        <v>1</v>
      </c>
      <c r="DC5" s="24">
        <v>1</v>
      </c>
      <c r="DD5" s="274">
        <f t="shared" ref="DD5:DD24" si="14">ROUND(DA5/DB5,6)</f>
        <v>2.9999999999999997E-4</v>
      </c>
      <c r="DE5" s="24"/>
      <c r="DF5" s="232">
        <f t="shared" ref="DF5:DF32" si="15">A5*$CY$1</f>
        <v>400</v>
      </c>
      <c r="DG5" s="232">
        <v>0</v>
      </c>
      <c r="DH5" s="232">
        <v>0</v>
      </c>
      <c r="DI5" s="232">
        <v>0</v>
      </c>
      <c r="DJ5" s="232">
        <f t="shared" ref="DJ5:DJ32" si="16">A5*$CY$2</f>
        <v>600</v>
      </c>
      <c r="DK5" s="232">
        <v>0</v>
      </c>
      <c r="DL5" s="232">
        <v>0</v>
      </c>
      <c r="DM5" s="232">
        <v>0</v>
      </c>
      <c r="DN5" s="232">
        <f t="shared" ref="DN5:DN32" si="17">A5*$CY$3</f>
        <v>1000</v>
      </c>
      <c r="DO5" s="232">
        <v>0</v>
      </c>
      <c r="DP5" s="232">
        <v>0</v>
      </c>
      <c r="DQ5" s="232">
        <v>0</v>
      </c>
    </row>
    <row r="6" spans="1:154" x14ac:dyDescent="0.35">
      <c r="A6" s="220">
        <v>40</v>
      </c>
      <c r="B6" s="24">
        <v>0</v>
      </c>
      <c r="C6" s="24">
        <v>1</v>
      </c>
      <c r="D6" s="24">
        <v>0.3</v>
      </c>
      <c r="E6" s="221">
        <v>0</v>
      </c>
      <c r="F6" s="24">
        <v>-1</v>
      </c>
      <c r="G6" s="24">
        <v>1005</v>
      </c>
      <c r="H6" s="24">
        <f t="shared" si="0"/>
        <v>200000</v>
      </c>
      <c r="I6" s="227">
        <f>A6*225</f>
        <v>9000</v>
      </c>
      <c r="J6" s="228" t="str">
        <f t="shared" si="1"/>
        <v>[[7001,9000],[7002,9000],[7003,9000]]</v>
      </c>
      <c r="K6" s="24">
        <f t="shared" si="2"/>
        <v>1152</v>
      </c>
      <c r="L6" s="24">
        <f t="shared" ref="L6:L24" si="18">K6</f>
        <v>1152</v>
      </c>
      <c r="M6" s="24">
        <v>100</v>
      </c>
      <c r="N6" s="24">
        <v>100</v>
      </c>
      <c r="O6" s="24">
        <v>0</v>
      </c>
      <c r="P6" s="24">
        <v>1605</v>
      </c>
      <c r="Q6" s="24">
        <v>9600</v>
      </c>
      <c r="R6" s="69">
        <v>9600</v>
      </c>
      <c r="S6" s="24">
        <v>9600</v>
      </c>
      <c r="T6" s="24">
        <v>9600</v>
      </c>
      <c r="U6" s="232">
        <f t="shared" si="3"/>
        <v>720000</v>
      </c>
      <c r="AE6" s="24">
        <v>1</v>
      </c>
      <c r="AF6" s="24">
        <f t="shared" si="4"/>
        <v>2</v>
      </c>
      <c r="AL6" s="24">
        <f t="shared" si="5"/>
        <v>2.5432000000000001</v>
      </c>
      <c r="AM6" s="24">
        <f t="shared" ref="AM6:AM24" si="19">AS6</f>
        <v>0.94440000000000002</v>
      </c>
      <c r="AN6" s="234" t="str">
        <f t="shared" ref="AN6:AN19" si="20">BR6&amp;","&amp;BU6&amp;","&amp;BX6&amp;","&amp;CA6&amp;","&amp;CD6</f>
        <v>1.5882,0.9294,1.5882,0.9294,1.6</v>
      </c>
      <c r="AO6" s="24" t="str">
        <f t="shared" si="6"/>
        <v>1,1,0.0006</v>
      </c>
      <c r="AQ6" s="24" t="str">
        <f t="shared" si="7"/>
        <v>[[0,0,0],[0,0,0],[0,0,0]]</v>
      </c>
      <c r="AR6" s="241">
        <v>0.8</v>
      </c>
      <c r="AS6" s="119">
        <f>ROUND((0-$AV$5)/($A6*AU6*60*6)+1,4)</f>
        <v>0.94440000000000002</v>
      </c>
      <c r="AT6" s="120">
        <f t="shared" si="8"/>
        <v>13.343999999999996</v>
      </c>
      <c r="AU6" s="242">
        <f>AU$5*(A$5/A6)</f>
        <v>12.5</v>
      </c>
      <c r="AX6" s="2">
        <f>ROUND(($BB$5)/(AZ6*60*A6*6)+1,4)</f>
        <v>2.5432000000000001</v>
      </c>
      <c r="AY6" s="2">
        <f t="shared" si="9"/>
        <v>370.36800000000005</v>
      </c>
      <c r="AZ6" s="249">
        <f>AZ5-0.5</f>
        <v>4.5</v>
      </c>
      <c r="BA6" s="250" t="s">
        <v>146</v>
      </c>
      <c r="BB6" s="251">
        <v>1000000</v>
      </c>
      <c r="BC6" s="252" t="s">
        <v>147</v>
      </c>
      <c r="BD6" s="198"/>
      <c r="BE6" s="198"/>
      <c r="BF6" s="257" t="s">
        <v>148</v>
      </c>
      <c r="BG6" s="198">
        <f>AZ9+AZ14</f>
        <v>6</v>
      </c>
      <c r="BH6" s="198">
        <f>AZ5+AZ10</f>
        <v>10</v>
      </c>
      <c r="BJ6" s="198"/>
      <c r="BK6" s="198"/>
      <c r="BL6" s="198"/>
      <c r="BM6" s="198"/>
      <c r="BN6" s="198"/>
      <c r="BO6" s="198"/>
      <c r="BQ6" s="2">
        <f t="shared" si="10"/>
        <v>5185</v>
      </c>
      <c r="BR6" s="21">
        <f>ROUND((BT$1)/(BT6*$A6)+1,4)</f>
        <v>1.5882000000000001</v>
      </c>
      <c r="BS6" s="21">
        <f t="shared" ref="BS6:BS19" si="21">(BR6-1)*$A6*6</f>
        <v>141.16800000000001</v>
      </c>
      <c r="BT6" s="260">
        <f>BT5-7.5</f>
        <v>42.5</v>
      </c>
      <c r="BU6" s="21">
        <f>ROUND((-BW$1)/(BW6*$A6)+1,4)</f>
        <v>0.9294</v>
      </c>
      <c r="BV6" s="21">
        <f t="shared" si="11"/>
        <v>-16.943999999999999</v>
      </c>
      <c r="BW6" s="260">
        <f>BW5-75</f>
        <v>425</v>
      </c>
      <c r="BX6" s="21">
        <f>ROUND((BZ$1)/(BZ6*$A6)+1,4)</f>
        <v>1.5882000000000001</v>
      </c>
      <c r="BY6" s="21">
        <f t="shared" ref="BY6:BY19" si="22">(BX6-1)*$A6*6</f>
        <v>141.16800000000001</v>
      </c>
      <c r="BZ6" s="260">
        <f>BZ5-7.5</f>
        <v>42.5</v>
      </c>
      <c r="CA6" s="21">
        <f>ROUND((-CC$1)/(CC6*$A6)+1,4)</f>
        <v>0.9294</v>
      </c>
      <c r="CB6" s="21">
        <f t="shared" si="12"/>
        <v>-16.943999999999999</v>
      </c>
      <c r="CC6" s="260">
        <f>CC5-75</f>
        <v>425</v>
      </c>
      <c r="CD6" s="21">
        <f>ROUND((CF$1)/(CF6*$A6)+1,4)</f>
        <v>1.6</v>
      </c>
      <c r="CE6" s="21">
        <f t="shared" ref="CE6:CE19" si="23">(CD6-1)*$A6*6</f>
        <v>144.00000000000003</v>
      </c>
      <c r="CF6" s="260">
        <f>CF5-750</f>
        <v>4250</v>
      </c>
      <c r="CG6" s="251"/>
      <c r="CH6" s="252"/>
      <c r="CI6" s="198"/>
      <c r="CJ6" s="198"/>
      <c r="CK6" s="198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4" t="s">
        <v>149</v>
      </c>
      <c r="CY6" s="235">
        <v>20000</v>
      </c>
      <c r="CZ6" s="24"/>
      <c r="DA6" s="274">
        <f t="shared" si="13"/>
        <v>5.9999999999999995E-4</v>
      </c>
      <c r="DB6" s="24">
        <v>1</v>
      </c>
      <c r="DC6" s="24">
        <v>1</v>
      </c>
      <c r="DD6" s="274">
        <f t="shared" si="14"/>
        <v>5.9999999999999995E-4</v>
      </c>
      <c r="DE6" s="24"/>
      <c r="DF6" s="232">
        <f t="shared" si="15"/>
        <v>800</v>
      </c>
      <c r="DG6" s="232">
        <v>0</v>
      </c>
      <c r="DH6" s="232">
        <v>0</v>
      </c>
      <c r="DI6" s="232">
        <v>0</v>
      </c>
      <c r="DJ6" s="232">
        <f t="shared" si="16"/>
        <v>1200</v>
      </c>
      <c r="DK6" s="232">
        <v>0</v>
      </c>
      <c r="DL6" s="232">
        <v>0</v>
      </c>
      <c r="DM6" s="232">
        <v>0</v>
      </c>
      <c r="DN6" s="232">
        <f t="shared" si="17"/>
        <v>2000</v>
      </c>
      <c r="DO6" s="232">
        <v>0</v>
      </c>
      <c r="DP6" s="232">
        <v>0</v>
      </c>
      <c r="DQ6" s="232">
        <v>0</v>
      </c>
    </row>
    <row r="7" spans="1:154" x14ac:dyDescent="0.35">
      <c r="A7" s="220">
        <v>60</v>
      </c>
      <c r="B7" s="24">
        <v>0</v>
      </c>
      <c r="C7" s="24">
        <v>1</v>
      </c>
      <c r="D7" s="24">
        <v>0.3</v>
      </c>
      <c r="E7" s="221">
        <v>0</v>
      </c>
      <c r="F7" s="24">
        <v>-1</v>
      </c>
      <c r="G7" s="24">
        <v>1005</v>
      </c>
      <c r="H7" s="24">
        <f t="shared" si="0"/>
        <v>300000</v>
      </c>
      <c r="I7" s="227">
        <f>A7*200</f>
        <v>12000</v>
      </c>
      <c r="J7" s="228" t="str">
        <f t="shared" si="1"/>
        <v>[[7001,12000],[7002,12000],[7003,12000]]</v>
      </c>
      <c r="K7" s="24">
        <f t="shared" si="2"/>
        <v>1728</v>
      </c>
      <c r="L7" s="24">
        <f t="shared" si="18"/>
        <v>1728</v>
      </c>
      <c r="M7" s="24">
        <v>100</v>
      </c>
      <c r="N7" s="24">
        <v>100</v>
      </c>
      <c r="O7" s="24">
        <v>0</v>
      </c>
      <c r="P7" s="24">
        <v>1605</v>
      </c>
      <c r="Q7" s="24">
        <v>9600</v>
      </c>
      <c r="R7" s="69">
        <v>9600</v>
      </c>
      <c r="S7" s="24">
        <v>9600</v>
      </c>
      <c r="T7" s="24">
        <v>9600</v>
      </c>
      <c r="U7" s="232">
        <f t="shared" si="3"/>
        <v>720000</v>
      </c>
      <c r="AE7" s="24">
        <v>1</v>
      </c>
      <c r="AF7" s="24">
        <f t="shared" si="4"/>
        <v>3</v>
      </c>
      <c r="AL7" s="24">
        <f t="shared" si="5"/>
        <v>2.1574</v>
      </c>
      <c r="AM7" s="24">
        <f t="shared" si="19"/>
        <v>0.94440000000000002</v>
      </c>
      <c r="AN7" s="234" t="str">
        <f t="shared" si="20"/>
        <v>1.4762,0.9429,1.4762,0.9429,1.4857</v>
      </c>
      <c r="AO7" s="24" t="str">
        <f t="shared" si="6"/>
        <v>1,1,0.0009</v>
      </c>
      <c r="AQ7" s="24" t="str">
        <f t="shared" si="7"/>
        <v>[[0,0,0],[0,0,0],[0,0,0]]</v>
      </c>
      <c r="AR7" s="241">
        <v>0.6</v>
      </c>
      <c r="AS7" s="119">
        <f>ROUND((0-$AV$5)/($A7*AU7*60*6)+1,4)</f>
        <v>0.94440000000000002</v>
      </c>
      <c r="AT7" s="120">
        <f t="shared" si="8"/>
        <v>20.015999999999995</v>
      </c>
      <c r="AU7" s="243">
        <f>AU$5*(A$5/A7)</f>
        <v>8.3333333333333321</v>
      </c>
      <c r="AX7" s="2">
        <f>ROUND(($BB$5)/(AZ7*60*A7*6)+1,4)</f>
        <v>2.1574</v>
      </c>
      <c r="AY7" s="2">
        <f t="shared" si="9"/>
        <v>416.66399999999999</v>
      </c>
      <c r="AZ7" s="249">
        <f>AZ6-0.5</f>
        <v>4</v>
      </c>
      <c r="BA7" s="250" t="s">
        <v>150</v>
      </c>
      <c r="BB7" s="251">
        <v>1500000</v>
      </c>
      <c r="BC7" s="252" t="str">
        <f t="shared" ref="BC7:BC12" si="24">"中级房：演出金币首次达到金币"&amp;BB7</f>
        <v>中级房：演出金币首次达到金币1500000</v>
      </c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Q7" s="2">
        <f t="shared" si="10"/>
        <v>4270</v>
      </c>
      <c r="BR7" s="21">
        <f>ROUND((BT$1)/(BT7*$A7)+1,4)</f>
        <v>1.4762</v>
      </c>
      <c r="BS7" s="21">
        <f t="shared" si="21"/>
        <v>171.43199999999996</v>
      </c>
      <c r="BT7" s="260">
        <f>BT6-7.5</f>
        <v>35</v>
      </c>
      <c r="BU7" s="21">
        <f>ROUND((-BW$1)/(BW7*$A7)+1,4)</f>
        <v>0.94289999999999996</v>
      </c>
      <c r="BV7" s="21">
        <f t="shared" si="11"/>
        <v>-20.556000000000015</v>
      </c>
      <c r="BW7" s="260">
        <f>BW6-75</f>
        <v>350</v>
      </c>
      <c r="BX7" s="21">
        <f>ROUND((BZ$1)/(BZ7*$A7)+1,4)</f>
        <v>1.4762</v>
      </c>
      <c r="BY7" s="21">
        <f t="shared" si="22"/>
        <v>171.43199999999996</v>
      </c>
      <c r="BZ7" s="260">
        <f>BZ6-7.5</f>
        <v>35</v>
      </c>
      <c r="CA7" s="21">
        <f>ROUND((-CC$1)/(CC7*$A7)+1,4)</f>
        <v>0.94289999999999996</v>
      </c>
      <c r="CB7" s="21">
        <f t="shared" si="12"/>
        <v>-20.556000000000015</v>
      </c>
      <c r="CC7" s="260">
        <f>CC6-75</f>
        <v>350</v>
      </c>
      <c r="CD7" s="21">
        <f>ROUND((CF$1)/(CF7*$A7)+1,4)</f>
        <v>1.4857</v>
      </c>
      <c r="CE7" s="21">
        <f t="shared" si="23"/>
        <v>174.85200000000003</v>
      </c>
      <c r="CF7" s="260">
        <f>CF6-750</f>
        <v>3500</v>
      </c>
      <c r="CG7" s="251"/>
      <c r="CH7" s="252"/>
      <c r="CI7" s="198"/>
      <c r="CJ7" s="198"/>
      <c r="CK7" s="198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4" t="s">
        <v>151</v>
      </c>
      <c r="CY7" s="267">
        <v>0</v>
      </c>
      <c r="CZ7" s="24"/>
      <c r="DA7" s="274">
        <f t="shared" si="13"/>
        <v>8.9999999999999998E-4</v>
      </c>
      <c r="DB7" s="24">
        <v>1</v>
      </c>
      <c r="DC7" s="24">
        <v>1</v>
      </c>
      <c r="DD7" s="274">
        <f t="shared" si="14"/>
        <v>8.9999999999999998E-4</v>
      </c>
      <c r="DE7" s="24"/>
      <c r="DF7" s="232">
        <f t="shared" si="15"/>
        <v>1200</v>
      </c>
      <c r="DG7" s="232">
        <v>0</v>
      </c>
      <c r="DH7" s="232">
        <v>0</v>
      </c>
      <c r="DI7" s="232">
        <v>0</v>
      </c>
      <c r="DJ7" s="232">
        <f t="shared" si="16"/>
        <v>1800</v>
      </c>
      <c r="DK7" s="232">
        <v>0</v>
      </c>
      <c r="DL7" s="232">
        <v>0</v>
      </c>
      <c r="DM7" s="232">
        <v>0</v>
      </c>
      <c r="DN7" s="232">
        <f t="shared" si="17"/>
        <v>3000</v>
      </c>
      <c r="DO7" s="232">
        <v>0</v>
      </c>
      <c r="DP7" s="232">
        <v>0</v>
      </c>
      <c r="DQ7" s="232">
        <v>0</v>
      </c>
      <c r="ET7" s="290" t="s">
        <v>152</v>
      </c>
    </row>
    <row r="8" spans="1:154" x14ac:dyDescent="0.35">
      <c r="A8" s="220">
        <v>80</v>
      </c>
      <c r="B8" s="24">
        <v>0</v>
      </c>
      <c r="C8" s="24">
        <v>1</v>
      </c>
      <c r="D8" s="24">
        <v>0.3</v>
      </c>
      <c r="E8" s="221">
        <v>0</v>
      </c>
      <c r="F8" s="24">
        <v>-1</v>
      </c>
      <c r="G8" s="24">
        <v>1005</v>
      </c>
      <c r="H8" s="24">
        <f t="shared" si="0"/>
        <v>400000</v>
      </c>
      <c r="I8" s="227">
        <f>A8*175</f>
        <v>14000</v>
      </c>
      <c r="J8" s="228" t="str">
        <f t="shared" si="1"/>
        <v>[[7001,14000],[7002,14000],[7003,14000]]</v>
      </c>
      <c r="K8" s="24">
        <f t="shared" si="2"/>
        <v>2304</v>
      </c>
      <c r="L8" s="24">
        <f t="shared" si="18"/>
        <v>2304</v>
      </c>
      <c r="M8" s="24">
        <v>100</v>
      </c>
      <c r="N8" s="24">
        <v>100</v>
      </c>
      <c r="O8" s="24">
        <v>10000</v>
      </c>
      <c r="P8" s="24">
        <v>1605</v>
      </c>
      <c r="Q8" s="24">
        <v>9600</v>
      </c>
      <c r="R8" s="69">
        <v>9600</v>
      </c>
      <c r="S8" s="24">
        <v>9600</v>
      </c>
      <c r="T8" s="24">
        <v>9600</v>
      </c>
      <c r="U8" s="232">
        <f t="shared" si="3"/>
        <v>720000</v>
      </c>
      <c r="AE8" s="24">
        <v>1</v>
      </c>
      <c r="AF8" s="24">
        <f t="shared" si="4"/>
        <v>4</v>
      </c>
      <c r="AL8" s="24">
        <f t="shared" si="5"/>
        <v>1.9921</v>
      </c>
      <c r="AM8" s="24">
        <f t="shared" si="19"/>
        <v>0.94440000000000002</v>
      </c>
      <c r="AN8" s="234" t="str">
        <f t="shared" si="20"/>
        <v>1.4545,0.9455,1.4545,0.9455,1.4636</v>
      </c>
      <c r="AO8" s="24" t="str">
        <f t="shared" si="6"/>
        <v>1,1,0.0012</v>
      </c>
      <c r="AQ8" s="24" t="str">
        <f t="shared" si="7"/>
        <v>[[0,0,0],[0,0,0],[0,0,0]]</v>
      </c>
      <c r="AR8" s="241">
        <v>0.5</v>
      </c>
      <c r="AS8" s="119">
        <f>ROUND((0-$AV$5)/($A8*AU8*60*6)+1,4)</f>
        <v>0.94440000000000002</v>
      </c>
      <c r="AT8" s="120">
        <f t="shared" si="8"/>
        <v>26.687999999999992</v>
      </c>
      <c r="AU8" s="242">
        <f>AU$5*(A$5/A8)</f>
        <v>6.25</v>
      </c>
      <c r="AX8" s="2">
        <f>ROUND(($BB$5)/(AZ8*60*A8*6)+1,4)</f>
        <v>1.9921</v>
      </c>
      <c r="AY8" s="2">
        <f t="shared" si="9"/>
        <v>476.20799999999997</v>
      </c>
      <c r="AZ8" s="249">
        <f>AZ7-0.5</f>
        <v>3.5</v>
      </c>
      <c r="BA8" s="250" t="s">
        <v>153</v>
      </c>
      <c r="BB8" s="251">
        <v>1000000</v>
      </c>
      <c r="BC8" s="252" t="str">
        <f t="shared" si="24"/>
        <v>中级房：演出金币首次达到金币1000000</v>
      </c>
      <c r="BD8" s="198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Q8" s="2">
        <f t="shared" si="10"/>
        <v>3355</v>
      </c>
      <c r="BR8" s="21">
        <f>ROUND((BT$1)/(BT8*$A8)+1,4)</f>
        <v>1.4544999999999999</v>
      </c>
      <c r="BS8" s="21">
        <f t="shared" si="21"/>
        <v>218.15999999999997</v>
      </c>
      <c r="BT8" s="260">
        <f>BT7-7.5</f>
        <v>27.5</v>
      </c>
      <c r="BU8" s="21">
        <f>ROUND((-BW$1)/(BW8*$A8)+1,4)</f>
        <v>0.94550000000000001</v>
      </c>
      <c r="BV8" s="21">
        <f t="shared" si="11"/>
        <v>-26.159999999999997</v>
      </c>
      <c r="BW8" s="260">
        <f>BW7-75</f>
        <v>275</v>
      </c>
      <c r="BX8" s="21">
        <f>ROUND((BZ$1)/(BZ8*$A8)+1,4)</f>
        <v>1.4544999999999999</v>
      </c>
      <c r="BY8" s="21">
        <f t="shared" si="22"/>
        <v>218.15999999999997</v>
      </c>
      <c r="BZ8" s="260">
        <f>BZ7-7.5</f>
        <v>27.5</v>
      </c>
      <c r="CA8" s="21">
        <f>ROUND((-CC$1)/(CC8*$A8)+1,4)</f>
        <v>0.94550000000000001</v>
      </c>
      <c r="CB8" s="21">
        <f t="shared" si="12"/>
        <v>-26.159999999999997</v>
      </c>
      <c r="CC8" s="260">
        <f>CC7-75</f>
        <v>275</v>
      </c>
      <c r="CD8" s="21">
        <f>ROUND((CF$1)/(CF8*$A8)+1,4)</f>
        <v>1.4636</v>
      </c>
      <c r="CE8" s="21">
        <f t="shared" si="23"/>
        <v>222.52800000000002</v>
      </c>
      <c r="CF8" s="260">
        <f>CF7-750</f>
        <v>2750</v>
      </c>
      <c r="CT8" s="21"/>
      <c r="CU8" s="21"/>
      <c r="CV8" s="21"/>
      <c r="CW8" s="21"/>
      <c r="CX8" s="24" t="s">
        <v>154</v>
      </c>
      <c r="CY8" s="235">
        <v>150</v>
      </c>
      <c r="CZ8" s="24"/>
      <c r="DA8" s="274">
        <f t="shared" si="13"/>
        <v>1.1999999999999999E-3</v>
      </c>
      <c r="DB8" s="24">
        <v>1</v>
      </c>
      <c r="DC8" s="24">
        <v>1</v>
      </c>
      <c r="DD8" s="274">
        <f t="shared" si="14"/>
        <v>1.1999999999999999E-3</v>
      </c>
      <c r="DE8" s="24"/>
      <c r="DF8" s="232">
        <f t="shared" si="15"/>
        <v>1600</v>
      </c>
      <c r="DG8" s="232">
        <v>0</v>
      </c>
      <c r="DH8" s="232">
        <v>0</v>
      </c>
      <c r="DI8" s="232">
        <v>0</v>
      </c>
      <c r="DJ8" s="232">
        <f t="shared" si="16"/>
        <v>2400</v>
      </c>
      <c r="DK8" s="232">
        <v>0</v>
      </c>
      <c r="DL8" s="232">
        <v>0</v>
      </c>
      <c r="DM8" s="232">
        <v>0</v>
      </c>
      <c r="DN8" s="232">
        <f t="shared" si="17"/>
        <v>4000</v>
      </c>
      <c r="DO8" s="232">
        <v>0</v>
      </c>
      <c r="DP8" s="232">
        <v>0</v>
      </c>
      <c r="DQ8" s="232">
        <v>0</v>
      </c>
      <c r="EL8" s="339" t="s">
        <v>155</v>
      </c>
      <c r="ER8" s="290"/>
      <c r="ES8" s="289" t="s">
        <v>156</v>
      </c>
      <c r="ET8" s="291">
        <v>2</v>
      </c>
    </row>
    <row r="9" spans="1:154" x14ac:dyDescent="0.35">
      <c r="A9" s="220">
        <v>100</v>
      </c>
      <c r="B9" s="24">
        <v>0</v>
      </c>
      <c r="C9" s="24">
        <v>1</v>
      </c>
      <c r="D9" s="24">
        <v>0.3</v>
      </c>
      <c r="E9" s="221">
        <v>1</v>
      </c>
      <c r="F9" s="24">
        <v>-1</v>
      </c>
      <c r="G9" s="24">
        <v>1005</v>
      </c>
      <c r="H9" s="24">
        <f t="shared" si="0"/>
        <v>500000</v>
      </c>
      <c r="I9" s="227">
        <f>A9*150</f>
        <v>15000</v>
      </c>
      <c r="J9" s="228" t="str">
        <f t="shared" si="1"/>
        <v>[[7001,15000],[7002,15000],[7003,15000]]</v>
      </c>
      <c r="K9" s="24">
        <f t="shared" si="2"/>
        <v>2880</v>
      </c>
      <c r="L9" s="24">
        <f t="shared" si="18"/>
        <v>2880</v>
      </c>
      <c r="M9" s="24">
        <v>100</v>
      </c>
      <c r="N9" s="24">
        <v>100</v>
      </c>
      <c r="O9" s="24">
        <v>10000</v>
      </c>
      <c r="P9" s="24">
        <v>1605</v>
      </c>
      <c r="Q9" s="24">
        <v>9600</v>
      </c>
      <c r="R9" s="69">
        <v>9600</v>
      </c>
      <c r="S9" s="24">
        <v>9600</v>
      </c>
      <c r="T9" s="24">
        <v>9600</v>
      </c>
      <c r="U9" s="232">
        <f t="shared" si="3"/>
        <v>720000</v>
      </c>
      <c r="AE9" s="24">
        <v>1</v>
      </c>
      <c r="AF9" s="24">
        <f t="shared" si="4"/>
        <v>5</v>
      </c>
      <c r="AL9" s="24">
        <f t="shared" si="5"/>
        <v>1.9258999999999999</v>
      </c>
      <c r="AM9" s="24">
        <f t="shared" si="19"/>
        <v>0.94440000000000002</v>
      </c>
      <c r="AN9" s="234" t="str">
        <f t="shared" si="20"/>
        <v>1.5,0.94,1.5,0.94,1.51</v>
      </c>
      <c r="AO9" s="24" t="str">
        <f t="shared" si="6"/>
        <v>1,1,0.0015</v>
      </c>
      <c r="AQ9" s="24" t="str">
        <f t="shared" si="7"/>
        <v>[[0,0,0],[0,0,0],[0,0,0]]</v>
      </c>
      <c r="AR9" s="241">
        <v>0.46300000000000002</v>
      </c>
      <c r="AS9" s="122">
        <f>ROUND((0-$AV$5)/($A9*AU9*60*6)+1,4)</f>
        <v>0.94440000000000002</v>
      </c>
      <c r="AT9" s="123">
        <f t="shared" si="8"/>
        <v>33.359999999999992</v>
      </c>
      <c r="AU9" s="244">
        <f>AU$5*(A$5/A9)</f>
        <v>5</v>
      </c>
      <c r="AX9" s="2">
        <f>ROUND(($BB$5)/(AZ9*60*A9*6)+1,4)</f>
        <v>1.9258999999999999</v>
      </c>
      <c r="AY9" s="2">
        <f t="shared" si="9"/>
        <v>555.54</v>
      </c>
      <c r="AZ9" s="249">
        <f>AZ8-0.5</f>
        <v>3</v>
      </c>
      <c r="BA9" s="250" t="s">
        <v>157</v>
      </c>
      <c r="BB9" s="251">
        <v>0</v>
      </c>
      <c r="BC9" s="252" t="str">
        <f t="shared" si="24"/>
        <v>中级房：演出金币首次达到金币0</v>
      </c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Q9" s="2">
        <f t="shared" si="10"/>
        <v>2440</v>
      </c>
      <c r="BR9" s="21">
        <f>ROUND((BT$1)/(BT9*$A9)+1,4)</f>
        <v>1.5</v>
      </c>
      <c r="BS9" s="21">
        <f t="shared" si="21"/>
        <v>300</v>
      </c>
      <c r="BT9" s="260">
        <f>BT8-7.5</f>
        <v>20</v>
      </c>
      <c r="BU9" s="21">
        <f>ROUND((-BW$1)/(BW9*$A9)+1,4)</f>
        <v>0.94</v>
      </c>
      <c r="BV9" s="21">
        <f t="shared" si="11"/>
        <v>-36.000000000000028</v>
      </c>
      <c r="BW9" s="260">
        <f>BW8-75</f>
        <v>200</v>
      </c>
      <c r="BX9" s="21">
        <f>ROUND((BZ$1)/(BZ9*$A9)+1,4)</f>
        <v>1.5</v>
      </c>
      <c r="BY9" s="21">
        <f t="shared" si="22"/>
        <v>300</v>
      </c>
      <c r="BZ9" s="260">
        <f>BZ8-7.5</f>
        <v>20</v>
      </c>
      <c r="CA9" s="21">
        <f>ROUND((-CC$1)/(CC9*$A9)+1,4)</f>
        <v>0.94</v>
      </c>
      <c r="CB9" s="21">
        <f t="shared" si="12"/>
        <v>-36.000000000000028</v>
      </c>
      <c r="CC9" s="260">
        <f>CC8-75</f>
        <v>200</v>
      </c>
      <c r="CD9" s="21">
        <f>ROUND((CF$1)/(CF9*$A9)+1,4)</f>
        <v>1.51</v>
      </c>
      <c r="CE9" s="21">
        <f t="shared" si="23"/>
        <v>306</v>
      </c>
      <c r="CF9" s="260">
        <f>CF8-750</f>
        <v>2000</v>
      </c>
      <c r="CG9" s="251"/>
      <c r="CH9" s="252"/>
      <c r="CI9" s="198"/>
      <c r="CJ9" s="198"/>
      <c r="CK9" s="198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4"/>
      <c r="CY9" s="268"/>
      <c r="CZ9" s="24"/>
      <c r="DA9" s="274">
        <f t="shared" si="13"/>
        <v>1.4999999999999998E-3</v>
      </c>
      <c r="DB9" s="24">
        <v>1</v>
      </c>
      <c r="DC9" s="24">
        <v>1</v>
      </c>
      <c r="DD9" s="274">
        <f t="shared" si="14"/>
        <v>1.5E-3</v>
      </c>
      <c r="DE9" s="24"/>
      <c r="DF9" s="232">
        <f t="shared" si="15"/>
        <v>2000</v>
      </c>
      <c r="DG9" s="232">
        <v>0</v>
      </c>
      <c r="DH9" s="232">
        <v>0</v>
      </c>
      <c r="DI9" s="232">
        <v>0</v>
      </c>
      <c r="DJ9" s="232">
        <f t="shared" si="16"/>
        <v>3000</v>
      </c>
      <c r="DK9" s="232">
        <v>0</v>
      </c>
      <c r="DL9" s="232">
        <v>0</v>
      </c>
      <c r="DM9" s="232">
        <v>0</v>
      </c>
      <c r="DN9" s="232">
        <f t="shared" si="17"/>
        <v>5000</v>
      </c>
      <c r="DO9" s="232">
        <v>0</v>
      </c>
      <c r="DP9" s="232">
        <v>0</v>
      </c>
      <c r="DQ9" s="232">
        <v>0</v>
      </c>
      <c r="EG9" s="287" t="s">
        <v>158</v>
      </c>
      <c r="EH9" s="287" t="s">
        <v>159</v>
      </c>
      <c r="EI9" s="288" t="s">
        <v>160</v>
      </c>
      <c r="EJ9" s="287" t="s">
        <v>161</v>
      </c>
      <c r="EK9" s="288" t="s">
        <v>162</v>
      </c>
      <c r="EL9" s="339"/>
      <c r="EM9" s="289" t="s">
        <v>163</v>
      </c>
      <c r="EN9" s="290" t="s">
        <v>164</v>
      </c>
      <c r="EO9" s="289" t="s">
        <v>165</v>
      </c>
      <c r="EP9" s="289" t="s">
        <v>166</v>
      </c>
      <c r="EQ9" s="289" t="s">
        <v>167</v>
      </c>
      <c r="ER9" s="288" t="s">
        <v>168</v>
      </c>
      <c r="ET9" s="310" t="s">
        <v>166</v>
      </c>
      <c r="EU9" s="310" t="s">
        <v>169</v>
      </c>
      <c r="EV9" s="311" t="s">
        <v>168</v>
      </c>
      <c r="EW9" s="311" t="s">
        <v>170</v>
      </c>
    </row>
    <row r="10" spans="1:154" x14ac:dyDescent="0.35">
      <c r="A10" s="220">
        <v>200</v>
      </c>
      <c r="B10" s="24">
        <v>0</v>
      </c>
      <c r="C10" s="24">
        <v>2</v>
      </c>
      <c r="D10" s="24">
        <v>0.3</v>
      </c>
      <c r="E10" s="221">
        <v>0</v>
      </c>
      <c r="F10" s="24">
        <v>-1</v>
      </c>
      <c r="G10" s="24">
        <v>1005</v>
      </c>
      <c r="H10" s="24">
        <f t="shared" si="0"/>
        <v>1000000</v>
      </c>
      <c r="I10" s="24">
        <f>A10*250</f>
        <v>50000</v>
      </c>
      <c r="J10" s="229" t="str">
        <f t="shared" si="1"/>
        <v>[[7001,50000],[7002,50000],[7003,50000]]</v>
      </c>
      <c r="K10" s="24">
        <f t="shared" si="2"/>
        <v>5760</v>
      </c>
      <c r="L10" s="24">
        <f t="shared" si="18"/>
        <v>5760</v>
      </c>
      <c r="M10" s="24">
        <v>100</v>
      </c>
      <c r="N10" s="24">
        <v>100</v>
      </c>
      <c r="O10" s="24">
        <v>10000</v>
      </c>
      <c r="P10" s="24">
        <v>1605</v>
      </c>
      <c r="Q10" s="24">
        <v>9600</v>
      </c>
      <c r="R10" s="24">
        <v>9600</v>
      </c>
      <c r="S10" s="24">
        <v>9600</v>
      </c>
      <c r="T10" s="24">
        <v>9600</v>
      </c>
      <c r="U10" s="232">
        <f t="shared" si="3"/>
        <v>720000</v>
      </c>
      <c r="AE10" s="24">
        <v>1</v>
      </c>
      <c r="AF10" s="24">
        <f t="shared" si="4"/>
        <v>6</v>
      </c>
      <c r="AL10" s="24">
        <f t="shared" si="5"/>
        <v>3.5</v>
      </c>
      <c r="AM10" s="24">
        <f t="shared" si="19"/>
        <v>0.94440000000000002</v>
      </c>
      <c r="AN10" s="234" t="str">
        <f t="shared" si="20"/>
        <v>2,0.88,2,0.88,2.02</v>
      </c>
      <c r="AO10" s="24" t="str">
        <f t="shared" si="6"/>
        <v>1,1,0.003</v>
      </c>
      <c r="AQ10" s="24" t="str">
        <f t="shared" si="7"/>
        <v>[[0,0,0],[0,0,0],[0,0,0]]</v>
      </c>
      <c r="AR10" s="239">
        <v>1</v>
      </c>
      <c r="AS10" s="116">
        <f>ROUND((0-$AV$10)/($A10*AU10*60*6)+1,4)</f>
        <v>0.94440000000000002</v>
      </c>
      <c r="AT10" s="117">
        <f t="shared" si="8"/>
        <v>66.719999999999985</v>
      </c>
      <c r="AU10" s="240">
        <v>25</v>
      </c>
      <c r="AV10" s="24">
        <v>100000</v>
      </c>
      <c r="AW10" s="24">
        <f>15*60*6</f>
        <v>5400</v>
      </c>
      <c r="AX10" s="2">
        <f>ROUND(($BB$6-$BB$5)/(AZ10*60*A10*6)+1,4)</f>
        <v>3.5</v>
      </c>
      <c r="AY10" s="2">
        <f t="shared" si="9"/>
        <v>3000</v>
      </c>
      <c r="AZ10" s="253">
        <v>5</v>
      </c>
      <c r="BA10" s="254" t="s">
        <v>171</v>
      </c>
      <c r="BB10" s="255">
        <v>0</v>
      </c>
      <c r="BC10" s="256" t="str">
        <f t="shared" si="24"/>
        <v>中级房：演出金币首次达到金币0</v>
      </c>
      <c r="BD10" s="13"/>
      <c r="BE10" s="13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Q10" s="2">
        <f t="shared" si="10"/>
        <v>6100</v>
      </c>
      <c r="BR10" s="261">
        <f>ROUND((BT$2)/(BT10*$A10)+1,4)</f>
        <v>2</v>
      </c>
      <c r="BS10" s="21">
        <f t="shared" si="21"/>
        <v>1200</v>
      </c>
      <c r="BT10" s="262">
        <f>BT5</f>
        <v>50</v>
      </c>
      <c r="BU10" s="21">
        <f>ROUND((-BW$2)/(BW10*$A10)+1,4)</f>
        <v>0.88</v>
      </c>
      <c r="BV10" s="21">
        <f t="shared" si="11"/>
        <v>-144</v>
      </c>
      <c r="BW10" s="262">
        <f>BW5</f>
        <v>500</v>
      </c>
      <c r="BX10" s="21">
        <f>ROUND((BZ$2)/(BZ10*$A10)+1,4)</f>
        <v>2</v>
      </c>
      <c r="BY10" s="21">
        <f t="shared" si="22"/>
        <v>1200</v>
      </c>
      <c r="BZ10" s="262">
        <f>BZ5</f>
        <v>50</v>
      </c>
      <c r="CA10" s="21">
        <f>ROUND((-CC$2)/(CC10*$A10)+1,4)</f>
        <v>0.88</v>
      </c>
      <c r="CB10" s="21">
        <f t="shared" si="12"/>
        <v>-144</v>
      </c>
      <c r="CC10" s="262">
        <f>CC5</f>
        <v>500</v>
      </c>
      <c r="CD10" s="21">
        <f>ROUND((CF$2)/(CF10*$A10)+1,4)</f>
        <v>2.02</v>
      </c>
      <c r="CE10" s="21">
        <f t="shared" si="23"/>
        <v>1224</v>
      </c>
      <c r="CF10" s="262">
        <f>CF5</f>
        <v>5000</v>
      </c>
      <c r="CG10" s="251"/>
      <c r="CH10" s="252"/>
      <c r="CI10" s="198"/>
      <c r="CJ10" s="198"/>
      <c r="CK10" s="198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4" t="s">
        <v>172</v>
      </c>
      <c r="CY10" s="24" t="s">
        <v>138</v>
      </c>
      <c r="CZ10" s="24"/>
      <c r="DA10" s="274">
        <f t="shared" si="13"/>
        <v>2.9999999999999996E-3</v>
      </c>
      <c r="DB10" s="24">
        <v>1</v>
      </c>
      <c r="DC10" s="24">
        <v>1</v>
      </c>
      <c r="DD10" s="274">
        <f t="shared" si="14"/>
        <v>3.0000000000000001E-3</v>
      </c>
      <c r="DE10" s="24"/>
      <c r="DF10" s="232">
        <f t="shared" si="15"/>
        <v>4000</v>
      </c>
      <c r="DG10" s="232">
        <v>0</v>
      </c>
      <c r="DH10" s="232">
        <v>0</v>
      </c>
      <c r="DI10" s="232">
        <v>0</v>
      </c>
      <c r="DJ10" s="232">
        <f t="shared" si="16"/>
        <v>6000</v>
      </c>
      <c r="DK10" s="232">
        <v>0</v>
      </c>
      <c r="DL10" s="232">
        <v>0</v>
      </c>
      <c r="DM10" s="232">
        <v>0</v>
      </c>
      <c r="DN10" s="232">
        <f t="shared" si="17"/>
        <v>10000</v>
      </c>
      <c r="DO10" s="232">
        <v>0</v>
      </c>
      <c r="DP10" s="232">
        <v>0</v>
      </c>
      <c r="DQ10" s="232">
        <v>0</v>
      </c>
      <c r="EF10" s="33">
        <v>150000</v>
      </c>
      <c r="EG10" s="291">
        <v>100</v>
      </c>
      <c r="EH10" s="291">
        <v>20</v>
      </c>
      <c r="EI10" s="33">
        <f>EH10/4</f>
        <v>5</v>
      </c>
      <c r="EJ10" s="283">
        <v>1</v>
      </c>
      <c r="EK10" s="292">
        <f>EH10/EJ10</f>
        <v>20</v>
      </c>
      <c r="EL10" s="280">
        <f>EK10/$EH$22</f>
        <v>0.5</v>
      </c>
      <c r="EM10" s="280">
        <f>EL10</f>
        <v>0.5</v>
      </c>
      <c r="EN10" s="280">
        <f t="shared" ref="EN10:EN17" si="25">1/EJ10-1</f>
        <v>0</v>
      </c>
      <c r="EO10" s="312">
        <v>0.5</v>
      </c>
      <c r="EP10" s="33">
        <f t="shared" ref="EP10:EP17" si="26">EH10*EO10</f>
        <v>10</v>
      </c>
      <c r="EQ10" s="292">
        <f>EP10*EN10</f>
        <v>0</v>
      </c>
      <c r="ER10" s="313">
        <v>5</v>
      </c>
      <c r="ET10" s="314">
        <f t="shared" ref="ET10:ET17" si="27">ROUND(EP10/$ET$8,0)</f>
        <v>5</v>
      </c>
      <c r="EU10" s="312">
        <v>0.2</v>
      </c>
      <c r="EV10" s="33">
        <f t="shared" ref="EV10:EV14" si="28">ROUNDUP(ER10/$ET$8/5,0)*5</f>
        <v>5</v>
      </c>
      <c r="EW10" s="291">
        <v>200</v>
      </c>
      <c r="EX10" s="291">
        <v>1000</v>
      </c>
    </row>
    <row r="11" spans="1:154" x14ac:dyDescent="0.35">
      <c r="A11" s="220">
        <v>400</v>
      </c>
      <c r="B11" s="24">
        <v>0</v>
      </c>
      <c r="C11" s="24">
        <v>4</v>
      </c>
      <c r="D11" s="24">
        <v>0.3</v>
      </c>
      <c r="E11" s="221">
        <v>0</v>
      </c>
      <c r="F11" s="24">
        <v>-1</v>
      </c>
      <c r="G11" s="24">
        <v>1005</v>
      </c>
      <c r="H11" s="24">
        <f t="shared" si="0"/>
        <v>2000000</v>
      </c>
      <c r="I11" s="24">
        <f>A11*225</f>
        <v>90000</v>
      </c>
      <c r="J11" s="229" t="str">
        <f t="shared" si="1"/>
        <v>[[7001,90000],[7002,90000],[7003,90000]]</v>
      </c>
      <c r="K11" s="24">
        <f t="shared" si="2"/>
        <v>11520</v>
      </c>
      <c r="L11" s="24">
        <f t="shared" si="18"/>
        <v>11520</v>
      </c>
      <c r="M11" s="24">
        <v>120</v>
      </c>
      <c r="N11" s="24">
        <v>100</v>
      </c>
      <c r="O11" s="24">
        <v>10000</v>
      </c>
      <c r="P11" s="24">
        <v>1605</v>
      </c>
      <c r="Q11" s="24">
        <v>9600</v>
      </c>
      <c r="R11" s="24">
        <v>9600</v>
      </c>
      <c r="S11" s="24">
        <v>9600</v>
      </c>
      <c r="T11" s="24">
        <v>9600</v>
      </c>
      <c r="U11" s="232">
        <f t="shared" si="3"/>
        <v>720000</v>
      </c>
      <c r="AE11" s="24">
        <v>1</v>
      </c>
      <c r="AF11" s="24">
        <f t="shared" si="4"/>
        <v>7</v>
      </c>
      <c r="AL11" s="24">
        <f t="shared" si="5"/>
        <v>2.3889</v>
      </c>
      <c r="AM11" s="24">
        <f t="shared" si="19"/>
        <v>0.94440000000000002</v>
      </c>
      <c r="AN11" s="234" t="str">
        <f t="shared" si="20"/>
        <v>1.5882,0.9294,1.5882,0.9294,1.6</v>
      </c>
      <c r="AO11" s="24" t="str">
        <f t="shared" si="6"/>
        <v>1,1,0.006</v>
      </c>
      <c r="AQ11" s="24" t="str">
        <f t="shared" si="7"/>
        <v>[[0,0,0],[0,0,0],[0,0,0]]</v>
      </c>
      <c r="AR11" s="241">
        <v>0.8</v>
      </c>
      <c r="AS11" s="119">
        <f>ROUND((0-$AV$10)/($A11*AU11*60*6)+1,4)</f>
        <v>0.94440000000000002</v>
      </c>
      <c r="AT11" s="120">
        <f t="shared" si="8"/>
        <v>133.43999999999997</v>
      </c>
      <c r="AU11" s="242">
        <f>AU$10*(A$10/A11)</f>
        <v>12.5</v>
      </c>
      <c r="AX11" s="2">
        <f>ROUND(($BB$6-$BB$5)/(AZ11*60*A11*6)+1,4)</f>
        <v>2.3889</v>
      </c>
      <c r="AY11" s="2">
        <f t="shared" si="9"/>
        <v>3333.3600000000006</v>
      </c>
      <c r="AZ11" s="253">
        <f>AZ10-0.5</f>
        <v>4.5</v>
      </c>
      <c r="BA11" s="254" t="s">
        <v>173</v>
      </c>
      <c r="BB11" s="255">
        <v>0</v>
      </c>
      <c r="BC11" s="256" t="str">
        <f t="shared" si="24"/>
        <v>中级房：演出金币首次达到金币0</v>
      </c>
      <c r="BD11" s="13"/>
      <c r="BE11" s="13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Q11" s="2">
        <f t="shared" si="10"/>
        <v>5185</v>
      </c>
      <c r="BR11" s="261">
        <f>ROUND((BT$2)/(BT11*$A11)+1,4)</f>
        <v>1.5882000000000001</v>
      </c>
      <c r="BS11" s="21">
        <f t="shared" si="21"/>
        <v>1411.6800000000003</v>
      </c>
      <c r="BT11" s="260">
        <f>BT10-7.5</f>
        <v>42.5</v>
      </c>
      <c r="BU11" s="21">
        <f>ROUND((-BW$2)/(BW11*$A11)+1,4)</f>
        <v>0.9294</v>
      </c>
      <c r="BV11" s="21">
        <f t="shared" si="11"/>
        <v>-169.44</v>
      </c>
      <c r="BW11" s="260">
        <f>BW10-75</f>
        <v>425</v>
      </c>
      <c r="BX11" s="21">
        <f>ROUND((BZ$2)/(BZ11*$A11)+1,4)</f>
        <v>1.5882000000000001</v>
      </c>
      <c r="BY11" s="21">
        <f t="shared" si="22"/>
        <v>1411.6800000000003</v>
      </c>
      <c r="BZ11" s="260">
        <f>BZ10-7.5</f>
        <v>42.5</v>
      </c>
      <c r="CA11" s="21">
        <f>ROUND((-CC$2)/(CC11*$A11)+1,4)</f>
        <v>0.9294</v>
      </c>
      <c r="CB11" s="21">
        <f t="shared" si="12"/>
        <v>-169.44</v>
      </c>
      <c r="CC11" s="260">
        <f>CC10-75</f>
        <v>425</v>
      </c>
      <c r="CD11" s="21">
        <f>ROUND((CF$2)/(CF11*$A11)+1,4)</f>
        <v>1.6</v>
      </c>
      <c r="CE11" s="21">
        <f t="shared" si="23"/>
        <v>1440.0000000000002</v>
      </c>
      <c r="CF11" s="260">
        <f>CF10-750</f>
        <v>4250</v>
      </c>
      <c r="CG11" s="251"/>
      <c r="CH11" s="252"/>
      <c r="CI11" s="198"/>
      <c r="CJ11" s="198"/>
      <c r="CK11" s="198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4">
        <v>1005</v>
      </c>
      <c r="CY11" s="24" t="str">
        <f>'弹头价值|Dantou'!B5</f>
        <v>1000000</v>
      </c>
      <c r="CZ11" s="24"/>
      <c r="DA11" s="274">
        <f t="shared" si="13"/>
        <v>5.9999999999999993E-3</v>
      </c>
      <c r="DB11" s="24">
        <v>1</v>
      </c>
      <c r="DC11" s="24">
        <v>1</v>
      </c>
      <c r="DD11" s="274">
        <f t="shared" si="14"/>
        <v>6.0000000000000001E-3</v>
      </c>
      <c r="DE11" s="24"/>
      <c r="DF11" s="232">
        <f t="shared" si="15"/>
        <v>8000</v>
      </c>
      <c r="DG11" s="232">
        <v>0</v>
      </c>
      <c r="DH11" s="232">
        <v>0</v>
      </c>
      <c r="DI11" s="232">
        <v>0</v>
      </c>
      <c r="DJ11" s="232">
        <f t="shared" si="16"/>
        <v>12000</v>
      </c>
      <c r="DK11" s="232">
        <v>0</v>
      </c>
      <c r="DL11" s="232">
        <v>0</v>
      </c>
      <c r="DM11" s="232">
        <v>0</v>
      </c>
      <c r="DN11" s="232">
        <f t="shared" si="17"/>
        <v>20000</v>
      </c>
      <c r="DO11" s="232">
        <v>0</v>
      </c>
      <c r="DP11" s="232">
        <v>0</v>
      </c>
      <c r="DQ11" s="232">
        <v>0</v>
      </c>
      <c r="EF11" s="33">
        <v>200000</v>
      </c>
      <c r="EG11" s="291">
        <v>200</v>
      </c>
      <c r="EH11" s="291">
        <v>40</v>
      </c>
      <c r="EI11" s="33">
        <f t="shared" ref="EI11:EI17" si="29">EH11/4</f>
        <v>10</v>
      </c>
      <c r="EJ11" s="283">
        <v>0.5</v>
      </c>
      <c r="EK11" s="292">
        <f t="shared" ref="EK11:EK17" si="30">EH11/EJ11</f>
        <v>80</v>
      </c>
      <c r="EL11" s="280">
        <f t="shared" ref="EL11:EL17" si="31">EK11/$EH$22</f>
        <v>2</v>
      </c>
      <c r="EM11" s="293">
        <f>EM10+EL11</f>
        <v>2.5</v>
      </c>
      <c r="EN11" s="280">
        <f t="shared" si="25"/>
        <v>1</v>
      </c>
      <c r="EO11" s="286">
        <f>EO10</f>
        <v>0.5</v>
      </c>
      <c r="EP11" s="33">
        <f t="shared" si="26"/>
        <v>20</v>
      </c>
      <c r="EQ11" s="292">
        <f>EP11*EN11+EQ10</f>
        <v>20</v>
      </c>
      <c r="ER11" s="315">
        <f t="shared" ref="ER11:ER17" si="32">(EK11-EH11)</f>
        <v>40</v>
      </c>
      <c r="ET11" s="314">
        <f t="shared" si="27"/>
        <v>10</v>
      </c>
      <c r="EU11" s="286">
        <f>EU10</f>
        <v>0.2</v>
      </c>
      <c r="EV11" s="33">
        <f t="shared" si="28"/>
        <v>20</v>
      </c>
      <c r="EW11" s="291">
        <v>500</v>
      </c>
      <c r="EX11" s="291">
        <v>1000</v>
      </c>
    </row>
    <row r="12" spans="1:154" x14ac:dyDescent="0.35">
      <c r="A12" s="220">
        <v>600</v>
      </c>
      <c r="B12" s="24">
        <v>0</v>
      </c>
      <c r="C12" s="24">
        <v>6</v>
      </c>
      <c r="D12" s="24">
        <v>0.3</v>
      </c>
      <c r="E12" s="221">
        <v>0</v>
      </c>
      <c r="F12" s="24">
        <v>-1</v>
      </c>
      <c r="G12" s="24">
        <v>1005</v>
      </c>
      <c r="H12" s="24">
        <f t="shared" si="0"/>
        <v>3000000</v>
      </c>
      <c r="I12" s="24">
        <f>A12*200</f>
        <v>120000</v>
      </c>
      <c r="J12" s="229" t="str">
        <f t="shared" si="1"/>
        <v>[[7001,120000],[7002,120000],[7003,120000]]</v>
      </c>
      <c r="K12" s="24">
        <f t="shared" si="2"/>
        <v>17280</v>
      </c>
      <c r="L12" s="24">
        <f t="shared" si="18"/>
        <v>17280</v>
      </c>
      <c r="M12" s="24">
        <v>150</v>
      </c>
      <c r="N12" s="24">
        <v>100</v>
      </c>
      <c r="O12" s="24">
        <v>10000</v>
      </c>
      <c r="P12" s="24">
        <v>1605</v>
      </c>
      <c r="Q12" s="24">
        <v>9600</v>
      </c>
      <c r="R12" s="24">
        <v>9600</v>
      </c>
      <c r="S12" s="24">
        <v>9600</v>
      </c>
      <c r="T12" s="24">
        <v>9600</v>
      </c>
      <c r="U12" s="232">
        <f t="shared" si="3"/>
        <v>720000</v>
      </c>
      <c r="AE12" s="24">
        <v>1</v>
      </c>
      <c r="AF12" s="24">
        <f t="shared" si="4"/>
        <v>8</v>
      </c>
      <c r="AL12" s="24">
        <f t="shared" si="5"/>
        <v>2.0417000000000001</v>
      </c>
      <c r="AM12" s="24">
        <f t="shared" si="19"/>
        <v>0.94440000000000002</v>
      </c>
      <c r="AN12" s="234" t="str">
        <f t="shared" si="20"/>
        <v>1.4762,0.9429,1.4762,0.9429,1.4857</v>
      </c>
      <c r="AO12" s="24" t="str">
        <f t="shared" si="6"/>
        <v>1,1,0.009</v>
      </c>
      <c r="AQ12" s="24" t="str">
        <f t="shared" si="7"/>
        <v>[[0,0,0],[0,0,0],[0,0,0]]</v>
      </c>
      <c r="AR12" s="241">
        <v>0.6</v>
      </c>
      <c r="AS12" s="119">
        <f>ROUND((0-$AV$10)/($A12*AU12*60*6)+1,4)</f>
        <v>0.94440000000000002</v>
      </c>
      <c r="AT12" s="120">
        <f t="shared" si="8"/>
        <v>200.15999999999997</v>
      </c>
      <c r="AU12" s="243">
        <f>AU$10*(A$10/A12)</f>
        <v>8.3333333333333321</v>
      </c>
      <c r="AX12" s="2">
        <f>ROUND(($BB$6-$BB$5)/(AZ12*60*A12*6)+1,4)</f>
        <v>2.0417000000000001</v>
      </c>
      <c r="AY12" s="2">
        <f t="shared" si="9"/>
        <v>3750.1200000000008</v>
      </c>
      <c r="AZ12" s="253">
        <f>AZ11-0.5</f>
        <v>4</v>
      </c>
      <c r="BA12" s="254" t="s">
        <v>174</v>
      </c>
      <c r="BB12" s="255">
        <v>0</v>
      </c>
      <c r="BC12" s="256" t="str">
        <f t="shared" si="24"/>
        <v>中级房：演出金币首次达到金币0</v>
      </c>
      <c r="BD12" s="13"/>
      <c r="BE12" s="13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Q12" s="2">
        <f t="shared" si="10"/>
        <v>4270</v>
      </c>
      <c r="BR12" s="261">
        <f>ROUND((BT$2)/(BT12*$A12)+1,4)</f>
        <v>1.4762</v>
      </c>
      <c r="BS12" s="21">
        <f t="shared" si="21"/>
        <v>1714.3199999999997</v>
      </c>
      <c r="BT12" s="260">
        <f>BT11-7.5</f>
        <v>35</v>
      </c>
      <c r="BU12" s="21">
        <f>ROUND((-BW$2)/(BW12*$A12)+1,4)</f>
        <v>0.94289999999999996</v>
      </c>
      <c r="BV12" s="21">
        <f t="shared" si="11"/>
        <v>-205.56000000000017</v>
      </c>
      <c r="BW12" s="260">
        <f>BW11-75</f>
        <v>350</v>
      </c>
      <c r="BX12" s="21">
        <f>ROUND((BZ$2)/(BZ12*$A12)+1,4)</f>
        <v>1.4762</v>
      </c>
      <c r="BY12" s="21">
        <f t="shared" si="22"/>
        <v>1714.3199999999997</v>
      </c>
      <c r="BZ12" s="260">
        <f>BZ11-7.5</f>
        <v>35</v>
      </c>
      <c r="CA12" s="21">
        <f>ROUND((-CC$2)/(CC12*$A12)+1,4)</f>
        <v>0.94289999999999996</v>
      </c>
      <c r="CB12" s="21">
        <f t="shared" si="12"/>
        <v>-205.56000000000017</v>
      </c>
      <c r="CC12" s="260">
        <f>CC11-75</f>
        <v>350</v>
      </c>
      <c r="CD12" s="21">
        <f>ROUND((CF$2)/(CF12*$A12)+1,4)</f>
        <v>1.4857</v>
      </c>
      <c r="CE12" s="21">
        <f t="shared" si="23"/>
        <v>1748.52</v>
      </c>
      <c r="CF12" s="260">
        <f>CF11-750</f>
        <v>3500</v>
      </c>
      <c r="CG12" s="251"/>
      <c r="CH12" s="252"/>
      <c r="CI12" s="198"/>
      <c r="CJ12" s="198"/>
      <c r="CK12" s="198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4">
        <v>1006</v>
      </c>
      <c r="CY12" s="24" t="str">
        <f>'弹头价值|Dantou'!B6</f>
        <v>2000000</v>
      </c>
      <c r="CZ12" s="24"/>
      <c r="DA12" s="274">
        <f t="shared" si="13"/>
        <v>8.9999999999999993E-3</v>
      </c>
      <c r="DB12" s="24">
        <v>1</v>
      </c>
      <c r="DC12" s="24">
        <v>1</v>
      </c>
      <c r="DD12" s="274">
        <f t="shared" si="14"/>
        <v>8.9999999999999993E-3</v>
      </c>
      <c r="DE12" s="24"/>
      <c r="DF12" s="232">
        <f t="shared" si="15"/>
        <v>12000</v>
      </c>
      <c r="DG12" s="232">
        <v>0</v>
      </c>
      <c r="DH12" s="232">
        <v>0</v>
      </c>
      <c r="DI12" s="232">
        <v>0</v>
      </c>
      <c r="DJ12" s="232">
        <f t="shared" si="16"/>
        <v>18000</v>
      </c>
      <c r="DK12" s="232">
        <v>0</v>
      </c>
      <c r="DL12" s="232">
        <v>0</v>
      </c>
      <c r="DM12" s="232">
        <v>0</v>
      </c>
      <c r="DN12" s="232">
        <f t="shared" si="17"/>
        <v>30000</v>
      </c>
      <c r="DO12" s="232">
        <v>0</v>
      </c>
      <c r="DP12" s="232">
        <v>0</v>
      </c>
      <c r="DQ12" s="232">
        <v>0</v>
      </c>
      <c r="EF12" s="33">
        <v>250000</v>
      </c>
      <c r="EG12" s="291">
        <v>300</v>
      </c>
      <c r="EH12" s="291">
        <v>60</v>
      </c>
      <c r="EI12" s="33">
        <f t="shared" si="29"/>
        <v>15</v>
      </c>
      <c r="EJ12" s="283">
        <v>0.3</v>
      </c>
      <c r="EK12" s="292">
        <f t="shared" si="30"/>
        <v>200</v>
      </c>
      <c r="EL12" s="280">
        <f t="shared" si="31"/>
        <v>5</v>
      </c>
      <c r="EM12" s="293">
        <f t="shared" ref="EM12:EM17" si="33">EM11+EL12</f>
        <v>7.5</v>
      </c>
      <c r="EN12" s="280">
        <f t="shared" si="25"/>
        <v>2.3333333333333335</v>
      </c>
      <c r="EO12" s="286">
        <f t="shared" ref="EO12:EO17" si="34">EO11</f>
        <v>0.5</v>
      </c>
      <c r="EP12" s="33">
        <f t="shared" si="26"/>
        <v>30</v>
      </c>
      <c r="EQ12" s="292">
        <f t="shared" ref="EQ12:EQ17" si="35">EP12*EN12+EQ11</f>
        <v>90</v>
      </c>
      <c r="ER12" s="315">
        <f t="shared" si="32"/>
        <v>140</v>
      </c>
      <c r="ET12" s="314">
        <f t="shared" si="27"/>
        <v>15</v>
      </c>
      <c r="EU12" s="286">
        <f t="shared" ref="EU12:EU17" si="36">EU11</f>
        <v>0.2</v>
      </c>
      <c r="EV12" s="33">
        <f t="shared" si="28"/>
        <v>70</v>
      </c>
      <c r="EW12" s="291">
        <v>800</v>
      </c>
      <c r="EX12" s="291">
        <v>1000</v>
      </c>
    </row>
    <row r="13" spans="1:154" x14ac:dyDescent="0.35">
      <c r="A13" s="220">
        <v>800</v>
      </c>
      <c r="B13" s="24">
        <v>0</v>
      </c>
      <c r="C13" s="24">
        <v>8</v>
      </c>
      <c r="D13" s="24">
        <v>0.3</v>
      </c>
      <c r="E13" s="221">
        <v>0</v>
      </c>
      <c r="F13" s="24">
        <v>-1</v>
      </c>
      <c r="G13" s="24">
        <v>1005</v>
      </c>
      <c r="H13" s="24">
        <f t="shared" si="0"/>
        <v>4000000</v>
      </c>
      <c r="I13" s="24">
        <f>A13*175</f>
        <v>140000</v>
      </c>
      <c r="J13" s="229" t="str">
        <f t="shared" si="1"/>
        <v>[[7001,140000],[7002,140000],[7003,140000]]</v>
      </c>
      <c r="K13" s="24">
        <f t="shared" si="2"/>
        <v>23040</v>
      </c>
      <c r="L13" s="24">
        <f t="shared" si="18"/>
        <v>23040</v>
      </c>
      <c r="M13" s="24">
        <v>170</v>
      </c>
      <c r="N13" s="24">
        <v>100</v>
      </c>
      <c r="O13" s="24">
        <v>10000</v>
      </c>
      <c r="P13" s="24">
        <v>1605</v>
      </c>
      <c r="Q13" s="24">
        <v>9600</v>
      </c>
      <c r="R13" s="24">
        <v>9600</v>
      </c>
      <c r="S13" s="24">
        <v>9600</v>
      </c>
      <c r="T13" s="24">
        <v>9600</v>
      </c>
      <c r="U13" s="232">
        <f t="shared" si="3"/>
        <v>720000</v>
      </c>
      <c r="AE13" s="24">
        <v>1</v>
      </c>
      <c r="AF13" s="24">
        <f t="shared" si="4"/>
        <v>9</v>
      </c>
      <c r="AL13" s="24">
        <f t="shared" si="5"/>
        <v>1.8929</v>
      </c>
      <c r="AM13" s="24">
        <f t="shared" si="19"/>
        <v>0.94440000000000002</v>
      </c>
      <c r="AN13" s="234" t="str">
        <f t="shared" si="20"/>
        <v>1.4545,0.9455,1.4545,0.9455,1.4636</v>
      </c>
      <c r="AO13" s="24" t="str">
        <f t="shared" si="6"/>
        <v>1,1,0.012</v>
      </c>
      <c r="AQ13" s="24" t="str">
        <f t="shared" si="7"/>
        <v>[[0,0,0],[0,0,0],[0,0,0]]</v>
      </c>
      <c r="AR13" s="241">
        <v>0.5</v>
      </c>
      <c r="AS13" s="119">
        <f>ROUND((0-$AV$10)/($A13*AU13*60*6)+1,4)</f>
        <v>0.94440000000000002</v>
      </c>
      <c r="AT13" s="120">
        <f t="shared" si="8"/>
        <v>266.87999999999994</v>
      </c>
      <c r="AU13" s="242">
        <f>AU$10*(A$10/A13)</f>
        <v>6.25</v>
      </c>
      <c r="AX13" s="2">
        <f>ROUND(($BB$6-$BB$5)/(AZ13*60*A13*6)+1,4)</f>
        <v>1.8929</v>
      </c>
      <c r="AY13" s="2">
        <f t="shared" si="9"/>
        <v>4285.92</v>
      </c>
      <c r="AZ13" s="253">
        <f>AZ12-0.5</f>
        <v>3.5</v>
      </c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Q13" s="2">
        <f t="shared" si="10"/>
        <v>3355</v>
      </c>
      <c r="BR13" s="261">
        <f>ROUND((BT$2)/(BT13*$A13)+1,4)</f>
        <v>1.4544999999999999</v>
      </c>
      <c r="BS13" s="21">
        <f t="shared" si="21"/>
        <v>2181.5999999999995</v>
      </c>
      <c r="BT13" s="260">
        <f>BT12-7.5</f>
        <v>27.5</v>
      </c>
      <c r="BU13" s="21">
        <f>ROUND((-BW$2)/(BW13*$A13)+1,4)</f>
        <v>0.94550000000000001</v>
      </c>
      <c r="BV13" s="21">
        <f t="shared" si="11"/>
        <v>-261.59999999999997</v>
      </c>
      <c r="BW13" s="260">
        <f>BW12-75</f>
        <v>275</v>
      </c>
      <c r="BX13" s="21">
        <f>ROUND((BZ$2)/(BZ13*$A13)+1,4)</f>
        <v>1.4544999999999999</v>
      </c>
      <c r="BY13" s="21">
        <f t="shared" si="22"/>
        <v>2181.5999999999995</v>
      </c>
      <c r="BZ13" s="260">
        <f>BZ12-7.5</f>
        <v>27.5</v>
      </c>
      <c r="CA13" s="21">
        <f>ROUND((-CC$2)/(CC13*$A13)+1,4)</f>
        <v>0.94550000000000001</v>
      </c>
      <c r="CB13" s="21">
        <f t="shared" si="12"/>
        <v>-261.59999999999997</v>
      </c>
      <c r="CC13" s="260">
        <f>CC12-75</f>
        <v>275</v>
      </c>
      <c r="CD13" s="21">
        <f>ROUND((CF$2)/(CF13*$A13)+1,4)</f>
        <v>1.4636</v>
      </c>
      <c r="CE13" s="21">
        <f t="shared" si="23"/>
        <v>2225.2799999999997</v>
      </c>
      <c r="CF13" s="260">
        <f>CF12-750</f>
        <v>2750</v>
      </c>
      <c r="CG13" s="251"/>
      <c r="CH13" s="252"/>
      <c r="CI13" s="198"/>
      <c r="CJ13" s="198"/>
      <c r="CK13" s="198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4">
        <v>1007</v>
      </c>
      <c r="CY13" s="24" t="str">
        <f>'弹头价值|Dantou'!B7</f>
        <v>5000000</v>
      </c>
      <c r="CZ13" s="24"/>
      <c r="DA13" s="274">
        <f t="shared" si="13"/>
        <v>1.1999999999999999E-2</v>
      </c>
      <c r="DB13" s="24">
        <v>1</v>
      </c>
      <c r="DC13" s="24">
        <v>1</v>
      </c>
      <c r="DD13" s="274">
        <f t="shared" si="14"/>
        <v>1.2E-2</v>
      </c>
      <c r="DE13" s="24"/>
      <c r="DF13" s="232">
        <f t="shared" si="15"/>
        <v>16000</v>
      </c>
      <c r="DG13" s="232">
        <v>0</v>
      </c>
      <c r="DH13" s="232">
        <v>0</v>
      </c>
      <c r="DI13" s="232">
        <v>0</v>
      </c>
      <c r="DJ13" s="232">
        <f t="shared" si="16"/>
        <v>24000</v>
      </c>
      <c r="DK13" s="232">
        <v>0</v>
      </c>
      <c r="DL13" s="232">
        <v>0</v>
      </c>
      <c r="DM13" s="232">
        <v>0</v>
      </c>
      <c r="DN13" s="232">
        <f t="shared" si="17"/>
        <v>40000</v>
      </c>
      <c r="DO13" s="232">
        <v>0</v>
      </c>
      <c r="DP13" s="232">
        <v>0</v>
      </c>
      <c r="DQ13" s="232">
        <v>0</v>
      </c>
      <c r="EF13" s="33">
        <v>300000</v>
      </c>
      <c r="EG13" s="291">
        <v>400</v>
      </c>
      <c r="EH13" s="291">
        <v>80</v>
      </c>
      <c r="EI13" s="33">
        <f t="shared" si="29"/>
        <v>20</v>
      </c>
      <c r="EJ13" s="283">
        <v>0.15</v>
      </c>
      <c r="EK13" s="292">
        <f t="shared" si="30"/>
        <v>533.33333333333337</v>
      </c>
      <c r="EL13" s="280">
        <f t="shared" si="31"/>
        <v>13.333333333333334</v>
      </c>
      <c r="EM13" s="293">
        <f t="shared" si="33"/>
        <v>20.833333333333336</v>
      </c>
      <c r="EN13" s="280">
        <f t="shared" si="25"/>
        <v>5.666666666666667</v>
      </c>
      <c r="EO13" s="286">
        <f t="shared" si="34"/>
        <v>0.5</v>
      </c>
      <c r="EP13" s="33">
        <f t="shared" si="26"/>
        <v>40</v>
      </c>
      <c r="EQ13" s="292">
        <f t="shared" si="35"/>
        <v>316.66666666666669</v>
      </c>
      <c r="ER13" s="315">
        <f t="shared" si="32"/>
        <v>453.33333333333337</v>
      </c>
      <c r="ET13" s="314">
        <f t="shared" si="27"/>
        <v>20</v>
      </c>
      <c r="EU13" s="286">
        <f t="shared" si="36"/>
        <v>0.2</v>
      </c>
      <c r="EV13" s="33">
        <f t="shared" si="28"/>
        <v>230</v>
      </c>
      <c r="EW13" s="291">
        <v>1000</v>
      </c>
      <c r="EX13" s="291">
        <v>1000</v>
      </c>
    </row>
    <row r="14" spans="1:154" x14ac:dyDescent="0.35">
      <c r="A14" s="220">
        <v>1000</v>
      </c>
      <c r="B14" s="24">
        <v>1</v>
      </c>
      <c r="C14" s="24">
        <f t="shared" ref="C14:C32" si="37">C9*10</f>
        <v>10</v>
      </c>
      <c r="D14" s="24">
        <v>0.3</v>
      </c>
      <c r="E14" s="221">
        <v>1</v>
      </c>
      <c r="F14" s="24">
        <v>-1</v>
      </c>
      <c r="G14" s="24">
        <v>1005</v>
      </c>
      <c r="H14" s="24">
        <f t="shared" si="0"/>
        <v>5000000</v>
      </c>
      <c r="I14" s="24">
        <f>A14*150</f>
        <v>150000</v>
      </c>
      <c r="J14" s="229" t="str">
        <f t="shared" si="1"/>
        <v>[[7001,150000],[7002,150000],[7003,150000]]</v>
      </c>
      <c r="K14" s="24">
        <f t="shared" si="2"/>
        <v>28800</v>
      </c>
      <c r="L14" s="24">
        <f t="shared" si="18"/>
        <v>28800</v>
      </c>
      <c r="M14" s="24">
        <v>200</v>
      </c>
      <c r="N14" s="24">
        <v>100</v>
      </c>
      <c r="O14" s="24">
        <v>10000</v>
      </c>
      <c r="P14" s="24">
        <v>1605</v>
      </c>
      <c r="Q14" s="24">
        <v>9600</v>
      </c>
      <c r="R14" s="24">
        <v>9600</v>
      </c>
      <c r="S14" s="24">
        <v>9600</v>
      </c>
      <c r="T14" s="24">
        <v>9600</v>
      </c>
      <c r="U14" s="232">
        <f t="shared" si="3"/>
        <v>720000</v>
      </c>
      <c r="AE14" s="24">
        <v>1</v>
      </c>
      <c r="AF14" s="24">
        <f t="shared" si="4"/>
        <v>10</v>
      </c>
      <c r="AL14" s="24">
        <f t="shared" si="5"/>
        <v>1.8332999999999999</v>
      </c>
      <c r="AM14" s="24">
        <f t="shared" si="19"/>
        <v>0.94440000000000002</v>
      </c>
      <c r="AN14" s="234" t="str">
        <f t="shared" si="20"/>
        <v>1.5,0.94,1.5,0.94,1.51</v>
      </c>
      <c r="AO14" s="24" t="str">
        <f t="shared" si="6"/>
        <v>1,1,0.015</v>
      </c>
      <c r="AQ14" s="24" t="str">
        <f t="shared" si="7"/>
        <v>[[0,0,0],[0,0,0],[0,0,0]]</v>
      </c>
      <c r="AR14" s="241">
        <v>0.46300000000000002</v>
      </c>
      <c r="AS14" s="122">
        <f>ROUND((0-$AV$10)/($A14*AU14*60*6)+1,4)</f>
        <v>0.94440000000000002</v>
      </c>
      <c r="AT14" s="123">
        <f t="shared" si="8"/>
        <v>333.59999999999991</v>
      </c>
      <c r="AU14" s="244">
        <f>AU$10*(A$10/A14)</f>
        <v>5</v>
      </c>
      <c r="AX14" s="2">
        <f>ROUND(($BB$6-$BB$5)/(AZ14*60*A14*6)+1,4)</f>
        <v>1.8332999999999999</v>
      </c>
      <c r="AY14" s="2">
        <f t="shared" si="9"/>
        <v>4999.7999999999993</v>
      </c>
      <c r="AZ14" s="253">
        <f>AZ13-0.5</f>
        <v>3</v>
      </c>
      <c r="BA14" s="198" t="s">
        <v>175</v>
      </c>
      <c r="BB14" s="257" t="s">
        <v>127</v>
      </c>
      <c r="BC14" s="257" t="s">
        <v>176</v>
      </c>
      <c r="BD14" s="198" t="s">
        <v>177</v>
      </c>
      <c r="BE14" s="257" t="s">
        <v>127</v>
      </c>
      <c r="BF14" s="257" t="s">
        <v>176</v>
      </c>
      <c r="BG14" s="198" t="s">
        <v>178</v>
      </c>
      <c r="BH14" s="257" t="s">
        <v>127</v>
      </c>
      <c r="BI14" s="257" t="s">
        <v>176</v>
      </c>
      <c r="BJ14" s="198" t="s">
        <v>179</v>
      </c>
      <c r="BK14" s="257" t="s">
        <v>127</v>
      </c>
      <c r="BL14" s="257" t="s">
        <v>176</v>
      </c>
      <c r="BM14" s="198" t="s">
        <v>180</v>
      </c>
      <c r="BN14" s="257" t="s">
        <v>127</v>
      </c>
      <c r="BO14" s="257" t="s">
        <v>176</v>
      </c>
      <c r="BQ14" s="2">
        <f t="shared" si="10"/>
        <v>2440</v>
      </c>
      <c r="BR14" s="261">
        <f>ROUND((BT$2)/(BT14*$A14)+1,4)</f>
        <v>1.5</v>
      </c>
      <c r="BS14" s="21">
        <f t="shared" si="21"/>
        <v>3000</v>
      </c>
      <c r="BT14" s="260">
        <f>BT13-7.5</f>
        <v>20</v>
      </c>
      <c r="BU14" s="21">
        <f>ROUND((-BW$2)/(BW14*$A14)+1,4)</f>
        <v>0.94</v>
      </c>
      <c r="BV14" s="21">
        <f t="shared" si="11"/>
        <v>-360.00000000000034</v>
      </c>
      <c r="BW14" s="260">
        <f>BW13-75</f>
        <v>200</v>
      </c>
      <c r="BX14" s="21">
        <f>ROUND((BZ$2)/(BZ14*$A14)+1,4)</f>
        <v>1.5</v>
      </c>
      <c r="BY14" s="21">
        <f t="shared" si="22"/>
        <v>3000</v>
      </c>
      <c r="BZ14" s="260">
        <f>BZ13-7.5</f>
        <v>20</v>
      </c>
      <c r="CA14" s="21">
        <f>ROUND((-CC$2)/(CC14*$A14)+1,4)</f>
        <v>0.94</v>
      </c>
      <c r="CB14" s="21">
        <f t="shared" si="12"/>
        <v>-360.00000000000034</v>
      </c>
      <c r="CC14" s="260">
        <f>CC13-75</f>
        <v>200</v>
      </c>
      <c r="CD14" s="21">
        <f>ROUND((CF$2)/(CF14*$A14)+1,4)</f>
        <v>1.51</v>
      </c>
      <c r="CE14" s="21">
        <f t="shared" si="23"/>
        <v>3060</v>
      </c>
      <c r="CF14" s="260">
        <f>CF13-750</f>
        <v>2000</v>
      </c>
      <c r="CX14" s="24">
        <v>1008</v>
      </c>
      <c r="CY14" s="24" t="str">
        <f>'弹头价值|Dantou'!B8</f>
        <v>10000000</v>
      </c>
      <c r="CZ14" s="24"/>
      <c r="DA14" s="274">
        <f t="shared" si="13"/>
        <v>1.4999999999999999E-2</v>
      </c>
      <c r="DB14" s="24">
        <v>1</v>
      </c>
      <c r="DC14" s="24">
        <v>1</v>
      </c>
      <c r="DD14" s="274">
        <f t="shared" si="14"/>
        <v>1.4999999999999999E-2</v>
      </c>
      <c r="DE14" s="24"/>
      <c r="DF14" s="232">
        <f t="shared" si="15"/>
        <v>20000</v>
      </c>
      <c r="DG14" s="232">
        <v>0</v>
      </c>
      <c r="DH14" s="232">
        <v>0</v>
      </c>
      <c r="DI14" s="232">
        <v>0</v>
      </c>
      <c r="DJ14" s="232">
        <f t="shared" si="16"/>
        <v>30000</v>
      </c>
      <c r="DK14" s="232">
        <v>0</v>
      </c>
      <c r="DL14" s="232">
        <v>0</v>
      </c>
      <c r="DM14" s="232">
        <v>0</v>
      </c>
      <c r="DN14" s="232">
        <f t="shared" si="17"/>
        <v>50000</v>
      </c>
      <c r="DO14" s="232">
        <v>0</v>
      </c>
      <c r="DP14" s="232">
        <v>0</v>
      </c>
      <c r="DQ14" s="232">
        <v>0</v>
      </c>
      <c r="EF14" s="33">
        <v>350000</v>
      </c>
      <c r="EG14" s="291">
        <v>500</v>
      </c>
      <c r="EH14" s="291">
        <v>100</v>
      </c>
      <c r="EI14" s="33">
        <f t="shared" si="29"/>
        <v>25</v>
      </c>
      <c r="EJ14" s="283">
        <v>0.1</v>
      </c>
      <c r="EK14" s="292">
        <f t="shared" si="30"/>
        <v>1000</v>
      </c>
      <c r="EL14" s="280">
        <f t="shared" si="31"/>
        <v>25</v>
      </c>
      <c r="EM14" s="293">
        <f t="shared" si="33"/>
        <v>45.833333333333336</v>
      </c>
      <c r="EN14" s="280">
        <f t="shared" si="25"/>
        <v>9</v>
      </c>
      <c r="EO14" s="286">
        <f t="shared" si="34"/>
        <v>0.5</v>
      </c>
      <c r="EP14" s="33">
        <f t="shared" si="26"/>
        <v>50</v>
      </c>
      <c r="EQ14" s="292">
        <f t="shared" si="35"/>
        <v>766.66666666666674</v>
      </c>
      <c r="ER14" s="292">
        <f t="shared" si="32"/>
        <v>900</v>
      </c>
      <c r="ET14" s="314">
        <f t="shared" si="27"/>
        <v>25</v>
      </c>
      <c r="EU14" s="286">
        <f t="shared" si="36"/>
        <v>0.2</v>
      </c>
      <c r="EV14" s="33">
        <f t="shared" si="28"/>
        <v>450</v>
      </c>
      <c r="EW14" s="291">
        <v>1200</v>
      </c>
      <c r="EX14" s="291">
        <v>1000</v>
      </c>
    </row>
    <row r="15" spans="1:154" x14ac:dyDescent="0.35">
      <c r="A15" s="220">
        <v>2000</v>
      </c>
      <c r="B15" s="24">
        <v>1</v>
      </c>
      <c r="C15" s="24">
        <f t="shared" si="37"/>
        <v>20</v>
      </c>
      <c r="D15" s="24">
        <v>0.3</v>
      </c>
      <c r="E15" s="221">
        <v>0</v>
      </c>
      <c r="F15" s="24">
        <v>-1</v>
      </c>
      <c r="G15" s="24">
        <v>1005</v>
      </c>
      <c r="H15" s="24">
        <f t="shared" si="0"/>
        <v>10000000</v>
      </c>
      <c r="I15" s="227">
        <f>A15*250</f>
        <v>500000</v>
      </c>
      <c r="J15" s="228" t="str">
        <f t="shared" si="1"/>
        <v>[[7001,500000],[7002,500000],[7003,500000]]</v>
      </c>
      <c r="K15" s="24">
        <f t="shared" si="2"/>
        <v>57600</v>
      </c>
      <c r="L15" s="24">
        <f t="shared" si="18"/>
        <v>57600</v>
      </c>
      <c r="M15" s="24">
        <f>M10</f>
        <v>100</v>
      </c>
      <c r="N15" s="24">
        <v>100</v>
      </c>
      <c r="O15" s="24">
        <v>10000</v>
      </c>
      <c r="P15" s="24">
        <v>1606</v>
      </c>
      <c r="Q15" s="24">
        <v>9400</v>
      </c>
      <c r="R15" s="24">
        <v>9500</v>
      </c>
      <c r="S15" s="24">
        <v>9500</v>
      </c>
      <c r="T15" s="24">
        <v>9500</v>
      </c>
      <c r="U15" s="232">
        <f t="shared" si="3"/>
        <v>720000</v>
      </c>
      <c r="AE15" s="24">
        <v>1</v>
      </c>
      <c r="AF15" s="24">
        <f t="shared" si="4"/>
        <v>11</v>
      </c>
      <c r="AL15" s="233" t="str">
        <f>AX15&amp;","&amp;BA15&amp;","&amp;BD15</f>
        <v>1.434,0.9132,0.9597</v>
      </c>
      <c r="AM15" s="24">
        <f t="shared" si="19"/>
        <v>0.94440000000000002</v>
      </c>
      <c r="AN15" s="234" t="str">
        <f t="shared" si="20"/>
        <v>2,0.88,2,0.88,2.02</v>
      </c>
      <c r="AO15" s="24" t="str">
        <f t="shared" si="6"/>
        <v>1,1,0.03</v>
      </c>
      <c r="AQ15" s="24" t="str">
        <f t="shared" si="7"/>
        <v>[[0,0,0],[0,0,0],[0,0,0]]</v>
      </c>
      <c r="AR15" s="239">
        <v>1</v>
      </c>
      <c r="AS15" s="116">
        <f t="shared" ref="AS15:AS32" si="38">ROUND((0-$AV$15)/($A15*AU15*60*6)+1,4)</f>
        <v>0.94440000000000002</v>
      </c>
      <c r="AT15" s="117">
        <f t="shared" si="8"/>
        <v>667.19999999999982</v>
      </c>
      <c r="AU15" s="240">
        <v>25</v>
      </c>
      <c r="AV15" s="24">
        <v>1000000</v>
      </c>
      <c r="AW15" s="24">
        <f>18*60*6</f>
        <v>6480</v>
      </c>
      <c r="AX15" s="2">
        <f>ROUND(($BB$7-$BB$6)/(AZ15*60*$A15*6)+1,4)</f>
        <v>1.4339999999999999</v>
      </c>
      <c r="AY15" s="2">
        <f>(AX15-1)*$A20*6</f>
        <v>52079.999999999985</v>
      </c>
      <c r="AZ15" s="258">
        <v>1.6</v>
      </c>
      <c r="BA15" s="2">
        <f>ROUND(($BB$8-$BB$7)/(A15*6*60*BC15)+1,4)</f>
        <v>0.91320000000000001</v>
      </c>
      <c r="BB15" s="2">
        <f>(BA15-1)*$A20*6</f>
        <v>-10415.999999999998</v>
      </c>
      <c r="BC15" s="258">
        <v>8</v>
      </c>
      <c r="BD15" s="2">
        <f>ROUND(($BB$9-$BB$8)/(BF15*60*A15*6)+1,4)</f>
        <v>0.9597</v>
      </c>
      <c r="BE15" s="2">
        <f>(BD15-1)*$A20*6</f>
        <v>-4836</v>
      </c>
      <c r="BF15" s="258">
        <v>34.5</v>
      </c>
      <c r="BG15" s="2">
        <f>ROUND(($BB$10-$BB$9)/(A15*6*60*BI15)+1,4)</f>
        <v>1</v>
      </c>
      <c r="BH15" s="2">
        <f>(BG15-1)*$A20*6</f>
        <v>0</v>
      </c>
      <c r="BI15" s="258">
        <v>8</v>
      </c>
      <c r="BJ15" s="2">
        <f>ROUND(($BB$11-$BB$10)/(BL15*60*A15*6)+1,4)</f>
        <v>1</v>
      </c>
      <c r="BK15" s="2">
        <f>(BJ15-1)*$A20*6</f>
        <v>0</v>
      </c>
      <c r="BL15" s="258">
        <v>1.6</v>
      </c>
      <c r="BM15" s="2">
        <f>ROUND(($BB$12-$BB$11)/(A15*6*60*BO15)+1,4)</f>
        <v>1</v>
      </c>
      <c r="BN15" s="2">
        <f>(BM15-1)*$A20*6</f>
        <v>0</v>
      </c>
      <c r="BO15" s="258">
        <f>BI15/3*2</f>
        <v>5.333333333333333</v>
      </c>
      <c r="BQ15" s="2">
        <f t="shared" si="10"/>
        <v>6100</v>
      </c>
      <c r="BR15" s="261">
        <f>ROUND((BT$3)/(BT15*$A15)+1,4)</f>
        <v>2</v>
      </c>
      <c r="BS15" s="21">
        <f t="shared" si="21"/>
        <v>12000</v>
      </c>
      <c r="BT15" s="263">
        <f>BT5</f>
        <v>50</v>
      </c>
      <c r="BU15" s="21">
        <f>ROUND((-BW$3)/(BW15*$A15)+1,4)</f>
        <v>0.88</v>
      </c>
      <c r="BV15" s="21">
        <f t="shared" si="11"/>
        <v>-1440</v>
      </c>
      <c r="BW15" s="263">
        <f>BW5</f>
        <v>500</v>
      </c>
      <c r="BX15" s="21">
        <f>ROUND((BZ$3)/(BZ15*$A15)+1,4)</f>
        <v>2</v>
      </c>
      <c r="BY15" s="21">
        <f t="shared" si="22"/>
        <v>12000</v>
      </c>
      <c r="BZ15" s="263">
        <f>BZ5</f>
        <v>50</v>
      </c>
      <c r="CA15" s="21">
        <f>ROUND((-CC$3)/(CC15*$A15)+1,4)</f>
        <v>0.88</v>
      </c>
      <c r="CB15" s="21">
        <f t="shared" si="12"/>
        <v>-1440</v>
      </c>
      <c r="CC15" s="263">
        <f>CC5</f>
        <v>500</v>
      </c>
      <c r="CD15" s="21">
        <f>ROUND((CF$3)/(CF15*$A15)+1,4)</f>
        <v>2.02</v>
      </c>
      <c r="CE15" s="21">
        <f t="shared" si="23"/>
        <v>12240</v>
      </c>
      <c r="CF15" s="263">
        <f>CF5</f>
        <v>5000</v>
      </c>
      <c r="CZ15" s="24"/>
      <c r="DA15" s="274">
        <f t="shared" si="13"/>
        <v>0.03</v>
      </c>
      <c r="DB15" s="24">
        <v>1</v>
      </c>
      <c r="DC15" s="24">
        <v>1</v>
      </c>
      <c r="DD15" s="274">
        <f t="shared" si="14"/>
        <v>0.03</v>
      </c>
      <c r="DE15" s="24"/>
      <c r="DF15" s="232">
        <f t="shared" si="15"/>
        <v>40000</v>
      </c>
      <c r="DG15" s="232">
        <v>0</v>
      </c>
      <c r="DH15" s="232">
        <v>0</v>
      </c>
      <c r="DI15" s="232">
        <v>0</v>
      </c>
      <c r="DJ15" s="232">
        <f t="shared" si="16"/>
        <v>60000</v>
      </c>
      <c r="DK15" s="232">
        <v>0</v>
      </c>
      <c r="DL15" s="232">
        <v>0</v>
      </c>
      <c r="DM15" s="232">
        <v>0</v>
      </c>
      <c r="DN15" s="232">
        <f t="shared" si="17"/>
        <v>100000</v>
      </c>
      <c r="DO15" s="232">
        <v>0</v>
      </c>
      <c r="DP15" s="232">
        <v>0</v>
      </c>
      <c r="DQ15" s="232">
        <v>0</v>
      </c>
      <c r="EF15" s="33">
        <v>400000</v>
      </c>
      <c r="EG15" s="291">
        <v>600</v>
      </c>
      <c r="EH15" s="291">
        <v>120</v>
      </c>
      <c r="EI15" s="33">
        <f t="shared" si="29"/>
        <v>30</v>
      </c>
      <c r="EJ15" s="283">
        <v>0.05</v>
      </c>
      <c r="EK15" s="292">
        <f t="shared" si="30"/>
        <v>2400</v>
      </c>
      <c r="EL15" s="280">
        <f t="shared" si="31"/>
        <v>60</v>
      </c>
      <c r="EM15" s="293">
        <f t="shared" si="33"/>
        <v>105.83333333333334</v>
      </c>
      <c r="EN15" s="280">
        <f t="shared" si="25"/>
        <v>19</v>
      </c>
      <c r="EO15" s="286">
        <f t="shared" si="34"/>
        <v>0.5</v>
      </c>
      <c r="EP15" s="33">
        <f t="shared" si="26"/>
        <v>60</v>
      </c>
      <c r="EQ15" s="292">
        <f t="shared" si="35"/>
        <v>1906.6666666666667</v>
      </c>
      <c r="ER15" s="292">
        <f t="shared" si="32"/>
        <v>2280</v>
      </c>
      <c r="ET15" s="314">
        <f t="shared" si="27"/>
        <v>30</v>
      </c>
      <c r="EU15" s="286">
        <f t="shared" si="36"/>
        <v>0.2</v>
      </c>
      <c r="EV15" s="33">
        <f t="shared" ref="EV15:EV17" si="39">ROUNDUP(ER15/$ET$8/5,0)*5</f>
        <v>1140</v>
      </c>
      <c r="EW15" s="291">
        <v>1500</v>
      </c>
      <c r="EX15" s="291">
        <v>1000</v>
      </c>
    </row>
    <row r="16" spans="1:154" x14ac:dyDescent="0.35">
      <c r="A16" s="220">
        <v>4000</v>
      </c>
      <c r="B16" s="24">
        <v>1</v>
      </c>
      <c r="C16" s="24">
        <f t="shared" si="37"/>
        <v>40</v>
      </c>
      <c r="D16" s="24">
        <v>0.3</v>
      </c>
      <c r="E16" s="221">
        <v>0</v>
      </c>
      <c r="F16" s="24">
        <v>-1</v>
      </c>
      <c r="G16" s="24">
        <v>1005</v>
      </c>
      <c r="H16" s="24">
        <f t="shared" si="0"/>
        <v>20000000</v>
      </c>
      <c r="I16" s="227">
        <f>A16*225</f>
        <v>900000</v>
      </c>
      <c r="J16" s="228" t="str">
        <f t="shared" si="1"/>
        <v>[[7001,900000],[7002,900000],[7003,900000]]</v>
      </c>
      <c r="K16" s="24">
        <f t="shared" si="2"/>
        <v>115200</v>
      </c>
      <c r="L16" s="24">
        <f t="shared" si="18"/>
        <v>115200</v>
      </c>
      <c r="M16" s="24">
        <f t="shared" ref="M16:M24" si="40">M11</f>
        <v>120</v>
      </c>
      <c r="N16" s="24">
        <v>100</v>
      </c>
      <c r="O16" s="24">
        <v>6250</v>
      </c>
      <c r="P16" s="24">
        <v>1606</v>
      </c>
      <c r="Q16" s="24">
        <v>9400</v>
      </c>
      <c r="R16" s="24">
        <v>9500</v>
      </c>
      <c r="S16" s="24">
        <v>9500</v>
      </c>
      <c r="T16" s="24">
        <v>9500</v>
      </c>
      <c r="U16" s="232">
        <f t="shared" si="3"/>
        <v>720000</v>
      </c>
      <c r="AE16" s="24">
        <v>1</v>
      </c>
      <c r="AF16" s="24">
        <f t="shared" si="4"/>
        <v>12</v>
      </c>
      <c r="AL16" s="233" t="str">
        <f>AX16&amp;","&amp;BA16&amp;","&amp;BD16</f>
        <v>1.2395,0.9504,0.9597</v>
      </c>
      <c r="AM16" s="24">
        <f t="shared" si="19"/>
        <v>0.94440000000000002</v>
      </c>
      <c r="AN16" s="234" t="str">
        <f t="shared" si="20"/>
        <v>1.5882,0.9294,1.5882,0.9294,1.6</v>
      </c>
      <c r="AO16" s="24" t="str">
        <f t="shared" si="6"/>
        <v>2,1,0.03</v>
      </c>
      <c r="AQ16" s="24" t="str">
        <f t="shared" si="7"/>
        <v>[[0,0,0],[0,0,0],[0,0,0]]</v>
      </c>
      <c r="AR16" s="241">
        <v>0.8</v>
      </c>
      <c r="AS16" s="119">
        <f t="shared" si="38"/>
        <v>0.94440000000000002</v>
      </c>
      <c r="AT16" s="120">
        <f t="shared" si="8"/>
        <v>1334.3999999999996</v>
      </c>
      <c r="AU16" s="242">
        <f>AU$15*(A$15/A16)</f>
        <v>12.5</v>
      </c>
      <c r="AX16" s="2">
        <f>ROUND(($BB$7-$BB$6)/(AZ16*60*$A16*6)+1,4)</f>
        <v>1.2395</v>
      </c>
      <c r="AY16" s="2">
        <f>(AX16-1)*$A21*6</f>
        <v>57480.000000000015</v>
      </c>
      <c r="AZ16" s="258">
        <v>1.45</v>
      </c>
      <c r="BA16" s="2">
        <f>ROUND(($BB$8-$BB$7)/(A16*6*60*BC16)+1,4)</f>
        <v>0.95040000000000002</v>
      </c>
      <c r="BB16" s="2">
        <f>(BA16-1)*$A21*6</f>
        <v>-11903.999999999995</v>
      </c>
      <c r="BC16" s="258">
        <v>7</v>
      </c>
      <c r="BD16" s="2">
        <f>ROUND(($BB$9-$BB$8)/(BF16*60*A16*6)+1,4)</f>
        <v>0.9597</v>
      </c>
      <c r="BE16" s="2">
        <f>(BD16-1)*$A21*6</f>
        <v>-9672</v>
      </c>
      <c r="BF16" s="258">
        <f>BF15/2</f>
        <v>17.25</v>
      </c>
      <c r="BG16" s="2">
        <f>ROUND(($BB$10-$BB$9)/(A16*6*60*BI16)+1,4)</f>
        <v>1</v>
      </c>
      <c r="BH16" s="2">
        <f>(BG16-1)*$A21*6</f>
        <v>0</v>
      </c>
      <c r="BI16" s="258">
        <v>7</v>
      </c>
      <c r="BJ16" s="2">
        <f>ROUND(($BB$11-$BB$10)/(BL16*60*A16*6)+1,4)</f>
        <v>1</v>
      </c>
      <c r="BK16" s="2">
        <f>(BJ16-1)*$A21*6</f>
        <v>0</v>
      </c>
      <c r="BL16" s="258">
        <v>1.45</v>
      </c>
      <c r="BM16" s="2">
        <f>ROUND(($BB$12-$BB$11)/(A16*6*60*BO16)+1,4)</f>
        <v>1</v>
      </c>
      <c r="BN16" s="2">
        <f>(BM16-1)*$A21*6</f>
        <v>0</v>
      </c>
      <c r="BO16" s="258">
        <f>BI16/3*2</f>
        <v>4.666666666666667</v>
      </c>
      <c r="BQ16" s="2">
        <f t="shared" si="10"/>
        <v>5185</v>
      </c>
      <c r="BR16" s="261">
        <f>ROUND((BT$3)/(BT16*$A16)+1,4)</f>
        <v>1.5882000000000001</v>
      </c>
      <c r="BS16" s="21">
        <f t="shared" si="21"/>
        <v>14116.800000000001</v>
      </c>
      <c r="BT16" s="260">
        <f>BT15-7.5</f>
        <v>42.5</v>
      </c>
      <c r="BU16" s="21">
        <f>ROUND((-BW$3)/(BW16*$A16)+1,4)</f>
        <v>0.9294</v>
      </c>
      <c r="BV16" s="21">
        <f t="shared" si="11"/>
        <v>-1694.3999999999999</v>
      </c>
      <c r="BW16" s="260">
        <f>BW15-75</f>
        <v>425</v>
      </c>
      <c r="BX16" s="21">
        <f>ROUND((BZ$3)/(BZ16*$A16)+1,4)</f>
        <v>1.5882000000000001</v>
      </c>
      <c r="BY16" s="21">
        <f t="shared" si="22"/>
        <v>14116.800000000001</v>
      </c>
      <c r="BZ16" s="260">
        <f>BZ15-7.5</f>
        <v>42.5</v>
      </c>
      <c r="CA16" s="21">
        <f>ROUND((-CC$3)/(CC16*$A16)+1,4)</f>
        <v>0.9294</v>
      </c>
      <c r="CB16" s="21">
        <f t="shared" si="12"/>
        <v>-1694.3999999999999</v>
      </c>
      <c r="CC16" s="260">
        <f>CC15-75</f>
        <v>425</v>
      </c>
      <c r="CD16" s="21">
        <f>ROUND((CF$3)/(CF16*$A16)+1,4)</f>
        <v>1.6</v>
      </c>
      <c r="CE16" s="21">
        <f t="shared" si="23"/>
        <v>14400.000000000004</v>
      </c>
      <c r="CF16" s="260">
        <f>CF15-750</f>
        <v>4250</v>
      </c>
      <c r="CZ16" s="24"/>
      <c r="DA16" s="274">
        <f t="shared" si="13"/>
        <v>0.06</v>
      </c>
      <c r="DB16" s="24">
        <v>2</v>
      </c>
      <c r="DC16" s="24">
        <v>1</v>
      </c>
      <c r="DD16" s="274">
        <f t="shared" si="14"/>
        <v>0.03</v>
      </c>
      <c r="DE16" s="24"/>
      <c r="DF16" s="232">
        <f t="shared" si="15"/>
        <v>80000</v>
      </c>
      <c r="DG16" s="232">
        <v>0</v>
      </c>
      <c r="DH16" s="232">
        <v>0</v>
      </c>
      <c r="DI16" s="232">
        <v>0</v>
      </c>
      <c r="DJ16" s="232">
        <f t="shared" si="16"/>
        <v>120000</v>
      </c>
      <c r="DK16" s="232">
        <v>0</v>
      </c>
      <c r="DL16" s="232">
        <v>0</v>
      </c>
      <c r="DM16" s="232">
        <v>0</v>
      </c>
      <c r="DN16" s="232">
        <f t="shared" si="17"/>
        <v>200000</v>
      </c>
      <c r="DO16" s="232">
        <v>0</v>
      </c>
      <c r="DP16" s="232">
        <v>0</v>
      </c>
      <c r="DQ16" s="232">
        <v>0</v>
      </c>
      <c r="EF16" s="33">
        <v>450000</v>
      </c>
      <c r="EG16" s="291">
        <v>700</v>
      </c>
      <c r="EH16" s="291">
        <v>140</v>
      </c>
      <c r="EI16" s="33">
        <f t="shared" si="29"/>
        <v>35</v>
      </c>
      <c r="EJ16" s="283">
        <v>0.03</v>
      </c>
      <c r="EK16" s="292">
        <f t="shared" si="30"/>
        <v>4666.666666666667</v>
      </c>
      <c r="EL16" s="280">
        <f t="shared" si="31"/>
        <v>116.66666666666667</v>
      </c>
      <c r="EM16" s="293">
        <f t="shared" si="33"/>
        <v>222.5</v>
      </c>
      <c r="EN16" s="280">
        <f t="shared" si="25"/>
        <v>32.333333333333336</v>
      </c>
      <c r="EO16" s="286">
        <f t="shared" si="34"/>
        <v>0.5</v>
      </c>
      <c r="EP16" s="33">
        <f t="shared" si="26"/>
        <v>70</v>
      </c>
      <c r="EQ16" s="292">
        <f t="shared" si="35"/>
        <v>4170</v>
      </c>
      <c r="ER16" s="292">
        <f t="shared" si="32"/>
        <v>4526.666666666667</v>
      </c>
      <c r="ET16" s="314">
        <f t="shared" si="27"/>
        <v>35</v>
      </c>
      <c r="EU16" s="286">
        <f t="shared" si="36"/>
        <v>0.2</v>
      </c>
      <c r="EV16" s="33">
        <f t="shared" si="39"/>
        <v>2265</v>
      </c>
      <c r="EW16" s="291">
        <v>2000</v>
      </c>
      <c r="EX16" s="291">
        <v>1000</v>
      </c>
    </row>
    <row r="17" spans="1:154" x14ac:dyDescent="0.35">
      <c r="A17" s="220">
        <v>6000</v>
      </c>
      <c r="B17" s="24">
        <v>1</v>
      </c>
      <c r="C17" s="24">
        <f t="shared" si="37"/>
        <v>60</v>
      </c>
      <c r="D17" s="24">
        <v>0.3</v>
      </c>
      <c r="E17" s="221">
        <v>0</v>
      </c>
      <c r="F17" s="24">
        <v>-1</v>
      </c>
      <c r="G17" s="24">
        <v>1005</v>
      </c>
      <c r="H17" s="24">
        <f t="shared" si="0"/>
        <v>30000000</v>
      </c>
      <c r="I17" s="227">
        <f>A17*200</f>
        <v>1200000</v>
      </c>
      <c r="J17" s="228" t="str">
        <f t="shared" si="1"/>
        <v>[[7001,1200000],[7002,1200000],[7003,1200000]]</v>
      </c>
      <c r="K17" s="24">
        <f t="shared" si="2"/>
        <v>172800</v>
      </c>
      <c r="L17" s="24">
        <f t="shared" si="18"/>
        <v>172800</v>
      </c>
      <c r="M17" s="24">
        <f t="shared" si="40"/>
        <v>150</v>
      </c>
      <c r="N17" s="24">
        <v>100</v>
      </c>
      <c r="O17" s="24">
        <v>4166</v>
      </c>
      <c r="P17" s="24">
        <v>1606</v>
      </c>
      <c r="Q17" s="24">
        <v>9300</v>
      </c>
      <c r="R17" s="69">
        <v>9300</v>
      </c>
      <c r="S17" s="24">
        <v>9500</v>
      </c>
      <c r="T17" s="24">
        <v>9500</v>
      </c>
      <c r="U17" s="232">
        <f t="shared" si="3"/>
        <v>720000</v>
      </c>
      <c r="AE17" s="24">
        <v>1</v>
      </c>
      <c r="AF17" s="24">
        <f t="shared" si="4"/>
        <v>13</v>
      </c>
      <c r="AL17" s="233" t="str">
        <f>AX17&amp;","&amp;BA17&amp;","&amp;BD17</f>
        <v>1.1781,0.9614,0.9597</v>
      </c>
      <c r="AM17" s="24">
        <f t="shared" si="19"/>
        <v>0.94440000000000002</v>
      </c>
      <c r="AN17" s="234" t="str">
        <f t="shared" si="20"/>
        <v>1.4762,0.9429,1.4762,0.9429,1.4857</v>
      </c>
      <c r="AO17" s="24" t="str">
        <f t="shared" si="6"/>
        <v>2,1,0.045</v>
      </c>
      <c r="AQ17" s="24" t="str">
        <f t="shared" si="7"/>
        <v>[[0,0,0],[0,0,0],[0,0,0]]</v>
      </c>
      <c r="AR17" s="241">
        <v>0.6</v>
      </c>
      <c r="AS17" s="119">
        <f t="shared" si="38"/>
        <v>0.94440000000000002</v>
      </c>
      <c r="AT17" s="120">
        <f t="shared" si="8"/>
        <v>2001.5999999999995</v>
      </c>
      <c r="AU17" s="243">
        <f>AU$15*(A$15/A17)</f>
        <v>8.3333333333333321</v>
      </c>
      <c r="AX17" s="2">
        <f>ROUND(($BB$7-$BB$6)/(AZ17*60*$A17*6)+1,4)</f>
        <v>1.1780999999999999</v>
      </c>
      <c r="AY17" s="2">
        <f>(AX17-1)*$A22*6</f>
        <v>64115.999999999978</v>
      </c>
      <c r="AZ17" s="258">
        <v>1.3</v>
      </c>
      <c r="BA17" s="2">
        <f>ROUND(($BB$8-$BB$7)/(A17*6*60*BC17)+1,4)</f>
        <v>0.96140000000000003</v>
      </c>
      <c r="BB17" s="2">
        <f>(BA17-1)*$A22*6</f>
        <v>-13895.999999999989</v>
      </c>
      <c r="BC17" s="258">
        <v>6</v>
      </c>
      <c r="BD17" s="2">
        <f>ROUND(($BB$9-$BB$8)/(BF17*60*A17*6)+1,4)</f>
        <v>0.9597</v>
      </c>
      <c r="BE17" s="2">
        <f>(BD17-1)*$A22*6</f>
        <v>-14508</v>
      </c>
      <c r="BF17" s="258">
        <f>BF15/3</f>
        <v>11.5</v>
      </c>
      <c r="BG17" s="2">
        <f>ROUND(($BB$10-$BB$9)/(A17*6*60*BI17)+1,4)</f>
        <v>1</v>
      </c>
      <c r="BH17" s="2">
        <f>(BG17-1)*$A22*6</f>
        <v>0</v>
      </c>
      <c r="BI17" s="258">
        <v>6</v>
      </c>
      <c r="BJ17" s="2">
        <f>ROUND(($BB$11-$BB$10)/(BL17*60*A17*6)+1,4)</f>
        <v>1</v>
      </c>
      <c r="BK17" s="2">
        <f>(BJ17-1)*$A22*6</f>
        <v>0</v>
      </c>
      <c r="BL17" s="258">
        <v>1.3</v>
      </c>
      <c r="BM17" s="2">
        <f>ROUND(($BB$12-$BB$11)/(A17*6*60*BO17)+1,4)</f>
        <v>1</v>
      </c>
      <c r="BN17" s="2">
        <f>(BM17-1)*$A22*6</f>
        <v>0</v>
      </c>
      <c r="BO17" s="258">
        <f>BI17/3*2</f>
        <v>4</v>
      </c>
      <c r="BQ17" s="2">
        <f t="shared" si="10"/>
        <v>4270</v>
      </c>
      <c r="BR17" s="261">
        <f>ROUND((BT$3)/(BT17*$A17)+1,4)</f>
        <v>1.4762</v>
      </c>
      <c r="BS17" s="21">
        <f t="shared" si="21"/>
        <v>17143.199999999997</v>
      </c>
      <c r="BT17" s="260">
        <f>BT16-7.5</f>
        <v>35</v>
      </c>
      <c r="BU17" s="21">
        <f>ROUND((-BW$3)/(BW17*$A17)+1,4)</f>
        <v>0.94289999999999996</v>
      </c>
      <c r="BV17" s="21">
        <f t="shared" si="11"/>
        <v>-2055.6000000000013</v>
      </c>
      <c r="BW17" s="260">
        <f>BW16-75</f>
        <v>350</v>
      </c>
      <c r="BX17" s="21">
        <f>ROUND((BZ$3)/(BZ17*$A17)+1,4)</f>
        <v>1.4762</v>
      </c>
      <c r="BY17" s="21">
        <f t="shared" si="22"/>
        <v>17143.199999999997</v>
      </c>
      <c r="BZ17" s="260">
        <f>BZ16-7.5</f>
        <v>35</v>
      </c>
      <c r="CA17" s="21">
        <f>ROUND((-CC$3)/(CC17*$A17)+1,4)</f>
        <v>0.94289999999999996</v>
      </c>
      <c r="CB17" s="21">
        <f t="shared" si="12"/>
        <v>-2055.6000000000013</v>
      </c>
      <c r="CC17" s="260">
        <f>CC16-75</f>
        <v>350</v>
      </c>
      <c r="CD17" s="21">
        <f>ROUND((CF$3)/(CF17*$A17)+1,4)</f>
        <v>1.4857</v>
      </c>
      <c r="CE17" s="21">
        <f t="shared" si="23"/>
        <v>17485.2</v>
      </c>
      <c r="CF17" s="260">
        <f>CF16-750</f>
        <v>3500</v>
      </c>
      <c r="CZ17" s="24"/>
      <c r="DA17" s="274">
        <f t="shared" si="13"/>
        <v>0.09</v>
      </c>
      <c r="DB17" s="24">
        <v>2</v>
      </c>
      <c r="DC17" s="24">
        <v>1</v>
      </c>
      <c r="DD17" s="274">
        <f t="shared" si="14"/>
        <v>4.4999999999999998E-2</v>
      </c>
      <c r="DE17" s="24"/>
      <c r="DF17" s="232">
        <f t="shared" si="15"/>
        <v>120000</v>
      </c>
      <c r="DG17" s="232">
        <v>0</v>
      </c>
      <c r="DH17" s="232">
        <v>0</v>
      </c>
      <c r="DI17" s="232">
        <v>0</v>
      </c>
      <c r="DJ17" s="232">
        <f t="shared" si="16"/>
        <v>180000</v>
      </c>
      <c r="DK17" s="232">
        <v>0</v>
      </c>
      <c r="DL17" s="232">
        <v>0</v>
      </c>
      <c r="DM17" s="232">
        <v>0</v>
      </c>
      <c r="DN17" s="232">
        <f t="shared" si="17"/>
        <v>300000</v>
      </c>
      <c r="DO17" s="232">
        <v>0</v>
      </c>
      <c r="DP17" s="232">
        <v>0</v>
      </c>
      <c r="DQ17" s="232">
        <v>0</v>
      </c>
      <c r="EF17" s="33">
        <v>500000</v>
      </c>
      <c r="EG17" s="291">
        <v>800</v>
      </c>
      <c r="EH17" s="291">
        <v>160</v>
      </c>
      <c r="EI17" s="33">
        <f t="shared" si="29"/>
        <v>40</v>
      </c>
      <c r="EJ17" s="283">
        <v>0.01</v>
      </c>
      <c r="EK17" s="292">
        <f t="shared" si="30"/>
        <v>16000</v>
      </c>
      <c r="EL17" s="280">
        <f t="shared" si="31"/>
        <v>400</v>
      </c>
      <c r="EM17" s="293">
        <f t="shared" si="33"/>
        <v>622.5</v>
      </c>
      <c r="EN17" s="280">
        <f t="shared" si="25"/>
        <v>99</v>
      </c>
      <c r="EO17" s="286">
        <f t="shared" si="34"/>
        <v>0.5</v>
      </c>
      <c r="EP17" s="33">
        <f t="shared" si="26"/>
        <v>80</v>
      </c>
      <c r="EQ17" s="292">
        <f t="shared" si="35"/>
        <v>12090</v>
      </c>
      <c r="ER17" s="292">
        <f t="shared" si="32"/>
        <v>15840</v>
      </c>
      <c r="ET17" s="314">
        <f t="shared" si="27"/>
        <v>40</v>
      </c>
      <c r="EU17" s="286">
        <f t="shared" si="36"/>
        <v>0.2</v>
      </c>
      <c r="EV17" s="33">
        <f t="shared" si="39"/>
        <v>7920</v>
      </c>
      <c r="EW17" s="291">
        <v>5000</v>
      </c>
      <c r="EX17" s="291">
        <v>1000</v>
      </c>
    </row>
    <row r="18" spans="1:154" x14ac:dyDescent="0.35">
      <c r="A18" s="220">
        <v>8000</v>
      </c>
      <c r="B18" s="24">
        <v>1</v>
      </c>
      <c r="C18" s="24">
        <f t="shared" si="37"/>
        <v>80</v>
      </c>
      <c r="D18" s="24">
        <v>0.3</v>
      </c>
      <c r="E18" s="221">
        <v>0</v>
      </c>
      <c r="F18" s="24">
        <v>-1</v>
      </c>
      <c r="G18" s="24">
        <v>1005</v>
      </c>
      <c r="H18" s="24">
        <f t="shared" si="0"/>
        <v>40000000</v>
      </c>
      <c r="I18" s="227">
        <f>A18*175</f>
        <v>1400000</v>
      </c>
      <c r="J18" s="228" t="str">
        <f t="shared" si="1"/>
        <v>[[7001,1400000],[7002,1400000],[7003,1400000]]</v>
      </c>
      <c r="K18" s="24">
        <f t="shared" si="2"/>
        <v>230400</v>
      </c>
      <c r="L18" s="24">
        <f t="shared" si="18"/>
        <v>230400</v>
      </c>
      <c r="M18" s="24">
        <f t="shared" si="40"/>
        <v>170</v>
      </c>
      <c r="N18" s="24">
        <v>100</v>
      </c>
      <c r="O18" s="24">
        <v>3124</v>
      </c>
      <c r="P18" s="24">
        <v>1606</v>
      </c>
      <c r="Q18" s="24">
        <v>9300</v>
      </c>
      <c r="R18" s="69">
        <v>9300</v>
      </c>
      <c r="S18" s="24">
        <v>9500</v>
      </c>
      <c r="T18" s="24">
        <v>9500</v>
      </c>
      <c r="U18" s="232">
        <f t="shared" si="3"/>
        <v>720000</v>
      </c>
      <c r="AE18" s="24">
        <v>1</v>
      </c>
      <c r="AF18" s="24">
        <f t="shared" si="4"/>
        <v>14</v>
      </c>
      <c r="AL18" s="233" t="str">
        <f>AX18&amp;","&amp;BA18&amp;","&amp;BD18</f>
        <v>1.151,0.9653,0.9597</v>
      </c>
      <c r="AM18" s="24">
        <f t="shared" si="19"/>
        <v>0.94440000000000002</v>
      </c>
      <c r="AN18" s="234" t="str">
        <f t="shared" si="20"/>
        <v>1.4545,0.9455,1.4545,0.9455,1.4636</v>
      </c>
      <c r="AO18" s="24" t="str">
        <f t="shared" si="6"/>
        <v>3,1,0.04</v>
      </c>
      <c r="AQ18" s="24" t="str">
        <f t="shared" si="7"/>
        <v>[[0,0,0],[0,0,0],[0,0,0]]</v>
      </c>
      <c r="AR18" s="241">
        <v>0.5</v>
      </c>
      <c r="AS18" s="119">
        <f t="shared" si="38"/>
        <v>0.94440000000000002</v>
      </c>
      <c r="AT18" s="120">
        <f t="shared" si="8"/>
        <v>2668.7999999999993</v>
      </c>
      <c r="AU18" s="242">
        <f>AU$15*(A$15/A18)</f>
        <v>6.25</v>
      </c>
      <c r="AX18" s="2">
        <f>ROUND(($BB$7-$BB$6)/(AZ18*60*$A18*6)+1,4)</f>
        <v>1.151</v>
      </c>
      <c r="AY18" s="2">
        <f>(AX18-1)*$A23*6</f>
        <v>72480.000000000015</v>
      </c>
      <c r="AZ18" s="258">
        <v>1.1499999999999999</v>
      </c>
      <c r="BA18" s="2">
        <f>ROUND(($BB$8-$BB$7)/(A18*6*60*BC18)+1,4)</f>
        <v>0.96530000000000005</v>
      </c>
      <c r="BB18" s="2">
        <f>(BA18-1)*$A23*6</f>
        <v>-16655.999999999978</v>
      </c>
      <c r="BC18" s="258">
        <v>5</v>
      </c>
      <c r="BD18" s="2">
        <f>ROUND(($BB$9-$BB$8)/(BF18*60*A18*6)+1,4)</f>
        <v>0.9597</v>
      </c>
      <c r="BE18" s="2">
        <f>(BD18-1)*$A23*6</f>
        <v>-19344</v>
      </c>
      <c r="BF18" s="258">
        <f>BF15/4</f>
        <v>8.625</v>
      </c>
      <c r="BG18" s="2">
        <f>ROUND(($BB$10-$BB$9)/(A18*6*60*BI18)+1,4)</f>
        <v>1</v>
      </c>
      <c r="BH18" s="2">
        <f>(BG18-1)*$A23*6</f>
        <v>0</v>
      </c>
      <c r="BI18" s="258">
        <v>5</v>
      </c>
      <c r="BJ18" s="2">
        <f>ROUND(($BB$11-$BB$10)/(BL18*60*A18*6)+1,4)</f>
        <v>1</v>
      </c>
      <c r="BK18" s="2">
        <f>(BJ18-1)*$A23*6</f>
        <v>0</v>
      </c>
      <c r="BL18" s="258">
        <v>1.1499999999999999</v>
      </c>
      <c r="BM18" s="2">
        <f>ROUND(($BB$12-$BB$11)/(A18*6*60*BO18)+1,4)</f>
        <v>1</v>
      </c>
      <c r="BN18" s="2">
        <f>(BM18-1)*$A23*6</f>
        <v>0</v>
      </c>
      <c r="BO18" s="258">
        <f>BI18/3*2</f>
        <v>3.3333333333333335</v>
      </c>
      <c r="BQ18" s="2">
        <f t="shared" si="10"/>
        <v>3355</v>
      </c>
      <c r="BR18" s="261">
        <f>ROUND((BT$3)/(BT18*$A18)+1,4)</f>
        <v>1.4544999999999999</v>
      </c>
      <c r="BS18" s="21">
        <f t="shared" si="21"/>
        <v>21815.999999999993</v>
      </c>
      <c r="BT18" s="260">
        <f>BT17-7.5</f>
        <v>27.5</v>
      </c>
      <c r="BU18" s="21">
        <f>ROUND((-BW$3)/(BW18*$A18)+1,4)</f>
        <v>0.94550000000000001</v>
      </c>
      <c r="BV18" s="21">
        <f t="shared" si="11"/>
        <v>-2615.9999999999995</v>
      </c>
      <c r="BW18" s="260">
        <f>BW17-75</f>
        <v>275</v>
      </c>
      <c r="BX18" s="21">
        <f>ROUND((BZ$3)/(BZ18*$A18)+1,4)</f>
        <v>1.4544999999999999</v>
      </c>
      <c r="BY18" s="21">
        <f t="shared" si="22"/>
        <v>21815.999999999993</v>
      </c>
      <c r="BZ18" s="260">
        <f>BZ17-7.5</f>
        <v>27.5</v>
      </c>
      <c r="CA18" s="21">
        <f>ROUND((-CC$3)/(CC18*$A18)+1,4)</f>
        <v>0.94550000000000001</v>
      </c>
      <c r="CB18" s="21">
        <f t="shared" si="12"/>
        <v>-2615.9999999999995</v>
      </c>
      <c r="CC18" s="260">
        <f>CC17-75</f>
        <v>275</v>
      </c>
      <c r="CD18" s="21">
        <f>ROUND((CF$3)/(CF18*$A18)+1,4)</f>
        <v>1.4636</v>
      </c>
      <c r="CE18" s="21">
        <f t="shared" si="23"/>
        <v>22252.800000000003</v>
      </c>
      <c r="CF18" s="260">
        <f>CF17-750</f>
        <v>2750</v>
      </c>
      <c r="CZ18" s="24"/>
      <c r="DA18" s="274">
        <f t="shared" si="13"/>
        <v>0.12</v>
      </c>
      <c r="DB18" s="24">
        <v>3</v>
      </c>
      <c r="DC18" s="24">
        <v>1</v>
      </c>
      <c r="DD18" s="274">
        <f t="shared" si="14"/>
        <v>0.04</v>
      </c>
      <c r="DE18" s="24"/>
      <c r="DF18" s="232">
        <f t="shared" si="15"/>
        <v>160000</v>
      </c>
      <c r="DG18" s="232">
        <v>0</v>
      </c>
      <c r="DH18" s="232">
        <v>0</v>
      </c>
      <c r="DI18" s="232">
        <v>0</v>
      </c>
      <c r="DJ18" s="232">
        <f t="shared" si="16"/>
        <v>240000</v>
      </c>
      <c r="DK18" s="232">
        <v>0</v>
      </c>
      <c r="DL18" s="232">
        <v>0</v>
      </c>
      <c r="DM18" s="232">
        <v>0</v>
      </c>
      <c r="DN18" s="232">
        <f t="shared" si="17"/>
        <v>400000</v>
      </c>
      <c r="DO18" s="232">
        <v>0</v>
      </c>
      <c r="DP18" s="232">
        <v>0</v>
      </c>
      <c r="DQ18" s="232">
        <v>0</v>
      </c>
      <c r="EH18" s="280">
        <f>SUM(EH10:EH17)</f>
        <v>720</v>
      </c>
      <c r="EI18" s="33"/>
      <c r="EJ18" s="33"/>
      <c r="EK18" s="294" t="s">
        <v>181</v>
      </c>
      <c r="EL18" s="280">
        <f>MAX(SUM(EL10:EL17),EH19)</f>
        <v>622.5</v>
      </c>
      <c r="EM18" s="33"/>
      <c r="EN18" s="33"/>
      <c r="EO18" s="33"/>
      <c r="EP18" s="33"/>
      <c r="EV18" s="33">
        <f>SUM(EV10:EV17)</f>
        <v>12100</v>
      </c>
      <c r="EW18" s="33">
        <f>SUM(EW10:EW17)</f>
        <v>12200</v>
      </c>
      <c r="EX18" s="33">
        <f>SUM(EX10:EX17)</f>
        <v>8000</v>
      </c>
    </row>
    <row r="19" spans="1:154" x14ac:dyDescent="0.35">
      <c r="A19" s="220">
        <v>10000</v>
      </c>
      <c r="B19" s="24">
        <v>1</v>
      </c>
      <c r="C19" s="24">
        <f t="shared" si="37"/>
        <v>100</v>
      </c>
      <c r="D19" s="24">
        <v>0.3</v>
      </c>
      <c r="E19" s="221">
        <v>1</v>
      </c>
      <c r="F19" s="24">
        <v>-1</v>
      </c>
      <c r="G19" s="24">
        <v>1005</v>
      </c>
      <c r="H19" s="24">
        <f t="shared" si="0"/>
        <v>50000000</v>
      </c>
      <c r="I19" s="227">
        <f>A19*150</f>
        <v>1500000</v>
      </c>
      <c r="J19" s="228" t="str">
        <f t="shared" si="1"/>
        <v>[[7001,1500000],[7002,1500000],[7003,1500000]]</v>
      </c>
      <c r="K19" s="24">
        <f t="shared" si="2"/>
        <v>288000</v>
      </c>
      <c r="L19" s="24">
        <f t="shared" si="18"/>
        <v>288000</v>
      </c>
      <c r="M19" s="24">
        <f t="shared" si="40"/>
        <v>200</v>
      </c>
      <c r="N19" s="24">
        <v>100</v>
      </c>
      <c r="O19" s="24">
        <v>2499</v>
      </c>
      <c r="P19" s="24">
        <v>1606</v>
      </c>
      <c r="Q19" s="24">
        <v>9300</v>
      </c>
      <c r="R19" s="24">
        <v>9300</v>
      </c>
      <c r="S19" s="24">
        <v>9500</v>
      </c>
      <c r="T19" s="24">
        <v>9500</v>
      </c>
      <c r="U19" s="232">
        <f t="shared" si="3"/>
        <v>720000</v>
      </c>
      <c r="AE19" s="24">
        <v>1</v>
      </c>
      <c r="AF19" s="24">
        <f t="shared" si="4"/>
        <v>15</v>
      </c>
      <c r="AL19" s="233" t="str">
        <f>AX19&amp;","&amp;BA19&amp;","&amp;BD19</f>
        <v>1.1389,0.9653,0.9597</v>
      </c>
      <c r="AM19" s="24">
        <f t="shared" si="19"/>
        <v>0.94440000000000002</v>
      </c>
      <c r="AN19" s="234" t="str">
        <f t="shared" si="20"/>
        <v>1.5,0.94,1.5,0.94,1.51</v>
      </c>
      <c r="AO19" s="24" t="str">
        <f t="shared" si="6"/>
        <v>4,1,0.0375</v>
      </c>
      <c r="AQ19" s="24" t="str">
        <f t="shared" si="7"/>
        <v>[[0,0,0],[0,0,0],[0,0,0]]</v>
      </c>
      <c r="AR19" s="241">
        <v>0.46300000000000002</v>
      </c>
      <c r="AS19" s="122">
        <f t="shared" si="38"/>
        <v>0.94440000000000002</v>
      </c>
      <c r="AT19" s="123">
        <f t="shared" si="8"/>
        <v>3335.9999999999986</v>
      </c>
      <c r="AU19" s="244">
        <f>AU$15*(A$15/A19)</f>
        <v>5</v>
      </c>
      <c r="AX19" s="2">
        <f>ROUND(($BB$7-$BB$6)/(AZ19*60*$A19*6)+1,4)</f>
        <v>1.1389</v>
      </c>
      <c r="AY19" s="2">
        <f>(AX19-1)*$A24*6</f>
        <v>83340.000000000015</v>
      </c>
      <c r="AZ19" s="258">
        <v>1</v>
      </c>
      <c r="BA19" s="2">
        <f>ROUND(($BB$8-$BB$7)/(A19*6*60*BC19)+1,4)</f>
        <v>0.96530000000000005</v>
      </c>
      <c r="BB19" s="2">
        <f>(BA19-1)*$A24*6</f>
        <v>-20819.999999999971</v>
      </c>
      <c r="BC19" s="258">
        <v>4</v>
      </c>
      <c r="BD19" s="2">
        <f>ROUND(($BB$9-$BB$8)/(BF19*60*A19*6)+1,4)</f>
        <v>0.9597</v>
      </c>
      <c r="BE19" s="2">
        <f>(BD19-1)*$A24*6</f>
        <v>-24180.000000000004</v>
      </c>
      <c r="BF19" s="258">
        <f>BF15/5</f>
        <v>6.9</v>
      </c>
      <c r="BG19" s="2">
        <f>ROUND(($BB$10-$BB$9)/(A19*6*60*BI19)+1,4)</f>
        <v>1</v>
      </c>
      <c r="BH19" s="2">
        <f>(BG19-1)*$A24*6</f>
        <v>0</v>
      </c>
      <c r="BI19" s="258">
        <v>4</v>
      </c>
      <c r="BJ19" s="2">
        <f>ROUND(($BB$11-$BB$10)/(BL19*60*A19*6)+1,4)</f>
        <v>1</v>
      </c>
      <c r="BK19" s="2">
        <f>(BJ19-1)*$A24*6</f>
        <v>0</v>
      </c>
      <c r="BL19" s="258">
        <v>1</v>
      </c>
      <c r="BM19" s="2">
        <f>ROUND(($BB$12-$BB$11)/(A19*6*60*BO19)+1,4)</f>
        <v>1</v>
      </c>
      <c r="BN19" s="2">
        <f>(BM19-1)*$A24*6</f>
        <v>0</v>
      </c>
      <c r="BO19" s="258">
        <f>BI19/3*2</f>
        <v>2.6666666666666665</v>
      </c>
      <c r="BQ19" s="2">
        <f t="shared" si="10"/>
        <v>2440</v>
      </c>
      <c r="BR19" s="261">
        <f>ROUND((BT$3)/(BT19*$A19)+1,4)</f>
        <v>1.5</v>
      </c>
      <c r="BS19" s="21">
        <f t="shared" si="21"/>
        <v>30000</v>
      </c>
      <c r="BT19" s="260">
        <f>BT18-7.5</f>
        <v>20</v>
      </c>
      <c r="BU19" s="21">
        <f>ROUND((-BW$3)/(BW19*$A19)+1,4)</f>
        <v>0.94</v>
      </c>
      <c r="BV19" s="21">
        <f t="shared" si="11"/>
        <v>-3600.0000000000036</v>
      </c>
      <c r="BW19" s="260">
        <f>BW18-75</f>
        <v>200</v>
      </c>
      <c r="BX19" s="21">
        <f>ROUND((BZ$3)/(BZ19*$A19)+1,4)</f>
        <v>1.5</v>
      </c>
      <c r="BY19" s="21">
        <f t="shared" si="22"/>
        <v>30000</v>
      </c>
      <c r="BZ19" s="260">
        <f>BZ18-7.5</f>
        <v>20</v>
      </c>
      <c r="CA19" s="21">
        <f>ROUND((-CC$3)/(CC19*$A19)+1,4)</f>
        <v>0.94</v>
      </c>
      <c r="CB19" s="21">
        <f t="shared" si="12"/>
        <v>-3600.0000000000036</v>
      </c>
      <c r="CC19" s="260">
        <f>CC18-75</f>
        <v>200</v>
      </c>
      <c r="CD19" s="21">
        <f>ROUND((CF$3)/(CF19*$A19)+1,4)</f>
        <v>1.51</v>
      </c>
      <c r="CE19" s="21">
        <f t="shared" si="23"/>
        <v>30600</v>
      </c>
      <c r="CF19" s="260">
        <f>CF18-750</f>
        <v>2000</v>
      </c>
      <c r="CZ19" s="24"/>
      <c r="DA19" s="274">
        <f t="shared" si="13"/>
        <v>0.15</v>
      </c>
      <c r="DB19" s="24">
        <v>4</v>
      </c>
      <c r="DC19" s="24">
        <v>1</v>
      </c>
      <c r="DD19" s="274">
        <f t="shared" si="14"/>
        <v>3.7499999999999999E-2</v>
      </c>
      <c r="DE19" s="24"/>
      <c r="DF19" s="232">
        <f t="shared" si="15"/>
        <v>200000</v>
      </c>
      <c r="DG19" s="232">
        <v>0</v>
      </c>
      <c r="DH19" s="232">
        <v>0</v>
      </c>
      <c r="DI19" s="232">
        <v>0</v>
      </c>
      <c r="DJ19" s="232">
        <f t="shared" si="16"/>
        <v>300000</v>
      </c>
      <c r="DK19" s="232">
        <v>0</v>
      </c>
      <c r="DL19" s="232">
        <v>0</v>
      </c>
      <c r="DM19" s="232">
        <v>0</v>
      </c>
      <c r="DN19" s="232">
        <f t="shared" si="17"/>
        <v>500000</v>
      </c>
      <c r="DO19" s="232">
        <v>0</v>
      </c>
      <c r="DP19" s="232">
        <v>0</v>
      </c>
      <c r="DQ19" s="232">
        <v>0</v>
      </c>
      <c r="EG19" s="295" t="s">
        <v>182</v>
      </c>
      <c r="EH19">
        <f>EH18/EH22</f>
        <v>18</v>
      </c>
      <c r="EK19" s="294"/>
      <c r="EL19" s="280"/>
      <c r="EM19" s="280"/>
      <c r="EP19" s="292"/>
    </row>
    <row r="20" spans="1:154" x14ac:dyDescent="0.35">
      <c r="A20" s="220">
        <v>20000</v>
      </c>
      <c r="B20" s="24">
        <v>1</v>
      </c>
      <c r="C20" s="24">
        <f t="shared" si="37"/>
        <v>200</v>
      </c>
      <c r="D20" s="24">
        <v>0.3</v>
      </c>
      <c r="E20" s="221">
        <v>0</v>
      </c>
      <c r="F20" s="24">
        <v>-1</v>
      </c>
      <c r="G20" s="24">
        <v>1005</v>
      </c>
      <c r="H20" s="24">
        <f t="shared" si="0"/>
        <v>100000000</v>
      </c>
      <c r="I20" s="24">
        <f>A20*250</f>
        <v>5000000</v>
      </c>
      <c r="J20" s="229" t="str">
        <f t="shared" si="1"/>
        <v>[[7001,5000000],[7002,5000000],[7003,5000000]]</v>
      </c>
      <c r="K20" s="24">
        <f t="shared" si="2"/>
        <v>576000</v>
      </c>
      <c r="L20" s="24">
        <f t="shared" si="18"/>
        <v>576000</v>
      </c>
      <c r="M20" s="24">
        <f t="shared" si="40"/>
        <v>100</v>
      </c>
      <c r="N20" s="24">
        <v>120</v>
      </c>
      <c r="O20" s="24">
        <v>1249</v>
      </c>
      <c r="P20" s="24">
        <v>1607</v>
      </c>
      <c r="Q20" s="24">
        <v>9300</v>
      </c>
      <c r="R20" s="24">
        <v>9300</v>
      </c>
      <c r="S20" s="24">
        <v>9500</v>
      </c>
      <c r="T20" s="24">
        <v>9500</v>
      </c>
      <c r="U20" s="232">
        <f>ES35</f>
        <v>720000</v>
      </c>
      <c r="AE20" s="24">
        <v>1</v>
      </c>
      <c r="AF20" s="24">
        <f t="shared" si="4"/>
        <v>16</v>
      </c>
      <c r="AL20" s="235">
        <v>0</v>
      </c>
      <c r="AM20" s="24">
        <f t="shared" si="19"/>
        <v>0.94440000000000002</v>
      </c>
      <c r="AN20" s="234"/>
      <c r="AO20" s="24" t="str">
        <f t="shared" si="6"/>
        <v>6,1,0.05</v>
      </c>
      <c r="AQ20" s="24" t="str">
        <f t="shared" si="7"/>
        <v>[[0,0,0],[0,0,0],[1005,1,0.5]]</v>
      </c>
      <c r="AR20" s="239">
        <v>1</v>
      </c>
      <c r="AS20" s="116">
        <f t="shared" si="38"/>
        <v>0.94440000000000002</v>
      </c>
      <c r="AT20" s="117">
        <f t="shared" si="8"/>
        <v>6671.9999999999973</v>
      </c>
      <c r="AU20" s="240">
        <v>2.5</v>
      </c>
      <c r="CZ20" s="24"/>
      <c r="DA20" s="274">
        <f t="shared" si="13"/>
        <v>0.3</v>
      </c>
      <c r="DB20" s="24">
        <v>6</v>
      </c>
      <c r="DC20" s="24">
        <v>1</v>
      </c>
      <c r="DD20" s="274">
        <f t="shared" si="14"/>
        <v>0.05</v>
      </c>
      <c r="DE20" s="24"/>
      <c r="DF20" s="232">
        <f t="shared" si="15"/>
        <v>400000</v>
      </c>
      <c r="DG20" s="232">
        <v>0</v>
      </c>
      <c r="DH20" s="232">
        <v>0</v>
      </c>
      <c r="DI20" s="232">
        <v>0</v>
      </c>
      <c r="DJ20" s="232">
        <f t="shared" si="16"/>
        <v>600000</v>
      </c>
      <c r="DK20" s="232">
        <v>0</v>
      </c>
      <c r="DL20" s="232">
        <v>0</v>
      </c>
      <c r="DM20" s="232">
        <v>0</v>
      </c>
      <c r="DN20" s="232">
        <f t="shared" si="17"/>
        <v>1000000</v>
      </c>
      <c r="DO20" s="232">
        <v>1005</v>
      </c>
      <c r="DP20" s="232">
        <v>1</v>
      </c>
      <c r="DQ20" s="276">
        <v>0.5</v>
      </c>
    </row>
    <row r="21" spans="1:154" x14ac:dyDescent="0.35">
      <c r="A21" s="220">
        <v>40000</v>
      </c>
      <c r="B21" s="24">
        <v>1</v>
      </c>
      <c r="C21" s="24">
        <f t="shared" si="37"/>
        <v>400</v>
      </c>
      <c r="D21" s="24">
        <v>0.3</v>
      </c>
      <c r="E21" s="221">
        <v>0</v>
      </c>
      <c r="F21" s="24">
        <v>-1</v>
      </c>
      <c r="G21" s="24">
        <v>1006</v>
      </c>
      <c r="H21" s="24">
        <f t="shared" si="0"/>
        <v>200000000</v>
      </c>
      <c r="I21" s="24">
        <f>A21*225</f>
        <v>9000000</v>
      </c>
      <c r="J21" s="229" t="str">
        <f t="shared" si="1"/>
        <v>[[7001,9000000],[7002,9000000],[7003,9000000]]</v>
      </c>
      <c r="K21" s="24">
        <f t="shared" si="2"/>
        <v>1152000</v>
      </c>
      <c r="L21" s="24">
        <f t="shared" si="18"/>
        <v>1152000</v>
      </c>
      <c r="M21" s="24">
        <f t="shared" si="40"/>
        <v>120</v>
      </c>
      <c r="N21" s="24">
        <v>140</v>
      </c>
      <c r="O21" s="24">
        <v>624</v>
      </c>
      <c r="P21" s="24">
        <v>1607</v>
      </c>
      <c r="Q21" s="69">
        <v>9100</v>
      </c>
      <c r="R21" s="69">
        <v>9100</v>
      </c>
      <c r="S21" s="24">
        <v>9500</v>
      </c>
      <c r="T21" s="24">
        <v>9500</v>
      </c>
      <c r="U21" s="232">
        <f t="shared" ref="U21:U32" si="41">ES36</f>
        <v>1350000</v>
      </c>
      <c r="AE21" s="24">
        <v>1</v>
      </c>
      <c r="AF21" s="24">
        <f t="shared" si="4"/>
        <v>17</v>
      </c>
      <c r="AL21" s="235">
        <v>0</v>
      </c>
      <c r="AM21" s="24">
        <f t="shared" si="19"/>
        <v>0.94440000000000002</v>
      </c>
      <c r="AN21" s="234"/>
      <c r="AO21" s="24" t="str">
        <f t="shared" si="6"/>
        <v>8,1,0.075</v>
      </c>
      <c r="AQ21" s="24" t="str">
        <f t="shared" si="7"/>
        <v>[[0,0,0],[0,0,0],[1006,1,0.5]]</v>
      </c>
      <c r="AR21" s="241">
        <v>0.8</v>
      </c>
      <c r="AS21" s="119">
        <f t="shared" si="38"/>
        <v>0.94440000000000002</v>
      </c>
      <c r="AT21" s="120">
        <f t="shared" si="8"/>
        <v>13343.999999999995</v>
      </c>
      <c r="AU21" s="242">
        <f t="shared" ref="AU21:AU32" si="42">AU$15*(A$15/A21)</f>
        <v>1.25</v>
      </c>
      <c r="CZ21" s="24"/>
      <c r="DA21" s="274">
        <f t="shared" si="13"/>
        <v>0.6</v>
      </c>
      <c r="DB21" s="24">
        <v>8</v>
      </c>
      <c r="DC21" s="24">
        <v>1</v>
      </c>
      <c r="DD21" s="274">
        <f t="shared" si="14"/>
        <v>7.4999999999999997E-2</v>
      </c>
      <c r="DE21" s="24"/>
      <c r="DF21" s="232">
        <f t="shared" si="15"/>
        <v>800000</v>
      </c>
      <c r="DG21" s="232">
        <v>0</v>
      </c>
      <c r="DH21" s="232">
        <v>0</v>
      </c>
      <c r="DI21" s="232">
        <v>0</v>
      </c>
      <c r="DJ21" s="232">
        <f t="shared" si="16"/>
        <v>1200000</v>
      </c>
      <c r="DK21" s="232">
        <v>0</v>
      </c>
      <c r="DL21" s="232">
        <v>0</v>
      </c>
      <c r="DM21" s="232">
        <v>0</v>
      </c>
      <c r="DN21" s="232">
        <f t="shared" si="17"/>
        <v>2000000</v>
      </c>
      <c r="DO21" s="232">
        <v>1006</v>
      </c>
      <c r="DP21" s="232">
        <v>1</v>
      </c>
      <c r="DQ21" s="276">
        <v>0.5</v>
      </c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5" t="s">
        <v>183</v>
      </c>
      <c r="EI21" s="5" t="s">
        <v>184</v>
      </c>
      <c r="EJ21" s="5" t="s">
        <v>185</v>
      </c>
      <c r="EK21" s="5" t="s">
        <v>149</v>
      </c>
      <c r="EL21" s="33"/>
      <c r="EM21" s="5" t="s">
        <v>186</v>
      </c>
      <c r="EN21" s="33"/>
      <c r="EO21" s="33"/>
      <c r="EP21" s="33"/>
      <c r="EQ21" s="33"/>
    </row>
    <row r="22" spans="1:154" x14ac:dyDescent="0.35">
      <c r="A22" s="220">
        <v>60000</v>
      </c>
      <c r="B22" s="24">
        <v>1</v>
      </c>
      <c r="C22" s="24">
        <f t="shared" si="37"/>
        <v>600</v>
      </c>
      <c r="D22" s="24">
        <v>0.3</v>
      </c>
      <c r="E22" s="221">
        <v>0</v>
      </c>
      <c r="F22" s="24">
        <v>-1</v>
      </c>
      <c r="G22" s="24">
        <v>1006</v>
      </c>
      <c r="H22" s="24">
        <f t="shared" si="0"/>
        <v>300000000</v>
      </c>
      <c r="I22" s="24">
        <f>A22*200</f>
        <v>12000000</v>
      </c>
      <c r="J22" s="229" t="str">
        <f t="shared" si="1"/>
        <v>[[7001,12000000],[7002,12000000],[7003,12000000]]</v>
      </c>
      <c r="K22" s="24">
        <f t="shared" si="2"/>
        <v>1728000</v>
      </c>
      <c r="L22" s="24">
        <f t="shared" si="18"/>
        <v>1728000</v>
      </c>
      <c r="M22" s="24">
        <f t="shared" si="40"/>
        <v>150</v>
      </c>
      <c r="N22" s="24">
        <v>160</v>
      </c>
      <c r="O22" s="24">
        <v>416</v>
      </c>
      <c r="P22" s="24">
        <v>1607</v>
      </c>
      <c r="Q22" s="69">
        <v>9100</v>
      </c>
      <c r="R22" s="69">
        <v>9100</v>
      </c>
      <c r="S22" s="24">
        <v>9500</v>
      </c>
      <c r="T22" s="24">
        <v>9500</v>
      </c>
      <c r="U22" s="232">
        <f t="shared" si="41"/>
        <v>1890000</v>
      </c>
      <c r="AE22" s="24">
        <v>1</v>
      </c>
      <c r="AF22" s="24">
        <f t="shared" si="4"/>
        <v>18</v>
      </c>
      <c r="AL22" s="235">
        <v>0</v>
      </c>
      <c r="AM22" s="24">
        <f t="shared" si="19"/>
        <v>0.94440000000000002</v>
      </c>
      <c r="AN22" s="234"/>
      <c r="AO22" s="24" t="str">
        <f t="shared" si="6"/>
        <v>10,1,0.09</v>
      </c>
      <c r="AQ22" s="24" t="str">
        <f t="shared" si="7"/>
        <v>[[0,0,0],[0,0,0],[1005,3,0.5]]</v>
      </c>
      <c r="AR22" s="241">
        <v>0.6</v>
      </c>
      <c r="AS22" s="119">
        <f t="shared" si="38"/>
        <v>0.94440000000000002</v>
      </c>
      <c r="AT22" s="120">
        <f t="shared" si="8"/>
        <v>20015.999999999993</v>
      </c>
      <c r="AU22" s="243">
        <f t="shared" si="42"/>
        <v>0.83333333333333337</v>
      </c>
      <c r="CZ22" s="24"/>
      <c r="DA22" s="274">
        <f t="shared" si="13"/>
        <v>0.89999999999999991</v>
      </c>
      <c r="DB22" s="24">
        <v>10</v>
      </c>
      <c r="DC22" s="24">
        <v>1</v>
      </c>
      <c r="DD22" s="274">
        <f t="shared" si="14"/>
        <v>0.09</v>
      </c>
      <c r="DE22" s="24"/>
      <c r="DF22" s="232">
        <f t="shared" si="15"/>
        <v>1200000</v>
      </c>
      <c r="DG22" s="232">
        <v>0</v>
      </c>
      <c r="DH22" s="232">
        <v>0</v>
      </c>
      <c r="DI22" s="232">
        <v>0</v>
      </c>
      <c r="DJ22" s="232">
        <f t="shared" si="16"/>
        <v>1800000</v>
      </c>
      <c r="DK22" s="232">
        <v>0</v>
      </c>
      <c r="DL22" s="232">
        <v>0</v>
      </c>
      <c r="DM22" s="232">
        <v>0</v>
      </c>
      <c r="DN22" s="232">
        <f t="shared" si="17"/>
        <v>3000000</v>
      </c>
      <c r="DO22" s="232">
        <v>1005</v>
      </c>
      <c r="DP22" s="232">
        <v>3</v>
      </c>
      <c r="DQ22" s="276">
        <v>0.5</v>
      </c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296">
        <v>40</v>
      </c>
      <c r="EI22" s="297">
        <v>1</v>
      </c>
      <c r="EJ22" s="298">
        <v>1E-3</v>
      </c>
      <c r="EK22" s="299">
        <v>20000</v>
      </c>
      <c r="EL22" s="33"/>
      <c r="EM22" s="280">
        <f>EO41/EH22</f>
        <v>93.700000000000017</v>
      </c>
      <c r="EN22" s="33"/>
      <c r="EO22" s="33"/>
      <c r="EP22" s="33"/>
      <c r="EQ22" s="33"/>
    </row>
    <row r="23" spans="1:154" x14ac:dyDescent="0.35">
      <c r="A23" s="220">
        <v>80000</v>
      </c>
      <c r="B23" s="24">
        <v>1</v>
      </c>
      <c r="C23" s="24">
        <f t="shared" si="37"/>
        <v>800</v>
      </c>
      <c r="D23" s="24">
        <v>0.3</v>
      </c>
      <c r="E23" s="221">
        <v>0</v>
      </c>
      <c r="F23" s="24">
        <v>-1</v>
      </c>
      <c r="G23" s="24">
        <v>1007</v>
      </c>
      <c r="H23" s="24">
        <f t="shared" si="0"/>
        <v>400000000</v>
      </c>
      <c r="I23" s="24">
        <f>A23*175</f>
        <v>14000000</v>
      </c>
      <c r="J23" s="229" t="str">
        <f t="shared" si="1"/>
        <v>[[7001,14000000],[7002,14000000],[7003,14000000]]</v>
      </c>
      <c r="K23" s="24">
        <f t="shared" si="2"/>
        <v>2304000</v>
      </c>
      <c r="L23" s="24">
        <f t="shared" si="18"/>
        <v>2304000</v>
      </c>
      <c r="M23" s="24">
        <f t="shared" si="40"/>
        <v>170</v>
      </c>
      <c r="N23" s="24">
        <v>180</v>
      </c>
      <c r="O23" s="24">
        <v>312</v>
      </c>
      <c r="P23" s="24">
        <v>1607</v>
      </c>
      <c r="Q23" s="69">
        <v>9100</v>
      </c>
      <c r="R23" s="69">
        <v>9100</v>
      </c>
      <c r="S23" s="24">
        <v>9500</v>
      </c>
      <c r="T23" s="24">
        <v>9500</v>
      </c>
      <c r="U23" s="232">
        <f t="shared" si="41"/>
        <v>2340000</v>
      </c>
      <c r="AE23" s="24">
        <v>1</v>
      </c>
      <c r="AF23" s="24">
        <f t="shared" si="4"/>
        <v>19</v>
      </c>
      <c r="AL23" s="235">
        <v>0</v>
      </c>
      <c r="AM23" s="24">
        <f t="shared" si="19"/>
        <v>0.94440000000000002</v>
      </c>
      <c r="AN23" s="234"/>
      <c r="AO23" s="24" t="str">
        <f t="shared" si="6"/>
        <v>12,1,0.1</v>
      </c>
      <c r="AQ23" s="24" t="str">
        <f t="shared" si="7"/>
        <v>[[0,0,0],[0,0,0],[1006,2,0.5]]</v>
      </c>
      <c r="AR23" s="241">
        <v>0.5</v>
      </c>
      <c r="AS23" s="119">
        <f t="shared" si="38"/>
        <v>0.94440000000000002</v>
      </c>
      <c r="AT23" s="120">
        <f t="shared" si="8"/>
        <v>26687.999999999989</v>
      </c>
      <c r="AU23" s="242">
        <f t="shared" si="42"/>
        <v>0.625</v>
      </c>
      <c r="BS23" s="264" t="s">
        <v>187</v>
      </c>
      <c r="CZ23" s="24"/>
      <c r="DA23" s="274">
        <f t="shared" si="13"/>
        <v>1.2</v>
      </c>
      <c r="DB23" s="24">
        <v>12</v>
      </c>
      <c r="DC23" s="24">
        <v>1</v>
      </c>
      <c r="DD23" s="274">
        <f t="shared" si="14"/>
        <v>0.1</v>
      </c>
      <c r="DE23" s="24"/>
      <c r="DF23" s="232">
        <f t="shared" si="15"/>
        <v>1600000</v>
      </c>
      <c r="DG23" s="232">
        <v>0</v>
      </c>
      <c r="DH23" s="232">
        <v>0</v>
      </c>
      <c r="DI23" s="232">
        <v>0</v>
      </c>
      <c r="DJ23" s="232">
        <f t="shared" si="16"/>
        <v>2400000</v>
      </c>
      <c r="DK23" s="232">
        <v>0</v>
      </c>
      <c r="DL23" s="232">
        <v>0</v>
      </c>
      <c r="DM23" s="232">
        <v>0</v>
      </c>
      <c r="DN23" s="232">
        <f t="shared" si="17"/>
        <v>4000000</v>
      </c>
      <c r="DO23" s="232">
        <v>1006</v>
      </c>
      <c r="DP23" s="232">
        <v>2</v>
      </c>
      <c r="DQ23" s="276">
        <v>0.5</v>
      </c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281" t="s">
        <v>188</v>
      </c>
      <c r="EF23" s="281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</row>
    <row r="24" spans="1:154" x14ac:dyDescent="0.35">
      <c r="A24" s="220">
        <v>100000</v>
      </c>
      <c r="B24" s="24">
        <v>1</v>
      </c>
      <c r="C24" s="24">
        <f t="shared" si="37"/>
        <v>1000</v>
      </c>
      <c r="D24" s="24">
        <v>0.3</v>
      </c>
      <c r="E24" s="221">
        <v>100000000</v>
      </c>
      <c r="F24" s="24">
        <v>-1</v>
      </c>
      <c r="G24" s="24">
        <v>1007</v>
      </c>
      <c r="H24" s="24">
        <f t="shared" si="0"/>
        <v>500000000</v>
      </c>
      <c r="I24" s="24">
        <f>A24*150</f>
        <v>15000000</v>
      </c>
      <c r="J24" s="229" t="str">
        <f t="shared" si="1"/>
        <v>[[7001,15000000],[7002,15000000],[7003,15000000]]</v>
      </c>
      <c r="K24" s="24">
        <v>2880000</v>
      </c>
      <c r="L24" s="24">
        <f t="shared" si="18"/>
        <v>2880000</v>
      </c>
      <c r="M24" s="24">
        <f t="shared" si="40"/>
        <v>200</v>
      </c>
      <c r="N24" s="24">
        <v>200</v>
      </c>
      <c r="O24" s="24">
        <v>249</v>
      </c>
      <c r="P24" s="24">
        <v>1607</v>
      </c>
      <c r="Q24" s="69">
        <v>9100</v>
      </c>
      <c r="R24" s="69">
        <v>9100</v>
      </c>
      <c r="S24" s="24">
        <v>9500</v>
      </c>
      <c r="T24" s="24">
        <v>9500</v>
      </c>
      <c r="U24" s="232">
        <f t="shared" si="41"/>
        <v>2700000</v>
      </c>
      <c r="V24" s="229"/>
      <c r="W24" s="229"/>
      <c r="X24" s="233"/>
      <c r="Y24" s="229"/>
      <c r="Z24" s="229"/>
      <c r="AA24" s="229"/>
      <c r="AB24" s="229"/>
      <c r="AE24" s="24">
        <v>1</v>
      </c>
      <c r="AF24" s="24">
        <f t="shared" si="4"/>
        <v>20</v>
      </c>
      <c r="AL24" s="235">
        <v>0</v>
      </c>
      <c r="AM24" s="24">
        <f t="shared" si="19"/>
        <v>0.94440000000000002</v>
      </c>
      <c r="AN24" s="234"/>
      <c r="AO24" s="24" t="str">
        <f t="shared" si="6"/>
        <v>15,1,0.1</v>
      </c>
      <c r="AQ24" s="24" t="str">
        <f t="shared" si="7"/>
        <v>[[0,0,0],[1005,3,0.3],[1007,1,0.5]]</v>
      </c>
      <c r="AR24" s="241">
        <v>0.46300000000000002</v>
      </c>
      <c r="AS24" s="122">
        <f t="shared" si="38"/>
        <v>0.94440000000000002</v>
      </c>
      <c r="AT24" s="123">
        <f t="shared" si="8"/>
        <v>33359.999999999985</v>
      </c>
      <c r="AU24" s="244">
        <f t="shared" si="42"/>
        <v>0.5</v>
      </c>
      <c r="CZ24" s="24"/>
      <c r="DA24" s="274">
        <f t="shared" si="13"/>
        <v>1.4999999999999998</v>
      </c>
      <c r="DB24" s="24">
        <v>15</v>
      </c>
      <c r="DC24" s="24">
        <v>1</v>
      </c>
      <c r="DD24" s="274">
        <f t="shared" si="14"/>
        <v>0.1</v>
      </c>
      <c r="DE24" s="24"/>
      <c r="DF24" s="232">
        <f t="shared" si="15"/>
        <v>2000000</v>
      </c>
      <c r="DG24" s="232">
        <v>0</v>
      </c>
      <c r="DH24" s="232">
        <v>0</v>
      </c>
      <c r="DI24" s="232">
        <v>0</v>
      </c>
      <c r="DJ24" s="232">
        <f t="shared" si="16"/>
        <v>3000000</v>
      </c>
      <c r="DK24" s="232">
        <v>1005</v>
      </c>
      <c r="DL24" s="232">
        <v>3</v>
      </c>
      <c r="DM24" s="276">
        <v>0.3</v>
      </c>
      <c r="DN24" s="232">
        <f t="shared" si="17"/>
        <v>5000000</v>
      </c>
      <c r="DO24" s="232">
        <v>1007</v>
      </c>
      <c r="DP24" s="232">
        <v>1</v>
      </c>
      <c r="DQ24" s="276">
        <v>0.5</v>
      </c>
      <c r="DU24" s="5" t="s">
        <v>189</v>
      </c>
      <c r="DV24" s="5" t="s">
        <v>190</v>
      </c>
      <c r="DW24" s="36" t="s">
        <v>158</v>
      </c>
      <c r="DX24" s="5" t="s">
        <v>161</v>
      </c>
      <c r="DY24" s="5" t="s">
        <v>191</v>
      </c>
      <c r="DZ24" s="5" t="s">
        <v>192</v>
      </c>
      <c r="EA24" s="5" t="s">
        <v>193</v>
      </c>
      <c r="EB24" s="5" t="s">
        <v>194</v>
      </c>
      <c r="EC24" s="5" t="s">
        <v>195</v>
      </c>
      <c r="ED24" s="5" t="s">
        <v>196</v>
      </c>
      <c r="EE24" s="282" t="s">
        <v>197</v>
      </c>
      <c r="EF24" s="282" t="s">
        <v>170</v>
      </c>
      <c r="EG24" s="33"/>
      <c r="EH24" s="5" t="s">
        <v>198</v>
      </c>
      <c r="EI24" s="5" t="s">
        <v>199</v>
      </c>
      <c r="EJ24" s="5" t="s">
        <v>161</v>
      </c>
      <c r="EK24" s="5" t="s">
        <v>200</v>
      </c>
      <c r="EL24" s="5" t="s">
        <v>201</v>
      </c>
      <c r="EM24" s="5" t="s">
        <v>202</v>
      </c>
      <c r="EN24" s="5" t="s">
        <v>203</v>
      </c>
      <c r="EO24" s="5" t="s">
        <v>204</v>
      </c>
      <c r="EP24" s="5" t="s">
        <v>205</v>
      </c>
      <c r="EQ24" s="5" t="s">
        <v>206</v>
      </c>
    </row>
    <row r="25" spans="1:154" ht="16.2" x14ac:dyDescent="0.4">
      <c r="A25" s="222">
        <v>150000</v>
      </c>
      <c r="B25" s="24">
        <v>1</v>
      </c>
      <c r="C25" s="24">
        <f t="shared" si="37"/>
        <v>2000</v>
      </c>
      <c r="D25" s="24">
        <v>0.3</v>
      </c>
      <c r="E25" s="221">
        <v>20000000</v>
      </c>
      <c r="F25" s="24">
        <v>-1</v>
      </c>
      <c r="G25" s="24">
        <v>1007</v>
      </c>
      <c r="H25" s="24">
        <f t="shared" si="0"/>
        <v>750000000</v>
      </c>
      <c r="I25" s="24">
        <f t="shared" ref="I25:I32" si="43">A25*150</f>
        <v>22500000</v>
      </c>
      <c r="J25" s="229" t="str">
        <f t="shared" si="1"/>
        <v>[[7001,22500000],[7002,22500000],[7003,22500000]]</v>
      </c>
      <c r="K25" s="24">
        <v>2880000</v>
      </c>
      <c r="L25" s="24">
        <f t="shared" ref="L25" si="44">K25</f>
        <v>2880000</v>
      </c>
      <c r="M25" s="24">
        <v>210</v>
      </c>
      <c r="N25" s="24">
        <v>210</v>
      </c>
      <c r="O25" s="24">
        <v>240</v>
      </c>
      <c r="P25" s="24">
        <v>1607</v>
      </c>
      <c r="Q25" s="69">
        <v>9100</v>
      </c>
      <c r="R25" s="69">
        <v>9100</v>
      </c>
      <c r="S25" s="24">
        <v>9500</v>
      </c>
      <c r="T25" s="24">
        <v>9500</v>
      </c>
      <c r="U25" s="232">
        <f t="shared" si="41"/>
        <v>3881250</v>
      </c>
      <c r="V25" s="229" t="str">
        <f>"1|1|"&amp;EG10&amp;",2|2301|"&amp;EI10&amp;",2|2302|"&amp;EI10&amp;",2|2303|"&amp;EI10&amp;",2|2304|"&amp;EI10</f>
        <v>1|1|100,2|2301|5,2|2302|5,2|2303|5,2|2304|5</v>
      </c>
      <c r="W25" s="229">
        <f>EJ10*10000</f>
        <v>10000</v>
      </c>
      <c r="X25" s="233" t="str">
        <f t="shared" ref="X25:X32" si="45">"2|2300|"&amp;(ET10-ROUNDUP(ET10*EU10,0)&amp;",2|2300|"&amp;(ET10+ROUNDUP(ET10*EU10,0)))</f>
        <v>2|2300|4,2|2300|6</v>
      </c>
      <c r="Y25" s="229" t="str">
        <f>"2|2300|"&amp;EW10</f>
        <v>2|2300|200</v>
      </c>
      <c r="Z25" s="229">
        <v>10000</v>
      </c>
      <c r="AA25" s="229">
        <v>1</v>
      </c>
      <c r="AB25" s="229" t="s">
        <v>207</v>
      </c>
      <c r="AE25" s="24">
        <v>1</v>
      </c>
      <c r="AF25" s="24">
        <f t="shared" si="4"/>
        <v>21</v>
      </c>
      <c r="AL25" s="235">
        <v>0</v>
      </c>
      <c r="AM25" s="24">
        <f t="shared" ref="AM25" si="46">AS25</f>
        <v>0.94440000000000002</v>
      </c>
      <c r="AN25" s="234"/>
      <c r="AO25" s="24" t="str">
        <f t="shared" ref="AO25" si="47">DB25&amp;","&amp;DC25&amp;","&amp;DD25</f>
        <v>15,1,0.15</v>
      </c>
      <c r="AQ25" s="24" t="str">
        <f t="shared" ref="AQ25" si="48">"[["&amp;DG25&amp;","&amp;DH25&amp;","&amp;DI25&amp;"],["&amp;DK25&amp;","&amp;DL25&amp;","&amp;DM25&amp;"],["&amp;DO25&amp;","&amp;DP25&amp;","&amp;DQ25&amp;"]]"</f>
        <v>[[0,0,0],[1005,3,0.3],[1007,1,0.5]]</v>
      </c>
      <c r="AR25" s="241">
        <v>0.34</v>
      </c>
      <c r="AS25" s="122">
        <f t="shared" si="38"/>
        <v>0.94440000000000002</v>
      </c>
      <c r="AT25" s="123">
        <f t="shared" si="8"/>
        <v>50039.999999999985</v>
      </c>
      <c r="AU25" s="244">
        <f t="shared" si="42"/>
        <v>0.33333333333333337</v>
      </c>
      <c r="CZ25" s="24"/>
      <c r="DA25" s="274">
        <f t="shared" si="13"/>
        <v>2.25</v>
      </c>
      <c r="DB25" s="24">
        <v>15</v>
      </c>
      <c r="DC25" s="24">
        <v>1</v>
      </c>
      <c r="DD25" s="274">
        <f t="shared" ref="DD25" si="49">ROUND(DA25/DB25,6)</f>
        <v>0.15</v>
      </c>
      <c r="DE25" s="24"/>
      <c r="DF25" s="232">
        <f t="shared" si="15"/>
        <v>3000000</v>
      </c>
      <c r="DG25" s="232">
        <v>0</v>
      </c>
      <c r="DH25" s="232">
        <v>0</v>
      </c>
      <c r="DI25" s="232">
        <v>0</v>
      </c>
      <c r="DJ25" s="232">
        <f t="shared" si="16"/>
        <v>4500000</v>
      </c>
      <c r="DK25" s="232">
        <v>1005</v>
      </c>
      <c r="DL25" s="232">
        <v>3</v>
      </c>
      <c r="DM25" s="276">
        <v>0.3</v>
      </c>
      <c r="DN25" s="232">
        <f t="shared" si="17"/>
        <v>7500000</v>
      </c>
      <c r="DO25" s="232">
        <v>1007</v>
      </c>
      <c r="DP25" s="232">
        <v>1</v>
      </c>
      <c r="DQ25" s="276">
        <v>0.5</v>
      </c>
      <c r="DU25" s="229">
        <v>150000</v>
      </c>
      <c r="DV25" s="277">
        <f>EN25</f>
        <v>160</v>
      </c>
      <c r="DW25" s="278">
        <v>100</v>
      </c>
      <c r="DX25" s="279">
        <f t="shared" ref="DX25:DX32" si="50">EJ25</f>
        <v>1</v>
      </c>
      <c r="DY25" s="33">
        <f t="shared" ref="DY25:DY32" si="51">ROUND(EM25,0)</f>
        <v>32</v>
      </c>
      <c r="DZ25" s="283">
        <v>0.2</v>
      </c>
      <c r="EA25" s="280">
        <f>EA26/2</f>
        <v>16</v>
      </c>
      <c r="EB25" s="229">
        <v>10000</v>
      </c>
      <c r="EC25" s="280">
        <f t="shared" ref="EC25:EC32" si="52">(DV25-DY25*$EI$22*(1-DX25))/DX25</f>
        <v>160</v>
      </c>
      <c r="ED25" s="280">
        <f t="shared" ref="ED25:ED32" si="53">DW25/DV25*EC25</f>
        <v>100</v>
      </c>
      <c r="EE25" s="284">
        <f>ROUND(DV25/4/5,0)*20</f>
        <v>160</v>
      </c>
      <c r="EF25" s="284">
        <f>ROUND(EA25/10,0)*10</f>
        <v>20</v>
      </c>
      <c r="EG25" s="33">
        <f>EE25/4</f>
        <v>40</v>
      </c>
      <c r="EH25" s="296">
        <v>4</v>
      </c>
      <c r="EI25" s="280">
        <f t="shared" ref="EI25:EI32" si="54">EH25*$EH$22</f>
        <v>160</v>
      </c>
      <c r="EJ25" s="298">
        <v>1</v>
      </c>
      <c r="EK25" s="300">
        <f t="shared" ref="EK25:EK32" si="55">1-EJ25</f>
        <v>0</v>
      </c>
      <c r="EL25" s="301">
        <f>MAX(1/(1/MIN(EJ25:EJ32)-1),20%)</f>
        <v>0.2</v>
      </c>
      <c r="EM25" s="280">
        <f t="shared" ref="EM25:EM32" si="56">EI25*EL25/$EI$22</f>
        <v>32</v>
      </c>
      <c r="EN25" s="280">
        <f t="shared" ref="EN25:EN32" si="57">EI25*EJ25+EM25*$EI$22*EK25</f>
        <v>160</v>
      </c>
      <c r="EO25" s="280">
        <f t="shared" ref="EO25:EO32" si="58">EI25/$EI$22-EN25/$EI$22</f>
        <v>0</v>
      </c>
      <c r="EP25" s="33">
        <f t="shared" ref="EP25:EP32" si="59">EH25*$ES$25*$ES$26*3600*$ES$28*$EJ$22/$EK$22</f>
        <v>432</v>
      </c>
      <c r="EQ25" s="280">
        <f t="shared" ref="EQ25:EQ32" si="60">EP25/EI25*EN25</f>
        <v>432</v>
      </c>
      <c r="ER25" s="316" t="s">
        <v>208</v>
      </c>
      <c r="ES25" s="317">
        <v>1</v>
      </c>
    </row>
    <row r="26" spans="1:154" ht="16.2" x14ac:dyDescent="0.4">
      <c r="A26" s="222">
        <v>200000</v>
      </c>
      <c r="B26" s="24">
        <v>1</v>
      </c>
      <c r="C26" s="24">
        <f t="shared" si="37"/>
        <v>4000</v>
      </c>
      <c r="D26" s="24">
        <v>0.3</v>
      </c>
      <c r="E26" s="221">
        <v>10000000</v>
      </c>
      <c r="F26" s="24">
        <v>-1</v>
      </c>
      <c r="G26" s="24">
        <v>1007</v>
      </c>
      <c r="H26" s="24">
        <f t="shared" si="0"/>
        <v>1000000000</v>
      </c>
      <c r="I26" s="24">
        <f t="shared" si="43"/>
        <v>30000000</v>
      </c>
      <c r="J26" s="229" t="str">
        <f t="shared" si="1"/>
        <v>[[7001,30000000],[7002,30000000],[7003,30000000]]</v>
      </c>
      <c r="K26" s="24">
        <v>2880000</v>
      </c>
      <c r="L26" s="24">
        <f t="shared" ref="L26" si="61">K26</f>
        <v>2880000</v>
      </c>
      <c r="M26" s="24">
        <v>220</v>
      </c>
      <c r="N26" s="24">
        <v>220</v>
      </c>
      <c r="O26" s="24">
        <v>230</v>
      </c>
      <c r="P26" s="24">
        <v>1607</v>
      </c>
      <c r="Q26" s="69">
        <v>9100</v>
      </c>
      <c r="R26" s="69">
        <v>9100</v>
      </c>
      <c r="S26" s="24">
        <v>9500</v>
      </c>
      <c r="T26" s="24">
        <v>9500</v>
      </c>
      <c r="U26" s="232">
        <f t="shared" si="41"/>
        <v>4950000</v>
      </c>
      <c r="V26" s="229" t="str">
        <f t="shared" ref="V26:V32" si="62">"1|1|"&amp;EG11&amp;",2|2301|"&amp;EI11&amp;",2|2302|"&amp;EI11&amp;",2|2303|"&amp;EI11&amp;",2|2304|"&amp;EI11</f>
        <v>1|1|200,2|2301|10,2|2302|10,2|2303|10,2|2304|10</v>
      </c>
      <c r="W26" s="229">
        <f t="shared" ref="W26:W32" si="63">EJ11*10000</f>
        <v>5000</v>
      </c>
      <c r="X26" s="233" t="str">
        <f t="shared" si="45"/>
        <v>2|2300|8,2|2300|12</v>
      </c>
      <c r="Y26" s="229" t="str">
        <f t="shared" ref="Y26:Y32" si="64">"2|2300|"&amp;EW11</f>
        <v>2|2300|500</v>
      </c>
      <c r="Z26" s="229">
        <v>10000</v>
      </c>
      <c r="AA26" s="229">
        <v>1</v>
      </c>
      <c r="AB26" s="229" t="s">
        <v>209</v>
      </c>
      <c r="AE26" s="24">
        <v>1</v>
      </c>
      <c r="AF26" s="24">
        <f t="shared" si="4"/>
        <v>22</v>
      </c>
      <c r="AL26" s="235">
        <v>0</v>
      </c>
      <c r="AM26" s="24">
        <f t="shared" ref="AM26" si="65">AS26</f>
        <v>0.94440000000000002</v>
      </c>
      <c r="AN26" s="234"/>
      <c r="AO26" s="24" t="str">
        <f t="shared" ref="AO26" si="66">DB26&amp;","&amp;DC26&amp;","&amp;DD26</f>
        <v>15,1,0.2</v>
      </c>
      <c r="AQ26" s="24" t="str">
        <f t="shared" ref="AQ26" si="67">"[["&amp;DG26&amp;","&amp;DH26&amp;","&amp;DI26&amp;"],["&amp;DK26&amp;","&amp;DL26&amp;","&amp;DM26&amp;"],["&amp;DO26&amp;","&amp;DP26&amp;","&amp;DQ26&amp;"]]"</f>
        <v>[[0,0,0],[1005,3,0.3],[1007,1,0.5]]</v>
      </c>
      <c r="AR26" s="241">
        <v>0.27</v>
      </c>
      <c r="AS26" s="122">
        <f t="shared" si="38"/>
        <v>0.94440000000000002</v>
      </c>
      <c r="AT26" s="123">
        <f t="shared" si="8"/>
        <v>66719.999999999971</v>
      </c>
      <c r="AU26" s="244">
        <f t="shared" si="42"/>
        <v>0.25</v>
      </c>
      <c r="CZ26" s="24"/>
      <c r="DA26" s="274">
        <f t="shared" si="13"/>
        <v>2.9999999999999996</v>
      </c>
      <c r="DB26" s="24">
        <v>15</v>
      </c>
      <c r="DC26" s="24">
        <v>1</v>
      </c>
      <c r="DD26" s="274">
        <f t="shared" ref="DD26" si="68">ROUND(DA26/DB26,6)</f>
        <v>0.2</v>
      </c>
      <c r="DE26" s="24"/>
      <c r="DF26" s="232">
        <f t="shared" si="15"/>
        <v>4000000</v>
      </c>
      <c r="DG26" s="232">
        <v>0</v>
      </c>
      <c r="DH26" s="232">
        <v>0</v>
      </c>
      <c r="DI26" s="232">
        <v>0</v>
      </c>
      <c r="DJ26" s="232">
        <f t="shared" si="16"/>
        <v>6000000</v>
      </c>
      <c r="DK26" s="232">
        <v>1005</v>
      </c>
      <c r="DL26" s="232">
        <v>3</v>
      </c>
      <c r="DM26" s="276">
        <v>0.3</v>
      </c>
      <c r="DN26" s="232">
        <f t="shared" si="17"/>
        <v>10000000</v>
      </c>
      <c r="DO26" s="232">
        <v>1007</v>
      </c>
      <c r="DP26" s="232">
        <v>1</v>
      </c>
      <c r="DQ26" s="276">
        <v>0.5</v>
      </c>
      <c r="DU26" s="229">
        <v>200000</v>
      </c>
      <c r="DV26" s="277">
        <f t="shared" ref="DV26:DV32" si="69">EN26</f>
        <v>168</v>
      </c>
      <c r="DW26" s="278">
        <v>200</v>
      </c>
      <c r="DX26" s="279">
        <f t="shared" si="50"/>
        <v>0.8</v>
      </c>
      <c r="DY26" s="33">
        <f t="shared" si="51"/>
        <v>40</v>
      </c>
      <c r="DZ26" s="285">
        <f>DZ25</f>
        <v>0.2</v>
      </c>
      <c r="EA26" s="280">
        <f>(EC26-DV26)/$EI$22</f>
        <v>32</v>
      </c>
      <c r="EB26" s="229">
        <v>10000</v>
      </c>
      <c r="EC26" s="280">
        <f t="shared" si="52"/>
        <v>200</v>
      </c>
      <c r="ED26" s="280">
        <f t="shared" si="53"/>
        <v>238.0952380952381</v>
      </c>
      <c r="EE26" s="284">
        <f t="shared" ref="EE26:EE32" si="70">ROUND(DV26/4/5,0)*20</f>
        <v>160</v>
      </c>
      <c r="EF26" s="284">
        <f t="shared" ref="EF26:EF32" si="71">ROUND(EA26/10,0)*10</f>
        <v>30</v>
      </c>
      <c r="EG26" s="33">
        <f t="shared" ref="EG26:EG32" si="72">EE26/4</f>
        <v>40</v>
      </c>
      <c r="EH26" s="302">
        <f>$EJ$25/EJ26*$EH$25</f>
        <v>5</v>
      </c>
      <c r="EI26" s="280">
        <f t="shared" si="54"/>
        <v>200</v>
      </c>
      <c r="EJ26" s="298">
        <v>0.8</v>
      </c>
      <c r="EK26" s="300">
        <f t="shared" si="55"/>
        <v>0.19999999999999996</v>
      </c>
      <c r="EL26" s="303">
        <f>EL25</f>
        <v>0.2</v>
      </c>
      <c r="EM26" s="280">
        <f t="shared" si="56"/>
        <v>40</v>
      </c>
      <c r="EN26" s="280">
        <f t="shared" si="57"/>
        <v>168</v>
      </c>
      <c r="EO26" s="280">
        <f t="shared" si="58"/>
        <v>32</v>
      </c>
      <c r="EP26" s="33">
        <f t="shared" si="59"/>
        <v>540</v>
      </c>
      <c r="EQ26" s="280">
        <f t="shared" si="60"/>
        <v>453.6</v>
      </c>
      <c r="ER26" s="318" t="s">
        <v>210</v>
      </c>
      <c r="ES26" s="319">
        <v>6</v>
      </c>
    </row>
    <row r="27" spans="1:154" ht="16.2" x14ac:dyDescent="0.4">
      <c r="A27" s="222">
        <v>250000</v>
      </c>
      <c r="B27" s="24">
        <v>1</v>
      </c>
      <c r="C27" s="24">
        <f t="shared" si="37"/>
        <v>6000</v>
      </c>
      <c r="D27" s="24">
        <v>0.3</v>
      </c>
      <c r="E27" s="221">
        <v>1000000</v>
      </c>
      <c r="F27" s="24">
        <v>-1</v>
      </c>
      <c r="G27" s="24">
        <v>1007</v>
      </c>
      <c r="H27" s="24">
        <f t="shared" si="0"/>
        <v>1250000000</v>
      </c>
      <c r="I27" s="24">
        <f t="shared" si="43"/>
        <v>37500000</v>
      </c>
      <c r="J27" s="229" t="str">
        <f t="shared" si="1"/>
        <v>[[7001,37500000],[7002,37500000],[7003,37500000]]</v>
      </c>
      <c r="K27" s="24">
        <v>2880000</v>
      </c>
      <c r="L27" s="24">
        <f t="shared" ref="L27:L28" si="73">K27</f>
        <v>2880000</v>
      </c>
      <c r="M27" s="24">
        <v>230</v>
      </c>
      <c r="N27" s="24">
        <v>230</v>
      </c>
      <c r="O27" s="24">
        <v>220</v>
      </c>
      <c r="P27" s="24">
        <v>1607</v>
      </c>
      <c r="Q27" s="69">
        <v>9100</v>
      </c>
      <c r="R27" s="69">
        <v>9100</v>
      </c>
      <c r="S27" s="24">
        <v>9500</v>
      </c>
      <c r="T27" s="24">
        <v>9500</v>
      </c>
      <c r="U27" s="232">
        <f t="shared" si="41"/>
        <v>5906250</v>
      </c>
      <c r="V27" s="229" t="str">
        <f t="shared" si="62"/>
        <v>1|1|300,2|2301|15,2|2302|15,2|2303|15,2|2304|15</v>
      </c>
      <c r="W27" s="229">
        <f t="shared" si="63"/>
        <v>3000</v>
      </c>
      <c r="X27" s="233" t="str">
        <f t="shared" si="45"/>
        <v>2|2300|12,2|2300|18</v>
      </c>
      <c r="Y27" s="229" t="str">
        <f t="shared" si="64"/>
        <v>2|2300|800</v>
      </c>
      <c r="Z27" s="229">
        <v>10000</v>
      </c>
      <c r="AA27" s="229">
        <v>1</v>
      </c>
      <c r="AB27" s="229" t="s">
        <v>211</v>
      </c>
      <c r="AE27" s="24">
        <v>1</v>
      </c>
      <c r="AF27" s="24">
        <f t="shared" si="4"/>
        <v>23</v>
      </c>
      <c r="AL27" s="235">
        <v>0</v>
      </c>
      <c r="AM27" s="24">
        <f t="shared" ref="AM27:AM28" si="74">AS27</f>
        <v>0.94440000000000002</v>
      </c>
      <c r="AN27" s="234"/>
      <c r="AO27" s="24" t="str">
        <f t="shared" ref="AO27:AO28" si="75">DB27&amp;","&amp;DC27&amp;","&amp;DD27</f>
        <v>15,1,0.25</v>
      </c>
      <c r="AQ27" s="24" t="str">
        <f t="shared" ref="AQ27:AQ28" si="76">"[["&amp;DG27&amp;","&amp;DH27&amp;","&amp;DI27&amp;"],["&amp;DK27&amp;","&amp;DL27&amp;","&amp;DM27&amp;"],["&amp;DO27&amp;","&amp;DP27&amp;","&amp;DQ27&amp;"]]"</f>
        <v>[[0,0,0],[1005,3,0.3],[1007,1,0.5]]</v>
      </c>
      <c r="AR27" s="241">
        <v>0.24</v>
      </c>
      <c r="AS27" s="122">
        <f t="shared" si="38"/>
        <v>0.94440000000000002</v>
      </c>
      <c r="AT27" s="123">
        <f t="shared" si="8"/>
        <v>83399.999999999971</v>
      </c>
      <c r="AU27" s="244">
        <f t="shared" si="42"/>
        <v>0.2</v>
      </c>
      <c r="CZ27" s="24"/>
      <c r="DA27" s="274">
        <f t="shared" si="13"/>
        <v>3.7499999999999996</v>
      </c>
      <c r="DB27" s="24">
        <v>15</v>
      </c>
      <c r="DC27" s="24">
        <v>1</v>
      </c>
      <c r="DD27" s="274">
        <f t="shared" ref="DD27:DD28" si="77">ROUND(DA27/DB27,6)</f>
        <v>0.25</v>
      </c>
      <c r="DE27" s="24"/>
      <c r="DF27" s="232">
        <f t="shared" si="15"/>
        <v>5000000</v>
      </c>
      <c r="DG27" s="232">
        <v>0</v>
      </c>
      <c r="DH27" s="232">
        <v>0</v>
      </c>
      <c r="DI27" s="232">
        <v>0</v>
      </c>
      <c r="DJ27" s="232">
        <f t="shared" si="16"/>
        <v>7500000</v>
      </c>
      <c r="DK27" s="232">
        <v>1005</v>
      </c>
      <c r="DL27" s="232">
        <v>3</v>
      </c>
      <c r="DM27" s="276">
        <v>0.3</v>
      </c>
      <c r="DN27" s="232">
        <f t="shared" si="17"/>
        <v>12500000</v>
      </c>
      <c r="DO27" s="232">
        <v>1007</v>
      </c>
      <c r="DP27" s="232">
        <v>1</v>
      </c>
      <c r="DQ27" s="276">
        <v>0.5</v>
      </c>
      <c r="DU27" s="229">
        <v>250000</v>
      </c>
      <c r="DV27" s="277">
        <f t="shared" si="69"/>
        <v>181.33333333333334</v>
      </c>
      <c r="DW27" s="278">
        <v>300</v>
      </c>
      <c r="DX27" s="279">
        <f t="shared" si="50"/>
        <v>0.6</v>
      </c>
      <c r="DY27" s="33">
        <f t="shared" si="51"/>
        <v>53</v>
      </c>
      <c r="DZ27" s="285">
        <f t="shared" ref="DZ27:DZ32" si="78">DZ26</f>
        <v>0.2</v>
      </c>
      <c r="EA27" s="280">
        <f t="shared" ref="EA27:EA32" si="79">(EC27-DV27)/$EI$22</f>
        <v>85.555555555555571</v>
      </c>
      <c r="EB27" s="229">
        <v>10000</v>
      </c>
      <c r="EC27" s="280">
        <f t="shared" si="52"/>
        <v>266.88888888888891</v>
      </c>
      <c r="ED27" s="280">
        <f t="shared" si="53"/>
        <v>441.54411764705884</v>
      </c>
      <c r="EE27" s="284">
        <f t="shared" si="70"/>
        <v>180</v>
      </c>
      <c r="EF27" s="284">
        <f t="shared" si="71"/>
        <v>90</v>
      </c>
      <c r="EG27" s="33">
        <f t="shared" si="72"/>
        <v>45</v>
      </c>
      <c r="EH27" s="302">
        <f t="shared" ref="EH27:EH32" si="80">$EJ$25/EJ27*$EH$25</f>
        <v>6.666666666666667</v>
      </c>
      <c r="EI27" s="280">
        <f t="shared" si="54"/>
        <v>266.66666666666669</v>
      </c>
      <c r="EJ27" s="298">
        <v>0.6</v>
      </c>
      <c r="EK27" s="300">
        <f t="shared" si="55"/>
        <v>0.4</v>
      </c>
      <c r="EL27" s="303">
        <f t="shared" ref="EL27:EL31" si="81">EL26</f>
        <v>0.2</v>
      </c>
      <c r="EM27" s="280">
        <f t="shared" si="56"/>
        <v>53.333333333333343</v>
      </c>
      <c r="EN27" s="280">
        <f t="shared" si="57"/>
        <v>181.33333333333334</v>
      </c>
      <c r="EO27" s="280">
        <f t="shared" si="58"/>
        <v>85.333333333333343</v>
      </c>
      <c r="EP27" s="33">
        <f t="shared" si="59"/>
        <v>720</v>
      </c>
      <c r="EQ27" s="280">
        <f t="shared" si="60"/>
        <v>489.59999999999997</v>
      </c>
      <c r="ER27" s="318" t="s">
        <v>212</v>
      </c>
      <c r="ES27" s="320">
        <v>0.95</v>
      </c>
    </row>
    <row r="28" spans="1:154" ht="16.2" x14ac:dyDescent="0.4">
      <c r="A28" s="222">
        <v>300000</v>
      </c>
      <c r="B28" s="24">
        <v>1</v>
      </c>
      <c r="C28" s="24">
        <f t="shared" si="37"/>
        <v>8000</v>
      </c>
      <c r="D28" s="24">
        <v>0.3</v>
      </c>
      <c r="E28" s="221">
        <v>50000</v>
      </c>
      <c r="F28" s="24">
        <v>-1</v>
      </c>
      <c r="G28" s="24">
        <v>1007</v>
      </c>
      <c r="H28" s="24">
        <f t="shared" si="0"/>
        <v>1500000000</v>
      </c>
      <c r="I28" s="24">
        <f t="shared" si="43"/>
        <v>45000000</v>
      </c>
      <c r="J28" s="229" t="str">
        <f t="shared" si="1"/>
        <v>[[7001,45000000],[7002,45000000],[7003,45000000]]</v>
      </c>
      <c r="K28" s="24">
        <v>2880000</v>
      </c>
      <c r="L28" s="24">
        <f t="shared" si="73"/>
        <v>2880000</v>
      </c>
      <c r="M28" s="24">
        <v>240</v>
      </c>
      <c r="N28" s="24">
        <v>240</v>
      </c>
      <c r="O28" s="24">
        <v>210</v>
      </c>
      <c r="P28" s="24">
        <v>1607</v>
      </c>
      <c r="Q28" s="69">
        <v>9100</v>
      </c>
      <c r="R28" s="69">
        <v>9100</v>
      </c>
      <c r="S28" s="24">
        <v>9500</v>
      </c>
      <c r="T28" s="24">
        <v>9500</v>
      </c>
      <c r="U28" s="232">
        <f t="shared" si="41"/>
        <v>6750000</v>
      </c>
      <c r="V28" s="229" t="str">
        <f t="shared" si="62"/>
        <v>1|1|400,2|2301|20,2|2302|20,2|2303|20,2|2304|20</v>
      </c>
      <c r="W28" s="229">
        <f t="shared" si="63"/>
        <v>1500</v>
      </c>
      <c r="X28" s="233" t="str">
        <f t="shared" si="45"/>
        <v>2|2300|16,2|2300|24</v>
      </c>
      <c r="Y28" s="229" t="str">
        <f t="shared" si="64"/>
        <v>2|2300|1000</v>
      </c>
      <c r="Z28" s="229">
        <v>10000</v>
      </c>
      <c r="AA28" s="229">
        <v>1</v>
      </c>
      <c r="AB28" s="229" t="s">
        <v>213</v>
      </c>
      <c r="AE28" s="24">
        <v>1</v>
      </c>
      <c r="AF28" s="24">
        <f t="shared" si="4"/>
        <v>24</v>
      </c>
      <c r="AL28" s="235">
        <v>0</v>
      </c>
      <c r="AM28" s="24">
        <f t="shared" si="74"/>
        <v>0.94440000000000002</v>
      </c>
      <c r="AN28" s="234"/>
      <c r="AO28" s="24" t="str">
        <f t="shared" si="75"/>
        <v>15,1,0.3</v>
      </c>
      <c r="AQ28" s="24" t="str">
        <f t="shared" si="76"/>
        <v>[[0,0,0],[1005,3,0.3],[1007,1,0.5]]</v>
      </c>
      <c r="AR28" s="241">
        <v>0.21</v>
      </c>
      <c r="AS28" s="122">
        <f t="shared" si="38"/>
        <v>0.94440000000000002</v>
      </c>
      <c r="AT28" s="123">
        <f t="shared" si="8"/>
        <v>100079.99999999997</v>
      </c>
      <c r="AU28" s="244">
        <f t="shared" si="42"/>
        <v>0.16666666666666669</v>
      </c>
      <c r="CZ28" s="24"/>
      <c r="DA28" s="274">
        <f t="shared" si="13"/>
        <v>4.5</v>
      </c>
      <c r="DB28" s="24">
        <v>15</v>
      </c>
      <c r="DC28" s="24">
        <v>1</v>
      </c>
      <c r="DD28" s="274">
        <f t="shared" si="77"/>
        <v>0.3</v>
      </c>
      <c r="DE28" s="24"/>
      <c r="DF28" s="232">
        <f t="shared" si="15"/>
        <v>6000000</v>
      </c>
      <c r="DG28" s="232">
        <v>0</v>
      </c>
      <c r="DH28" s="232">
        <v>0</v>
      </c>
      <c r="DI28" s="232">
        <v>0</v>
      </c>
      <c r="DJ28" s="232">
        <f t="shared" si="16"/>
        <v>9000000</v>
      </c>
      <c r="DK28" s="232">
        <v>1005</v>
      </c>
      <c r="DL28" s="232">
        <v>3</v>
      </c>
      <c r="DM28" s="276">
        <v>0.3</v>
      </c>
      <c r="DN28" s="232">
        <f t="shared" si="17"/>
        <v>15000000</v>
      </c>
      <c r="DO28" s="232">
        <v>1007</v>
      </c>
      <c r="DP28" s="232">
        <v>1</v>
      </c>
      <c r="DQ28" s="276">
        <v>0.5</v>
      </c>
      <c r="DU28" s="229">
        <v>300000</v>
      </c>
      <c r="DV28" s="277">
        <f t="shared" si="69"/>
        <v>192</v>
      </c>
      <c r="DW28" s="278">
        <v>400</v>
      </c>
      <c r="DX28" s="279">
        <f t="shared" si="50"/>
        <v>0.5</v>
      </c>
      <c r="DY28" s="33">
        <f t="shared" si="51"/>
        <v>64</v>
      </c>
      <c r="DZ28" s="285">
        <f t="shared" si="78"/>
        <v>0.2</v>
      </c>
      <c r="EA28" s="280">
        <f t="shared" si="79"/>
        <v>128</v>
      </c>
      <c r="EB28" s="229">
        <v>10000</v>
      </c>
      <c r="EC28" s="280">
        <f t="shared" si="52"/>
        <v>320</v>
      </c>
      <c r="ED28" s="280">
        <f t="shared" si="53"/>
        <v>666.66666666666674</v>
      </c>
      <c r="EE28" s="284">
        <f t="shared" si="70"/>
        <v>200</v>
      </c>
      <c r="EF28" s="284">
        <f t="shared" si="71"/>
        <v>130</v>
      </c>
      <c r="EG28" s="33">
        <f t="shared" si="72"/>
        <v>50</v>
      </c>
      <c r="EH28" s="302">
        <f t="shared" si="80"/>
        <v>8</v>
      </c>
      <c r="EI28" s="280">
        <f t="shared" si="54"/>
        <v>320</v>
      </c>
      <c r="EJ28" s="298">
        <v>0.5</v>
      </c>
      <c r="EK28" s="300">
        <f t="shared" si="55"/>
        <v>0.5</v>
      </c>
      <c r="EL28" s="303">
        <f t="shared" si="81"/>
        <v>0.2</v>
      </c>
      <c r="EM28" s="280">
        <f t="shared" si="56"/>
        <v>64</v>
      </c>
      <c r="EN28" s="280">
        <f t="shared" si="57"/>
        <v>192</v>
      </c>
      <c r="EO28" s="280">
        <f t="shared" si="58"/>
        <v>128</v>
      </c>
      <c r="EP28" s="33">
        <f t="shared" si="59"/>
        <v>864</v>
      </c>
      <c r="EQ28" s="280">
        <f t="shared" si="60"/>
        <v>518.40000000000009</v>
      </c>
      <c r="ER28" s="318" t="s">
        <v>214</v>
      </c>
      <c r="ES28" s="319">
        <v>100000</v>
      </c>
    </row>
    <row r="29" spans="1:154" ht="16.2" x14ac:dyDescent="0.4">
      <c r="A29" s="222">
        <v>350000</v>
      </c>
      <c r="B29" s="24">
        <v>1</v>
      </c>
      <c r="C29" s="24">
        <f t="shared" si="37"/>
        <v>10000</v>
      </c>
      <c r="D29" s="24">
        <v>0.3</v>
      </c>
      <c r="E29" s="221">
        <v>20000</v>
      </c>
      <c r="F29" s="24">
        <v>-1</v>
      </c>
      <c r="G29" s="24">
        <v>1007</v>
      </c>
      <c r="H29" s="24">
        <f t="shared" si="0"/>
        <v>1750000000</v>
      </c>
      <c r="I29" s="24">
        <f t="shared" si="43"/>
        <v>52500000</v>
      </c>
      <c r="J29" s="229" t="str">
        <f t="shared" si="1"/>
        <v>[[7001,52500000],[7002,52500000],[7003,52500000]]</v>
      </c>
      <c r="K29" s="24">
        <v>2880000</v>
      </c>
      <c r="L29" s="24">
        <f t="shared" ref="L29" si="82">K29</f>
        <v>2880000</v>
      </c>
      <c r="M29" s="24">
        <v>250</v>
      </c>
      <c r="N29" s="24">
        <v>250</v>
      </c>
      <c r="O29" s="24">
        <v>200</v>
      </c>
      <c r="P29" s="24">
        <v>1607</v>
      </c>
      <c r="Q29" s="69">
        <v>9100</v>
      </c>
      <c r="R29" s="69">
        <v>9100</v>
      </c>
      <c r="S29" s="24">
        <v>9500</v>
      </c>
      <c r="T29" s="24">
        <v>9500</v>
      </c>
      <c r="U29" s="232">
        <f t="shared" si="41"/>
        <v>7481250</v>
      </c>
      <c r="V29" s="229" t="str">
        <f t="shared" si="62"/>
        <v>1|1|500,2|2301|25,2|2302|25,2|2303|25,2|2304|25</v>
      </c>
      <c r="W29" s="229">
        <f t="shared" si="63"/>
        <v>1000</v>
      </c>
      <c r="X29" s="233" t="str">
        <f t="shared" si="45"/>
        <v>2|2300|20,2|2300|30</v>
      </c>
      <c r="Y29" s="229" t="str">
        <f t="shared" si="64"/>
        <v>2|2300|1200</v>
      </c>
      <c r="Z29" s="229">
        <v>10000</v>
      </c>
      <c r="AA29" s="229">
        <v>1</v>
      </c>
      <c r="AB29" s="229" t="s">
        <v>215</v>
      </c>
      <c r="AE29" s="24">
        <v>1</v>
      </c>
      <c r="AF29" s="24">
        <f t="shared" si="4"/>
        <v>25</v>
      </c>
      <c r="AL29" s="235">
        <v>0</v>
      </c>
      <c r="AM29" s="24">
        <f t="shared" ref="AM29" si="83">AS29</f>
        <v>0.94440000000000002</v>
      </c>
      <c r="AN29" s="234"/>
      <c r="AO29" s="24" t="str">
        <f t="shared" ref="AO29" si="84">DB29&amp;","&amp;DC29&amp;","&amp;DD29</f>
        <v>15,1,0.35</v>
      </c>
      <c r="AQ29" s="24" t="str">
        <f t="shared" ref="AQ29" si="85">"[["&amp;DG29&amp;","&amp;DH29&amp;","&amp;DI29&amp;"],["&amp;DK29&amp;","&amp;DL29&amp;","&amp;DM29&amp;"],["&amp;DO29&amp;","&amp;DP29&amp;","&amp;DQ29&amp;"]]"</f>
        <v>[[0,0,0],[1005,3,0.3],[1007,1,0.5]]</v>
      </c>
      <c r="AR29" s="241">
        <v>0.18</v>
      </c>
      <c r="AS29" s="122">
        <f t="shared" si="38"/>
        <v>0.94440000000000002</v>
      </c>
      <c r="AT29" s="123">
        <f t="shared" si="8"/>
        <v>116759.99999999996</v>
      </c>
      <c r="AU29" s="244">
        <f t="shared" si="42"/>
        <v>0.14285714285714285</v>
      </c>
      <c r="CZ29" s="24"/>
      <c r="DA29" s="274">
        <f t="shared" si="13"/>
        <v>5.2499999999999991</v>
      </c>
      <c r="DB29" s="24">
        <v>15</v>
      </c>
      <c r="DC29" s="24">
        <v>1</v>
      </c>
      <c r="DD29" s="274">
        <f t="shared" ref="DD29" si="86">ROUND(DA29/DB29,6)</f>
        <v>0.35</v>
      </c>
      <c r="DE29" s="24"/>
      <c r="DF29" s="232">
        <f t="shared" si="15"/>
        <v>7000000</v>
      </c>
      <c r="DG29" s="232">
        <v>0</v>
      </c>
      <c r="DH29" s="232">
        <v>0</v>
      </c>
      <c r="DI29" s="232">
        <v>0</v>
      </c>
      <c r="DJ29" s="232">
        <f t="shared" si="16"/>
        <v>10500000</v>
      </c>
      <c r="DK29" s="232">
        <v>1005</v>
      </c>
      <c r="DL29" s="232">
        <v>3</v>
      </c>
      <c r="DM29" s="276">
        <v>0.3</v>
      </c>
      <c r="DN29" s="232">
        <f t="shared" si="17"/>
        <v>17500000</v>
      </c>
      <c r="DO29" s="232">
        <v>1007</v>
      </c>
      <c r="DP29" s="232">
        <v>1</v>
      </c>
      <c r="DQ29" s="276">
        <v>0.5</v>
      </c>
      <c r="DU29" s="229">
        <v>350000</v>
      </c>
      <c r="DV29" s="277">
        <f t="shared" si="69"/>
        <v>208</v>
      </c>
      <c r="DW29" s="278">
        <v>500</v>
      </c>
      <c r="DX29" s="279">
        <f t="shared" si="50"/>
        <v>0.4</v>
      </c>
      <c r="DY29" s="33">
        <f t="shared" si="51"/>
        <v>80</v>
      </c>
      <c r="DZ29" s="285">
        <f t="shared" si="78"/>
        <v>0.2</v>
      </c>
      <c r="EA29" s="280">
        <f t="shared" si="79"/>
        <v>192</v>
      </c>
      <c r="EB29" s="229">
        <v>10000</v>
      </c>
      <c r="EC29" s="280">
        <f t="shared" si="52"/>
        <v>400</v>
      </c>
      <c r="ED29" s="280">
        <f t="shared" si="53"/>
        <v>961.53846153846155</v>
      </c>
      <c r="EE29" s="284">
        <f t="shared" si="70"/>
        <v>200</v>
      </c>
      <c r="EF29" s="284">
        <f t="shared" si="71"/>
        <v>190</v>
      </c>
      <c r="EG29" s="33">
        <f t="shared" si="72"/>
        <v>50</v>
      </c>
      <c r="EH29" s="302">
        <f t="shared" si="80"/>
        <v>10</v>
      </c>
      <c r="EI29" s="280">
        <f t="shared" si="54"/>
        <v>400</v>
      </c>
      <c r="EJ29" s="298">
        <v>0.4</v>
      </c>
      <c r="EK29" s="300">
        <f t="shared" si="55"/>
        <v>0.6</v>
      </c>
      <c r="EL29" s="303">
        <f t="shared" si="81"/>
        <v>0.2</v>
      </c>
      <c r="EM29" s="280">
        <f t="shared" si="56"/>
        <v>80</v>
      </c>
      <c r="EN29" s="280">
        <f t="shared" si="57"/>
        <v>208</v>
      </c>
      <c r="EO29" s="280">
        <f t="shared" si="58"/>
        <v>192</v>
      </c>
      <c r="EP29" s="33">
        <f t="shared" si="59"/>
        <v>1080</v>
      </c>
      <c r="EQ29" s="280">
        <f t="shared" si="60"/>
        <v>561.6</v>
      </c>
      <c r="ER29" s="321" t="s">
        <v>216</v>
      </c>
      <c r="ES29" s="322">
        <f>ROUND(ES28*(1-ES27)*ES26*ES25*3600/EH22,0)</f>
        <v>2700000</v>
      </c>
    </row>
    <row r="30" spans="1:154" ht="16.2" x14ac:dyDescent="0.4">
      <c r="A30" s="222">
        <v>400000</v>
      </c>
      <c r="B30" s="24">
        <v>1</v>
      </c>
      <c r="C30" s="24">
        <f t="shared" si="37"/>
        <v>20000</v>
      </c>
      <c r="D30" s="24">
        <v>0.3</v>
      </c>
      <c r="E30" s="221">
        <v>0</v>
      </c>
      <c r="F30" s="24">
        <v>-1</v>
      </c>
      <c r="G30" s="24">
        <v>1007</v>
      </c>
      <c r="H30" s="24">
        <f t="shared" si="0"/>
        <v>2000000000</v>
      </c>
      <c r="I30" s="24">
        <f t="shared" si="43"/>
        <v>60000000</v>
      </c>
      <c r="J30" s="229" t="str">
        <f t="shared" si="1"/>
        <v>[[7001,60000000],[7002,60000000],[7003,60000000]]</v>
      </c>
      <c r="K30" s="24">
        <v>2880000</v>
      </c>
      <c r="L30" s="24">
        <f t="shared" ref="L30:L32" si="87">K30</f>
        <v>2880000</v>
      </c>
      <c r="M30" s="24">
        <v>260</v>
      </c>
      <c r="N30" s="24">
        <v>260</v>
      </c>
      <c r="O30" s="24">
        <v>190</v>
      </c>
      <c r="P30" s="24">
        <v>1607</v>
      </c>
      <c r="Q30" s="69">
        <v>9100</v>
      </c>
      <c r="R30" s="69">
        <v>9100</v>
      </c>
      <c r="S30" s="24">
        <v>9500</v>
      </c>
      <c r="T30" s="24">
        <v>9500</v>
      </c>
      <c r="U30" s="232">
        <f t="shared" si="41"/>
        <v>8100000</v>
      </c>
      <c r="V30" s="229" t="str">
        <f t="shared" si="62"/>
        <v>1|1|600,2|2301|30,2|2302|30,2|2303|30,2|2304|30</v>
      </c>
      <c r="W30" s="229">
        <f t="shared" si="63"/>
        <v>500</v>
      </c>
      <c r="X30" s="233" t="str">
        <f t="shared" si="45"/>
        <v>2|2300|24,2|2300|36</v>
      </c>
      <c r="Y30" s="229" t="str">
        <f t="shared" si="64"/>
        <v>2|2300|1500</v>
      </c>
      <c r="Z30" s="229">
        <v>10000</v>
      </c>
      <c r="AA30" s="229">
        <v>1</v>
      </c>
      <c r="AB30" s="229" t="s">
        <v>217</v>
      </c>
      <c r="AE30" s="24">
        <v>1</v>
      </c>
      <c r="AF30" s="24">
        <f t="shared" si="4"/>
        <v>26</v>
      </c>
      <c r="AL30" s="235">
        <v>0</v>
      </c>
      <c r="AM30" s="24">
        <f t="shared" ref="AM30:AM32" si="88">AS30</f>
        <v>0.94440000000000002</v>
      </c>
      <c r="AN30" s="234"/>
      <c r="AO30" s="24" t="str">
        <f t="shared" ref="AO30:AO32" si="89">DB30&amp;","&amp;DC30&amp;","&amp;DD30</f>
        <v>15,1,0.4</v>
      </c>
      <c r="AQ30" s="24" t="str">
        <f t="shared" ref="AQ30:AQ32" si="90">"[["&amp;DG30&amp;","&amp;DH30&amp;","&amp;DI30&amp;"],["&amp;DK30&amp;","&amp;DL30&amp;","&amp;DM30&amp;"],["&amp;DO30&amp;","&amp;DP30&amp;","&amp;DQ30&amp;"]]"</f>
        <v>[[0,0,0],[1005,3,0.3],[1007,1,0.5]]</v>
      </c>
      <c r="AR30" s="241">
        <v>0.17499999999999999</v>
      </c>
      <c r="AS30" s="122">
        <f t="shared" si="38"/>
        <v>0.94440000000000002</v>
      </c>
      <c r="AT30" s="123">
        <f t="shared" si="8"/>
        <v>133439.99999999994</v>
      </c>
      <c r="AU30" s="244">
        <f t="shared" si="42"/>
        <v>0.125</v>
      </c>
      <c r="CZ30" s="24"/>
      <c r="DA30" s="274">
        <f t="shared" si="13"/>
        <v>5.9999999999999991</v>
      </c>
      <c r="DB30" s="24">
        <v>15</v>
      </c>
      <c r="DC30" s="24">
        <v>1</v>
      </c>
      <c r="DD30" s="274">
        <f t="shared" ref="DD30:DD32" si="91">ROUND(DA30/DB30,6)</f>
        <v>0.4</v>
      </c>
      <c r="DE30" s="24"/>
      <c r="DF30" s="232">
        <f t="shared" si="15"/>
        <v>8000000</v>
      </c>
      <c r="DG30" s="232">
        <v>0</v>
      </c>
      <c r="DH30" s="232">
        <v>0</v>
      </c>
      <c r="DI30" s="232">
        <v>0</v>
      </c>
      <c r="DJ30" s="232">
        <f t="shared" si="16"/>
        <v>12000000</v>
      </c>
      <c r="DK30" s="232">
        <v>1005</v>
      </c>
      <c r="DL30" s="232">
        <v>3</v>
      </c>
      <c r="DM30" s="276">
        <v>0.3</v>
      </c>
      <c r="DN30" s="232">
        <f t="shared" si="17"/>
        <v>20000000</v>
      </c>
      <c r="DO30" s="232">
        <v>1007</v>
      </c>
      <c r="DP30" s="232">
        <v>1</v>
      </c>
      <c r="DQ30" s="276">
        <v>0.5</v>
      </c>
      <c r="DU30" s="229">
        <v>400000</v>
      </c>
      <c r="DV30" s="277">
        <f t="shared" si="69"/>
        <v>234.66666666666669</v>
      </c>
      <c r="DW30" s="278">
        <v>600</v>
      </c>
      <c r="DX30" s="279">
        <f t="shared" si="50"/>
        <v>0.3</v>
      </c>
      <c r="DY30" s="33">
        <f t="shared" si="51"/>
        <v>107</v>
      </c>
      <c r="DZ30" s="285">
        <f t="shared" si="78"/>
        <v>0.2</v>
      </c>
      <c r="EA30" s="280">
        <f t="shared" si="79"/>
        <v>297.88888888888908</v>
      </c>
      <c r="EB30" s="229">
        <v>10000</v>
      </c>
      <c r="EC30" s="280">
        <f t="shared" si="52"/>
        <v>532.55555555555577</v>
      </c>
      <c r="ED30" s="280">
        <f t="shared" si="53"/>
        <v>1361.6477272727277</v>
      </c>
      <c r="EE30" s="284">
        <f t="shared" si="70"/>
        <v>240</v>
      </c>
      <c r="EF30" s="284">
        <f t="shared" si="71"/>
        <v>300</v>
      </c>
      <c r="EG30" s="33">
        <f t="shared" si="72"/>
        <v>60</v>
      </c>
      <c r="EH30" s="302">
        <f t="shared" si="80"/>
        <v>13.333333333333334</v>
      </c>
      <c r="EI30" s="280">
        <f t="shared" si="54"/>
        <v>533.33333333333337</v>
      </c>
      <c r="EJ30" s="298">
        <v>0.3</v>
      </c>
      <c r="EK30" s="300">
        <f t="shared" si="55"/>
        <v>0.7</v>
      </c>
      <c r="EL30" s="303">
        <f t="shared" si="81"/>
        <v>0.2</v>
      </c>
      <c r="EM30" s="280">
        <f t="shared" si="56"/>
        <v>106.66666666666669</v>
      </c>
      <c r="EN30" s="280">
        <f t="shared" si="57"/>
        <v>234.66666666666669</v>
      </c>
      <c r="EO30" s="280">
        <f t="shared" si="58"/>
        <v>298.66666666666669</v>
      </c>
      <c r="EP30" s="33">
        <f t="shared" si="59"/>
        <v>1440</v>
      </c>
      <c r="EQ30" s="280">
        <f t="shared" si="60"/>
        <v>633.6</v>
      </c>
    </row>
    <row r="31" spans="1:154" ht="16.2" x14ac:dyDescent="0.4">
      <c r="A31" s="222">
        <v>450000</v>
      </c>
      <c r="B31" s="24">
        <v>1</v>
      </c>
      <c r="C31" s="24">
        <f t="shared" si="37"/>
        <v>40000</v>
      </c>
      <c r="D31" s="24">
        <v>0.3</v>
      </c>
      <c r="E31" s="221">
        <v>0</v>
      </c>
      <c r="F31" s="24">
        <v>-1</v>
      </c>
      <c r="G31" s="24">
        <v>1007</v>
      </c>
      <c r="H31" s="24">
        <f t="shared" si="0"/>
        <v>2250000000</v>
      </c>
      <c r="I31" s="24">
        <f t="shared" si="43"/>
        <v>67500000</v>
      </c>
      <c r="J31" s="229" t="str">
        <f t="shared" si="1"/>
        <v>[[7001,67500000],[7002,67500000],[7003,67500000]]</v>
      </c>
      <c r="K31" s="24">
        <v>2880000</v>
      </c>
      <c r="L31" s="24">
        <f t="shared" si="87"/>
        <v>2880000</v>
      </c>
      <c r="M31" s="24">
        <v>270</v>
      </c>
      <c r="N31" s="24">
        <v>270</v>
      </c>
      <c r="O31" s="24">
        <v>180</v>
      </c>
      <c r="P31" s="24">
        <v>1607</v>
      </c>
      <c r="Q31" s="69">
        <v>9100</v>
      </c>
      <c r="R31" s="69">
        <v>9100</v>
      </c>
      <c r="S31" s="24">
        <v>9500</v>
      </c>
      <c r="T31" s="24">
        <v>9500</v>
      </c>
      <c r="U31" s="232">
        <f t="shared" si="41"/>
        <v>8606250</v>
      </c>
      <c r="V31" s="229" t="str">
        <f t="shared" si="62"/>
        <v>1|1|700,2|2301|35,2|2302|35,2|2303|35,2|2304|35</v>
      </c>
      <c r="W31" s="229">
        <f t="shared" si="63"/>
        <v>300</v>
      </c>
      <c r="X31" s="233" t="str">
        <f t="shared" si="45"/>
        <v>2|2300|28,2|2300|42</v>
      </c>
      <c r="Y31" s="229" t="str">
        <f t="shared" si="64"/>
        <v>2|2300|2000</v>
      </c>
      <c r="Z31" s="229">
        <v>10000</v>
      </c>
      <c r="AA31" s="229">
        <v>1</v>
      </c>
      <c r="AB31" s="229" t="s">
        <v>218</v>
      </c>
      <c r="AE31" s="24">
        <v>1</v>
      </c>
      <c r="AF31" s="24">
        <f t="shared" si="4"/>
        <v>27</v>
      </c>
      <c r="AL31" s="235">
        <v>0</v>
      </c>
      <c r="AM31" s="24">
        <f t="shared" si="88"/>
        <v>0.94440000000000002</v>
      </c>
      <c r="AN31" s="234"/>
      <c r="AO31" s="24" t="str">
        <f t="shared" si="89"/>
        <v>15,1,0.45</v>
      </c>
      <c r="AQ31" s="24" t="str">
        <f t="shared" si="90"/>
        <v>[[0,0,0],[1005,3,0.3],[1007,1,0.5]]</v>
      </c>
      <c r="AR31" s="241">
        <v>0.1555</v>
      </c>
      <c r="AS31" s="122">
        <f t="shared" si="38"/>
        <v>0.94440000000000002</v>
      </c>
      <c r="AT31" s="123">
        <f t="shared" si="8"/>
        <v>150119.99999999994</v>
      </c>
      <c r="AU31" s="244">
        <f t="shared" si="42"/>
        <v>0.1111111111111111</v>
      </c>
      <c r="CZ31" s="24"/>
      <c r="DA31" s="274">
        <f t="shared" si="13"/>
        <v>6.7499999999999991</v>
      </c>
      <c r="DB31" s="24">
        <v>15</v>
      </c>
      <c r="DC31" s="24">
        <v>1</v>
      </c>
      <c r="DD31" s="274">
        <f t="shared" si="91"/>
        <v>0.45</v>
      </c>
      <c r="DE31" s="24"/>
      <c r="DF31" s="232">
        <f t="shared" si="15"/>
        <v>9000000</v>
      </c>
      <c r="DG31" s="232">
        <v>0</v>
      </c>
      <c r="DH31" s="232">
        <v>0</v>
      </c>
      <c r="DI31" s="232">
        <v>0</v>
      </c>
      <c r="DJ31" s="232">
        <f t="shared" si="16"/>
        <v>13500000</v>
      </c>
      <c r="DK31" s="232">
        <v>1005</v>
      </c>
      <c r="DL31" s="232">
        <v>3</v>
      </c>
      <c r="DM31" s="276">
        <v>0.3</v>
      </c>
      <c r="DN31" s="232">
        <f t="shared" si="17"/>
        <v>22500000</v>
      </c>
      <c r="DO31" s="232">
        <v>1007</v>
      </c>
      <c r="DP31" s="232">
        <v>1</v>
      </c>
      <c r="DQ31" s="276">
        <v>0.5</v>
      </c>
      <c r="DU31" s="229">
        <v>450000</v>
      </c>
      <c r="DV31" s="277">
        <f t="shared" si="69"/>
        <v>288</v>
      </c>
      <c r="DW31" s="278">
        <v>700</v>
      </c>
      <c r="DX31" s="279">
        <f t="shared" si="50"/>
        <v>0.2</v>
      </c>
      <c r="DY31" s="33">
        <f t="shared" si="51"/>
        <v>160</v>
      </c>
      <c r="DZ31" s="285">
        <f t="shared" si="78"/>
        <v>0.2</v>
      </c>
      <c r="EA31" s="280">
        <f t="shared" si="79"/>
        <v>512</v>
      </c>
      <c r="EB31" s="229">
        <v>10000</v>
      </c>
      <c r="EC31" s="280">
        <f t="shared" si="52"/>
        <v>800</v>
      </c>
      <c r="ED31" s="280">
        <f t="shared" si="53"/>
        <v>1944.4444444444443</v>
      </c>
      <c r="EE31" s="284">
        <f t="shared" si="70"/>
        <v>280</v>
      </c>
      <c r="EF31" s="284">
        <f t="shared" si="71"/>
        <v>510</v>
      </c>
      <c r="EG31" s="33">
        <f t="shared" si="72"/>
        <v>70</v>
      </c>
      <c r="EH31" s="302">
        <f t="shared" si="80"/>
        <v>20</v>
      </c>
      <c r="EI31" s="280">
        <f t="shared" si="54"/>
        <v>800</v>
      </c>
      <c r="EJ31" s="298">
        <v>0.2</v>
      </c>
      <c r="EK31" s="300">
        <f t="shared" si="55"/>
        <v>0.8</v>
      </c>
      <c r="EL31" s="303">
        <f t="shared" si="81"/>
        <v>0.2</v>
      </c>
      <c r="EM31" s="280">
        <f t="shared" si="56"/>
        <v>160</v>
      </c>
      <c r="EN31" s="280">
        <f t="shared" si="57"/>
        <v>288</v>
      </c>
      <c r="EO31" s="280">
        <f t="shared" si="58"/>
        <v>512</v>
      </c>
      <c r="EP31" s="33">
        <f t="shared" si="59"/>
        <v>2160</v>
      </c>
      <c r="EQ31" s="280">
        <f t="shared" si="60"/>
        <v>777.6</v>
      </c>
    </row>
    <row r="32" spans="1:154" ht="16.2" x14ac:dyDescent="0.4">
      <c r="A32" s="222">
        <v>500000</v>
      </c>
      <c r="B32" s="24">
        <v>1</v>
      </c>
      <c r="C32" s="24">
        <f t="shared" si="37"/>
        <v>60000</v>
      </c>
      <c r="D32" s="24">
        <v>0.3</v>
      </c>
      <c r="E32" s="221">
        <v>0</v>
      </c>
      <c r="F32" s="24">
        <v>-1</v>
      </c>
      <c r="G32" s="24">
        <v>1007</v>
      </c>
      <c r="H32" s="24">
        <f t="shared" si="0"/>
        <v>2500000000</v>
      </c>
      <c r="I32" s="24">
        <f t="shared" si="43"/>
        <v>75000000</v>
      </c>
      <c r="J32" s="229" t="str">
        <f t="shared" si="1"/>
        <v>[[7001,75000000],[7002,75000000],[7003,75000000]]</v>
      </c>
      <c r="K32" s="24">
        <v>2880000</v>
      </c>
      <c r="L32" s="24">
        <f t="shared" si="87"/>
        <v>2880000</v>
      </c>
      <c r="M32" s="24">
        <v>280</v>
      </c>
      <c r="N32" s="24">
        <v>280</v>
      </c>
      <c r="O32" s="24">
        <v>170</v>
      </c>
      <c r="P32" s="24">
        <v>1607</v>
      </c>
      <c r="Q32" s="69">
        <v>9100</v>
      </c>
      <c r="R32" s="69">
        <v>9100</v>
      </c>
      <c r="S32" s="24">
        <v>9500</v>
      </c>
      <c r="T32" s="24">
        <v>9500</v>
      </c>
      <c r="U32" s="232">
        <f t="shared" si="41"/>
        <v>9000000</v>
      </c>
      <c r="V32" s="229" t="str">
        <f t="shared" si="62"/>
        <v>1|1|800,2|2301|40,2|2302|40,2|2303|40,2|2304|40</v>
      </c>
      <c r="W32" s="229">
        <f t="shared" si="63"/>
        <v>100</v>
      </c>
      <c r="X32" s="233" t="str">
        <f t="shared" si="45"/>
        <v>2|2300|32,2|2300|48</v>
      </c>
      <c r="Y32" s="229" t="str">
        <f t="shared" si="64"/>
        <v>2|2300|5000</v>
      </c>
      <c r="Z32" s="229">
        <v>10000</v>
      </c>
      <c r="AA32" s="229">
        <v>1</v>
      </c>
      <c r="AB32" s="229" t="s">
        <v>219</v>
      </c>
      <c r="AE32" s="24">
        <v>1</v>
      </c>
      <c r="AF32" s="24">
        <f t="shared" si="4"/>
        <v>28</v>
      </c>
      <c r="AL32" s="235">
        <v>0</v>
      </c>
      <c r="AM32" s="24">
        <f t="shared" si="88"/>
        <v>0.94440000000000002</v>
      </c>
      <c r="AN32" s="234"/>
      <c r="AO32" s="24" t="str">
        <f t="shared" si="89"/>
        <v>15,1,0.5</v>
      </c>
      <c r="AQ32" s="24" t="str">
        <f t="shared" si="90"/>
        <v>[[0,0,0],[1005,3,0.3],[1007,1,0.5]]</v>
      </c>
      <c r="AR32" s="241">
        <v>0.14000000000000001</v>
      </c>
      <c r="AS32" s="122">
        <f t="shared" si="38"/>
        <v>0.94440000000000002</v>
      </c>
      <c r="AT32" s="123">
        <f t="shared" si="8"/>
        <v>166799.99999999994</v>
      </c>
      <c r="AU32" s="244">
        <f t="shared" si="42"/>
        <v>0.1</v>
      </c>
      <c r="CZ32" s="24"/>
      <c r="DA32" s="274">
        <f t="shared" si="13"/>
        <v>7.4999999999999991</v>
      </c>
      <c r="DB32" s="24">
        <v>15</v>
      </c>
      <c r="DC32" s="24">
        <v>1</v>
      </c>
      <c r="DD32" s="274">
        <f t="shared" si="91"/>
        <v>0.5</v>
      </c>
      <c r="DE32" s="24"/>
      <c r="DF32" s="232">
        <f t="shared" si="15"/>
        <v>10000000</v>
      </c>
      <c r="DG32" s="232">
        <v>0</v>
      </c>
      <c r="DH32" s="232">
        <v>0</v>
      </c>
      <c r="DI32" s="232">
        <v>0</v>
      </c>
      <c r="DJ32" s="232">
        <f t="shared" si="16"/>
        <v>15000000</v>
      </c>
      <c r="DK32" s="232">
        <v>1005</v>
      </c>
      <c r="DL32" s="232">
        <v>3</v>
      </c>
      <c r="DM32" s="276">
        <v>0.3</v>
      </c>
      <c r="DN32" s="232">
        <f t="shared" si="17"/>
        <v>25000000</v>
      </c>
      <c r="DO32" s="232">
        <v>1007</v>
      </c>
      <c r="DP32" s="232">
        <v>1</v>
      </c>
      <c r="DQ32" s="276">
        <v>0.5</v>
      </c>
      <c r="DU32" s="229">
        <v>500000</v>
      </c>
      <c r="DV32" s="277">
        <f t="shared" si="69"/>
        <v>341.33333333333337</v>
      </c>
      <c r="DW32" s="278">
        <v>800</v>
      </c>
      <c r="DX32" s="279">
        <f t="shared" si="50"/>
        <v>0.15</v>
      </c>
      <c r="DY32" s="33">
        <f t="shared" si="51"/>
        <v>213</v>
      </c>
      <c r="DZ32" s="285">
        <f t="shared" si="78"/>
        <v>0.2</v>
      </c>
      <c r="EA32" s="280">
        <f t="shared" si="79"/>
        <v>727.22222222222251</v>
      </c>
      <c r="EB32" s="229">
        <v>10000</v>
      </c>
      <c r="EC32" s="280">
        <f t="shared" si="52"/>
        <v>1068.5555555555559</v>
      </c>
      <c r="ED32" s="280">
        <f t="shared" si="53"/>
        <v>2504.4270833333335</v>
      </c>
      <c r="EE32" s="284">
        <f t="shared" si="70"/>
        <v>340</v>
      </c>
      <c r="EF32" s="284">
        <f t="shared" si="71"/>
        <v>730</v>
      </c>
      <c r="EG32" s="33">
        <f t="shared" si="72"/>
        <v>85</v>
      </c>
      <c r="EH32" s="302">
        <f t="shared" si="80"/>
        <v>26.666666666666668</v>
      </c>
      <c r="EI32" s="280">
        <f t="shared" si="54"/>
        <v>1066.6666666666667</v>
      </c>
      <c r="EJ32" s="298">
        <v>0.15</v>
      </c>
      <c r="EK32" s="300">
        <f t="shared" si="55"/>
        <v>0.85</v>
      </c>
      <c r="EL32" s="303">
        <v>0.2</v>
      </c>
      <c r="EM32" s="280">
        <f t="shared" si="56"/>
        <v>213.33333333333337</v>
      </c>
      <c r="EN32" s="280">
        <f t="shared" si="57"/>
        <v>341.33333333333337</v>
      </c>
      <c r="EO32" s="280">
        <f t="shared" si="58"/>
        <v>725.33333333333337</v>
      </c>
      <c r="EP32" s="33">
        <f t="shared" si="59"/>
        <v>2880</v>
      </c>
      <c r="EQ32" s="280">
        <f t="shared" si="60"/>
        <v>921.6</v>
      </c>
      <c r="ER32" s="323" t="s">
        <v>212</v>
      </c>
      <c r="ES32" s="324">
        <v>0.95</v>
      </c>
      <c r="ET32" s="317"/>
    </row>
    <row r="33" spans="50:151" x14ac:dyDescent="0.35"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DU33" s="229"/>
      <c r="DV33" s="280">
        <f>SUM(DV25:DV32)</f>
        <v>1773.3333333333335</v>
      </c>
      <c r="DW33" s="229"/>
      <c r="DX33" s="279"/>
      <c r="DY33" s="33"/>
      <c r="DZ33" s="33"/>
      <c r="EA33" s="280">
        <f>SUM(EA26:EA32)</f>
        <v>1974.666666666667</v>
      </c>
      <c r="EB33" s="229" t="s">
        <v>220</v>
      </c>
      <c r="EC33" s="33"/>
      <c r="ED33" s="33"/>
      <c r="EE33" s="33">
        <f>SUM(EE25:EE32)</f>
        <v>1760</v>
      </c>
      <c r="EF33" s="33">
        <f>SUM(EF26:EF32)</f>
        <v>1980</v>
      </c>
      <c r="EG33" s="33"/>
      <c r="EH33" s="229"/>
      <c r="EI33" s="304">
        <f>SUM(EI25:EI32)</f>
        <v>3746.666666666667</v>
      </c>
      <c r="EJ33" s="33"/>
      <c r="EK33" s="33"/>
      <c r="EL33" s="305">
        <f>1/(1/MIN(EJ25:EJ32)-1)</f>
        <v>0.1764705882352941</v>
      </c>
      <c r="EM33" s="33"/>
      <c r="EN33" s="33"/>
      <c r="EO33" s="33"/>
      <c r="EP33" s="33">
        <f>SUM(EP25:EP32)</f>
        <v>10116</v>
      </c>
      <c r="EQ33" s="33"/>
      <c r="ER33" s="325" t="s">
        <v>221</v>
      </c>
      <c r="ES33" s="326">
        <v>6</v>
      </c>
      <c r="ET33" s="319"/>
    </row>
    <row r="34" spans="50:151" x14ac:dyDescent="0.35"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229"/>
      <c r="EM34" s="33"/>
      <c r="EN34" s="33"/>
      <c r="EO34" s="33"/>
      <c r="EP34" s="33"/>
      <c r="EQ34" s="33"/>
      <c r="ER34" s="318" t="s">
        <v>214</v>
      </c>
      <c r="ES34" s="327" t="s">
        <v>222</v>
      </c>
      <c r="ET34" s="328" t="s">
        <v>223</v>
      </c>
    </row>
    <row r="35" spans="50:151" x14ac:dyDescent="0.35"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86">
        <v>20000</v>
      </c>
      <c r="ES35" s="87">
        <f>ROUND((ER35*(1-$ES$32)*$ES$33)*ET35/40*60,0)</f>
        <v>720000</v>
      </c>
      <c r="ET35" s="88">
        <v>80</v>
      </c>
      <c r="EU35" s="33">
        <f t="shared" ref="EU35:EU47" si="92">$ET$39*$ER$39/ER35</f>
        <v>300</v>
      </c>
    </row>
    <row r="36" spans="50:151" x14ac:dyDescent="0.35"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>
        <f>EN32/EJ32</f>
        <v>2275.5555555555561</v>
      </c>
      <c r="EO36" s="33"/>
      <c r="EP36" s="33"/>
      <c r="EQ36" s="33"/>
      <c r="ER36" s="86">
        <v>40000</v>
      </c>
      <c r="ES36" s="87">
        <f t="shared" ref="ES36:ES47" si="93">ROUND((ER36*(1-$ES$32)*$ES$33)*ET36/40*60,0)</f>
        <v>1350000</v>
      </c>
      <c r="ET36" s="88">
        <v>75</v>
      </c>
      <c r="EU36" s="33">
        <f t="shared" si="92"/>
        <v>150</v>
      </c>
    </row>
    <row r="37" spans="50:151" x14ac:dyDescent="0.35"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286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86">
        <v>60000</v>
      </c>
      <c r="ES37" s="87">
        <f t="shared" si="93"/>
        <v>1890000</v>
      </c>
      <c r="ET37" s="88">
        <v>70</v>
      </c>
      <c r="EU37" s="33">
        <f t="shared" si="92"/>
        <v>100</v>
      </c>
    </row>
    <row r="38" spans="50:151" x14ac:dyDescent="0.35"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86">
        <v>80000</v>
      </c>
      <c r="ES38" s="87">
        <f t="shared" si="93"/>
        <v>2340000</v>
      </c>
      <c r="ET38" s="88">
        <v>65</v>
      </c>
      <c r="EU38" s="33">
        <f t="shared" si="92"/>
        <v>75</v>
      </c>
    </row>
    <row r="39" spans="50:151" x14ac:dyDescent="0.35"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281" t="s">
        <v>224</v>
      </c>
      <c r="EI39" s="33"/>
      <c r="EJ39" s="33"/>
      <c r="EK39" s="33"/>
      <c r="EL39" s="33"/>
      <c r="EM39" s="33"/>
      <c r="EN39" s="33"/>
      <c r="EO39" s="33"/>
      <c r="EP39" s="33"/>
      <c r="EQ39" s="33"/>
      <c r="ER39" s="86">
        <v>100000</v>
      </c>
      <c r="ES39" s="329">
        <f t="shared" si="93"/>
        <v>2700000</v>
      </c>
      <c r="ET39" s="330">
        <v>60</v>
      </c>
      <c r="EU39" s="33">
        <f t="shared" si="92"/>
        <v>60</v>
      </c>
    </row>
    <row r="40" spans="50:151" x14ac:dyDescent="0.35"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287" t="s">
        <v>225</v>
      </c>
      <c r="EJ40" s="287" t="s">
        <v>226</v>
      </c>
      <c r="EK40" s="287" t="s">
        <v>227</v>
      </c>
      <c r="EL40" s="287" t="s">
        <v>228</v>
      </c>
      <c r="EM40" s="287" t="s">
        <v>229</v>
      </c>
      <c r="EN40" s="306"/>
      <c r="EO40" s="331" t="s">
        <v>230</v>
      </c>
      <c r="EP40" s="331" t="s">
        <v>231</v>
      </c>
      <c r="EQ40" s="332" t="s">
        <v>232</v>
      </c>
      <c r="ER40" s="86">
        <v>150000</v>
      </c>
      <c r="ES40" s="87">
        <f t="shared" si="93"/>
        <v>3881250</v>
      </c>
      <c r="ET40" s="333">
        <v>57.5</v>
      </c>
      <c r="EU40" s="33">
        <f t="shared" si="92"/>
        <v>40</v>
      </c>
    </row>
    <row r="41" spans="50:151" x14ac:dyDescent="0.35"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229">
        <v>150000</v>
      </c>
      <c r="EI41" s="33">
        <v>1</v>
      </c>
      <c r="EJ41" s="33">
        <v>0</v>
      </c>
      <c r="EK41" s="33">
        <v>0</v>
      </c>
      <c r="EL41" s="33">
        <f t="shared" ref="EL41:EL48" si="94">(EI41+1)*DV25</f>
        <v>320</v>
      </c>
      <c r="EM41" s="33">
        <f t="shared" ref="EM41:EM48" si="95">EI41*DW25</f>
        <v>100</v>
      </c>
      <c r="EN41" s="307" t="s">
        <v>233</v>
      </c>
      <c r="EO41" s="334">
        <f>SUM(EC25:EC32)</f>
        <v>3748.0000000000009</v>
      </c>
      <c r="EP41" s="334">
        <f>SUM(ED25:ED32)</f>
        <v>8218.3637389979303</v>
      </c>
      <c r="EQ41" s="335">
        <f>EO41/$EH$22</f>
        <v>93.700000000000017</v>
      </c>
      <c r="ER41" s="86">
        <v>200000</v>
      </c>
      <c r="ES41" s="87">
        <f t="shared" si="93"/>
        <v>4950000</v>
      </c>
      <c r="ET41" s="333">
        <v>55</v>
      </c>
      <c r="EU41" s="33">
        <f t="shared" si="92"/>
        <v>30</v>
      </c>
    </row>
    <row r="42" spans="50:151" x14ac:dyDescent="0.35"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229">
        <v>200000</v>
      </c>
      <c r="EI42" s="33">
        <v>4</v>
      </c>
      <c r="EJ42" s="280">
        <f t="shared" ref="EJ42:EJ48" si="96">EI42*DY26-EA26</f>
        <v>128</v>
      </c>
      <c r="EK42" s="33">
        <v>1</v>
      </c>
      <c r="EL42" s="33">
        <f t="shared" si="94"/>
        <v>840</v>
      </c>
      <c r="EM42" s="33">
        <f t="shared" si="95"/>
        <v>800</v>
      </c>
      <c r="EN42" s="307" t="s">
        <v>234</v>
      </c>
      <c r="EO42" s="334">
        <f>SUM(DV25:DV32)</f>
        <v>1773.3333333333335</v>
      </c>
      <c r="EP42" s="334">
        <f>SUM(DW25:DW32)</f>
        <v>3600</v>
      </c>
      <c r="EQ42" s="335">
        <f>EO42/$EH$22</f>
        <v>44.333333333333336</v>
      </c>
      <c r="ER42" s="86">
        <v>250000</v>
      </c>
      <c r="ES42" s="87">
        <f t="shared" si="93"/>
        <v>5906250</v>
      </c>
      <c r="ET42" s="333">
        <v>52.5</v>
      </c>
      <c r="EU42" s="33">
        <f t="shared" si="92"/>
        <v>24</v>
      </c>
    </row>
    <row r="43" spans="50:151" x14ac:dyDescent="0.35"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229">
        <v>250000</v>
      </c>
      <c r="EI43" s="33">
        <v>7</v>
      </c>
      <c r="EJ43" s="280">
        <f t="shared" si="96"/>
        <v>285.44444444444446</v>
      </c>
      <c r="EK43" s="33">
        <f t="shared" ref="EK43:EK48" si="97">EJ43+EK42</f>
        <v>286.44444444444446</v>
      </c>
      <c r="EL43" s="33">
        <f t="shared" si="94"/>
        <v>1450.6666666666667</v>
      </c>
      <c r="EM43" s="33">
        <f t="shared" si="95"/>
        <v>2100</v>
      </c>
      <c r="EN43" s="308" t="s">
        <v>235</v>
      </c>
      <c r="EO43" s="336">
        <f>SUM(EL41:EL48)</f>
        <v>21010.666666666668</v>
      </c>
      <c r="EP43" s="336">
        <f>SUM(EM41:EM48)</f>
        <v>43900</v>
      </c>
      <c r="EQ43" s="337">
        <f>EO43/$EH$22</f>
        <v>525.26666666666665</v>
      </c>
      <c r="ER43" s="86">
        <v>300000</v>
      </c>
      <c r="ES43" s="87">
        <f t="shared" si="93"/>
        <v>6750000</v>
      </c>
      <c r="ET43" s="333">
        <v>50</v>
      </c>
      <c r="EU43" s="33">
        <f t="shared" si="92"/>
        <v>20</v>
      </c>
    </row>
    <row r="44" spans="50:151" x14ac:dyDescent="0.35"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229">
        <v>300000</v>
      </c>
      <c r="EI44" s="33">
        <v>9</v>
      </c>
      <c r="EJ44" s="280">
        <f t="shared" si="96"/>
        <v>448</v>
      </c>
      <c r="EK44" s="33">
        <f t="shared" si="97"/>
        <v>734.44444444444446</v>
      </c>
      <c r="EL44" s="33">
        <f t="shared" si="94"/>
        <v>1920</v>
      </c>
      <c r="EM44" s="33">
        <f t="shared" si="95"/>
        <v>3600</v>
      </c>
      <c r="EN44" s="33"/>
      <c r="EO44" s="33"/>
      <c r="EP44" s="33"/>
      <c r="EQ44" s="33"/>
      <c r="ER44" s="86">
        <v>350000</v>
      </c>
      <c r="ES44" s="87">
        <f t="shared" si="93"/>
        <v>7481250</v>
      </c>
      <c r="ET44" s="333">
        <v>47.5</v>
      </c>
      <c r="EU44" s="292">
        <f t="shared" si="92"/>
        <v>17.142857142857142</v>
      </c>
    </row>
    <row r="45" spans="50:151" x14ac:dyDescent="0.35"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229">
        <v>350000</v>
      </c>
      <c r="EI45" s="309">
        <v>11</v>
      </c>
      <c r="EJ45" s="280">
        <f t="shared" si="96"/>
        <v>688</v>
      </c>
      <c r="EK45" s="33">
        <f t="shared" si="97"/>
        <v>1422.4444444444443</v>
      </c>
      <c r="EL45" s="33">
        <f t="shared" si="94"/>
        <v>2496</v>
      </c>
      <c r="EM45" s="33">
        <f t="shared" si="95"/>
        <v>5500</v>
      </c>
      <c r="EN45" s="33"/>
      <c r="EO45" s="33"/>
      <c r="EP45" s="33"/>
      <c r="EQ45" s="33"/>
      <c r="ER45" s="86">
        <v>400000</v>
      </c>
      <c r="ES45" s="87">
        <f t="shared" si="93"/>
        <v>8100000</v>
      </c>
      <c r="ET45" s="333">
        <v>45</v>
      </c>
      <c r="EU45" s="292">
        <f t="shared" si="92"/>
        <v>15</v>
      </c>
    </row>
    <row r="46" spans="50:151" x14ac:dyDescent="0.35"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229">
        <v>400000</v>
      </c>
      <c r="EI46" s="309">
        <v>13</v>
      </c>
      <c r="EJ46" s="280">
        <f t="shared" si="96"/>
        <v>1093.1111111111109</v>
      </c>
      <c r="EK46" s="33">
        <f t="shared" si="97"/>
        <v>2515.5555555555552</v>
      </c>
      <c r="EL46" s="33">
        <f t="shared" si="94"/>
        <v>3285.3333333333335</v>
      </c>
      <c r="EM46" s="33">
        <f t="shared" si="95"/>
        <v>7800</v>
      </c>
      <c r="EN46" s="33"/>
      <c r="EO46" s="33"/>
      <c r="EP46" s="33"/>
      <c r="EQ46" s="33"/>
      <c r="ER46" s="86">
        <v>450000</v>
      </c>
      <c r="ES46" s="87">
        <f t="shared" si="93"/>
        <v>8606250</v>
      </c>
      <c r="ET46" s="333">
        <v>42.5</v>
      </c>
      <c r="EU46" s="292">
        <f t="shared" si="92"/>
        <v>13.333333333333334</v>
      </c>
    </row>
    <row r="47" spans="50:151" x14ac:dyDescent="0.35"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229">
        <v>450000</v>
      </c>
      <c r="EI47" s="309">
        <v>16</v>
      </c>
      <c r="EJ47" s="280">
        <f t="shared" si="96"/>
        <v>2048</v>
      </c>
      <c r="EK47" s="33">
        <f t="shared" si="97"/>
        <v>4563.5555555555547</v>
      </c>
      <c r="EL47" s="33">
        <f t="shared" si="94"/>
        <v>4896</v>
      </c>
      <c r="EM47" s="33">
        <f t="shared" si="95"/>
        <v>11200</v>
      </c>
      <c r="EN47" s="33"/>
      <c r="EO47" s="33"/>
      <c r="EP47" s="33"/>
      <c r="EQ47" s="33"/>
      <c r="ER47" s="91">
        <v>500000</v>
      </c>
      <c r="ES47" s="92">
        <f t="shared" si="93"/>
        <v>9000000</v>
      </c>
      <c r="ET47" s="338">
        <v>40</v>
      </c>
      <c r="EU47" s="33">
        <f t="shared" si="92"/>
        <v>12</v>
      </c>
    </row>
    <row r="48" spans="50:151" x14ac:dyDescent="0.35"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229">
        <v>500000</v>
      </c>
      <c r="EI48" s="309">
        <v>16</v>
      </c>
      <c r="EJ48" s="33">
        <f t="shared" si="96"/>
        <v>2680.7777777777774</v>
      </c>
      <c r="EK48" s="33">
        <f t="shared" si="97"/>
        <v>7244.3333333333321</v>
      </c>
      <c r="EL48" s="33">
        <f t="shared" si="94"/>
        <v>5802.666666666667</v>
      </c>
      <c r="EM48" s="33">
        <f t="shared" si="95"/>
        <v>12800</v>
      </c>
      <c r="EN48" s="33"/>
      <c r="EO48" s="33"/>
      <c r="EP48" s="33"/>
      <c r="EQ48" s="33"/>
    </row>
    <row r="49" spans="50:67" x14ac:dyDescent="0.35"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50:67" x14ac:dyDescent="0.35">
      <c r="AX50" s="2"/>
      <c r="AY50" s="2"/>
    </row>
    <row r="51" spans="50:67" x14ac:dyDescent="0.35">
      <c r="AX51" s="2"/>
      <c r="AY51" s="2"/>
    </row>
    <row r="52" spans="50:67" x14ac:dyDescent="0.35">
      <c r="AX52" s="2"/>
      <c r="AY52" s="2"/>
    </row>
    <row r="53" spans="50:67" x14ac:dyDescent="0.35"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50:67" x14ac:dyDescent="0.35">
      <c r="AX54" s="2"/>
      <c r="AY54" s="2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</row>
    <row r="55" spans="50:67" x14ac:dyDescent="0.35">
      <c r="AX55" s="2"/>
      <c r="AY55" s="2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</row>
    <row r="56" spans="50:67" x14ac:dyDescent="0.35">
      <c r="AX56" s="2"/>
      <c r="AY56" s="2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</row>
    <row r="57" spans="50:67" x14ac:dyDescent="0.35">
      <c r="AX57" s="2"/>
      <c r="AY57" s="2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</row>
    <row r="58" spans="50:67" x14ac:dyDescent="0.35">
      <c r="AX58" s="2"/>
      <c r="AY58" s="2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</row>
    <row r="59" spans="50:67" x14ac:dyDescent="0.35">
      <c r="AX59" s="2"/>
      <c r="AY59" s="2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</row>
    <row r="60" spans="50:67" x14ac:dyDescent="0.35">
      <c r="AX60" s="2"/>
      <c r="AY60" s="2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</row>
    <row r="61" spans="50:67" x14ac:dyDescent="0.35">
      <c r="AX61" s="2"/>
      <c r="AY61" s="2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</row>
    <row r="62" spans="50:67" x14ac:dyDescent="0.35">
      <c r="AX62" s="2"/>
      <c r="AY62" s="2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</row>
    <row r="63" spans="50:67" x14ac:dyDescent="0.35">
      <c r="AX63" s="2"/>
      <c r="AY63" s="2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</row>
    <row r="64" spans="50:67" x14ac:dyDescent="0.35">
      <c r="AX64" s="2"/>
      <c r="AY64" s="2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</row>
    <row r="65" spans="50:67" x14ac:dyDescent="0.35">
      <c r="AX65" s="2"/>
      <c r="AY65" s="2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</row>
    <row r="66" spans="50:67" x14ac:dyDescent="0.35">
      <c r="AX66" s="2"/>
      <c r="AY66" s="2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</row>
    <row r="67" spans="50:67" x14ac:dyDescent="0.35">
      <c r="AX67" s="2"/>
      <c r="AY67" s="2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</row>
    <row r="68" spans="50:67" x14ac:dyDescent="0.35">
      <c r="AX68" s="2"/>
      <c r="AY68" s="2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</row>
    <row r="69" spans="50:67" x14ac:dyDescent="0.35">
      <c r="AX69" s="2"/>
      <c r="AY69" s="2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</row>
    <row r="70" spans="50:67" x14ac:dyDescent="0.35">
      <c r="AX70" s="2"/>
      <c r="AY70" s="2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</row>
    <row r="71" spans="50:67" x14ac:dyDescent="0.35">
      <c r="AX71" s="2"/>
      <c r="AY71" s="2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</row>
    <row r="72" spans="50:67" x14ac:dyDescent="0.35">
      <c r="AX72" s="2"/>
      <c r="AY72" s="2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</row>
    <row r="73" spans="50:67" x14ac:dyDescent="0.35">
      <c r="AX73" s="2"/>
      <c r="AY73" s="2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</row>
  </sheetData>
  <mergeCells count="12">
    <mergeCell ref="EL8:EL9"/>
    <mergeCell ref="AS1:BA2"/>
    <mergeCell ref="BR1:BS3"/>
    <mergeCell ref="BX1:BY3"/>
    <mergeCell ref="CD1:CE3"/>
    <mergeCell ref="BU1:BV3"/>
    <mergeCell ref="CA1:CB3"/>
    <mergeCell ref="DA2:DD2"/>
    <mergeCell ref="DF2:DQ2"/>
    <mergeCell ref="AS3:AU3"/>
    <mergeCell ref="AX3:AZ3"/>
    <mergeCell ref="DA3:DD3"/>
  </mergeCells>
  <phoneticPr fontId="55" type="noConversion"/>
  <conditionalFormatting sqref="AV3:AW3">
    <cfRule type="containsText" dxfId="986" priority="579" operator="containsText" text=" ">
      <formula>NOT(ISERROR(SEARCH(" ",AV3)))</formula>
    </cfRule>
  </conditionalFormatting>
  <conditionalFormatting sqref="EV9">
    <cfRule type="containsText" dxfId="985" priority="18" operator="containsText" text=" ">
      <formula>NOT(ISERROR(SEARCH(" ",EV9)))</formula>
    </cfRule>
  </conditionalFormatting>
  <conditionalFormatting sqref="E25">
    <cfRule type="containsText" dxfId="984" priority="8" operator="containsText" text=" ">
      <formula>NOT(ISERROR(SEARCH(" ",E25)))</formula>
    </cfRule>
  </conditionalFormatting>
  <conditionalFormatting sqref="P25">
    <cfRule type="colorScale" priority="22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83" priority="221" operator="containsText" text=" ">
      <formula>NOT(ISERROR(SEARCH(" ",P25)))</formula>
    </cfRule>
  </conditionalFormatting>
  <conditionalFormatting sqref="Q25:T25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82" priority="44" operator="containsText" text=" ">
      <formula>NOT(ISERROR(SEARCH(" ",Q25)))</formula>
    </cfRule>
  </conditionalFormatting>
  <conditionalFormatting sqref="AL25:AM25">
    <cfRule type="cellIs" dxfId="981" priority="222" operator="equal">
      <formula>" "</formula>
    </cfRule>
    <cfRule type="containsText" dxfId="980" priority="223" operator="containsText" text=" ">
      <formula>NOT(ISERROR(SEARCH(" ",AL25)))</formula>
    </cfRule>
  </conditionalFormatting>
  <conditionalFormatting sqref="AN25:AQ25">
    <cfRule type="cellIs" dxfId="979" priority="234" operator="equal">
      <formula>" "</formula>
    </cfRule>
  </conditionalFormatting>
  <conditionalFormatting sqref="AS25">
    <cfRule type="cellIs" dxfId="978" priority="224" operator="greaterThan">
      <formula>1</formula>
    </cfRule>
    <cfRule type="cellIs" dxfId="977" priority="225" operator="lessThan">
      <formula>1</formula>
    </cfRule>
  </conditionalFormatting>
  <conditionalFormatting sqref="DD25">
    <cfRule type="cellIs" dxfId="976" priority="233" operator="greaterThan">
      <formula>1</formula>
    </cfRule>
  </conditionalFormatting>
  <conditionalFormatting sqref="DE25">
    <cfRule type="cellIs" dxfId="975" priority="231" operator="greaterThan">
      <formula>0</formula>
    </cfRule>
    <cfRule type="cellIs" dxfId="974" priority="232" operator="greaterThan">
      <formula>0</formula>
    </cfRule>
  </conditionalFormatting>
  <conditionalFormatting sqref="E26">
    <cfRule type="containsText" dxfId="973" priority="7" operator="containsText" text=" ">
      <formula>NOT(ISERROR(SEARCH(" ",E26)))</formula>
    </cfRule>
  </conditionalFormatting>
  <conditionalFormatting sqref="F26">
    <cfRule type="containsText" dxfId="972" priority="219" operator="containsText" text=" ">
      <formula>NOT(ISERROR(SEARCH(" ",F26)))</formula>
    </cfRule>
  </conditionalFormatting>
  <conditionalFormatting sqref="P26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71" priority="204" operator="containsText" text=" ">
      <formula>NOT(ISERROR(SEARCH(" ",P26)))</formula>
    </cfRule>
  </conditionalFormatting>
  <conditionalFormatting sqref="Q26:T26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70" priority="42" operator="containsText" text=" ">
      <formula>NOT(ISERROR(SEARCH(" ",Q26)))</formula>
    </cfRule>
  </conditionalFormatting>
  <conditionalFormatting sqref="AL26:AM26">
    <cfRule type="cellIs" dxfId="969" priority="205" operator="equal">
      <formula>" "</formula>
    </cfRule>
    <cfRule type="containsText" dxfId="968" priority="206" operator="containsText" text=" ">
      <formula>NOT(ISERROR(SEARCH(" ",AL26)))</formula>
    </cfRule>
  </conditionalFormatting>
  <conditionalFormatting sqref="AN26:AQ26">
    <cfRule type="cellIs" dxfId="967" priority="217" operator="equal">
      <formula>" "</formula>
    </cfRule>
  </conditionalFormatting>
  <conditionalFormatting sqref="AS26">
    <cfRule type="cellIs" dxfId="966" priority="207" operator="greaterThan">
      <formula>1</formula>
    </cfRule>
    <cfRule type="cellIs" dxfId="965" priority="208" operator="lessThan">
      <formula>1</formula>
    </cfRule>
  </conditionalFormatting>
  <conditionalFormatting sqref="AT26">
    <cfRule type="containsText" dxfId="964" priority="209" operator="containsText" text=" ">
      <formula>NOT(ISERROR(SEARCH(" ",AT26)))</formula>
    </cfRule>
  </conditionalFormatting>
  <conditionalFormatting sqref="AV26:AW26">
    <cfRule type="containsText" dxfId="963" priority="210" operator="containsText" text=" ">
      <formula>NOT(ISERROR(SEARCH(" ",AV26)))</formula>
    </cfRule>
  </conditionalFormatting>
  <conditionalFormatting sqref="DD26">
    <cfRule type="cellIs" dxfId="962" priority="216" operator="greaterThan">
      <formula>1</formula>
    </cfRule>
  </conditionalFormatting>
  <conditionalFormatting sqref="DE26">
    <cfRule type="cellIs" dxfId="961" priority="214" operator="greaterThan">
      <formula>0</formula>
    </cfRule>
    <cfRule type="cellIs" dxfId="960" priority="215" operator="greaterThan">
      <formula>0</formula>
    </cfRule>
  </conditionalFormatting>
  <conditionalFormatting sqref="E27">
    <cfRule type="containsText" dxfId="959" priority="6" operator="containsText" text=" ">
      <formula>NOT(ISERROR(SEARCH(" ",E27)))</formula>
    </cfRule>
  </conditionalFormatting>
  <conditionalFormatting sqref="F27">
    <cfRule type="containsText" dxfId="958" priority="201" operator="containsText" text=" ">
      <formula>NOT(ISERROR(SEARCH(" ",F27)))</formula>
    </cfRule>
  </conditionalFormatting>
  <conditionalFormatting sqref="P27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57" priority="186" operator="containsText" text=" ">
      <formula>NOT(ISERROR(SEARCH(" ",P27)))</formula>
    </cfRule>
  </conditionalFormatting>
  <conditionalFormatting sqref="Q27:T27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56" priority="40" operator="containsText" text=" ">
      <formula>NOT(ISERROR(SEARCH(" ",Q27)))</formula>
    </cfRule>
  </conditionalFormatting>
  <conditionalFormatting sqref="AL27:AM27">
    <cfRule type="cellIs" dxfId="955" priority="187" operator="equal">
      <formula>" "</formula>
    </cfRule>
    <cfRule type="containsText" dxfId="954" priority="188" operator="containsText" text=" ">
      <formula>NOT(ISERROR(SEARCH(" ",AL27)))</formula>
    </cfRule>
  </conditionalFormatting>
  <conditionalFormatting sqref="AN27:AQ27">
    <cfRule type="cellIs" dxfId="953" priority="199" operator="equal">
      <formula>" "</formula>
    </cfRule>
  </conditionalFormatting>
  <conditionalFormatting sqref="AS27">
    <cfRule type="cellIs" dxfId="952" priority="189" operator="greaterThan">
      <formula>1</formula>
    </cfRule>
    <cfRule type="cellIs" dxfId="951" priority="190" operator="lessThan">
      <formula>1</formula>
    </cfRule>
  </conditionalFormatting>
  <conditionalFormatting sqref="AT27">
    <cfRule type="containsText" dxfId="950" priority="191" operator="containsText" text=" ">
      <formula>NOT(ISERROR(SEARCH(" ",AT27)))</formula>
    </cfRule>
  </conditionalFormatting>
  <conditionalFormatting sqref="AV27:AW27">
    <cfRule type="containsText" dxfId="949" priority="192" operator="containsText" text=" ">
      <formula>NOT(ISERROR(SEARCH(" ",AV27)))</formula>
    </cfRule>
  </conditionalFormatting>
  <conditionalFormatting sqref="DD27">
    <cfRule type="cellIs" dxfId="948" priority="198" operator="greaterThan">
      <formula>1</formula>
    </cfRule>
  </conditionalFormatting>
  <conditionalFormatting sqref="DE27">
    <cfRule type="cellIs" dxfId="947" priority="196" operator="greaterThan">
      <formula>0</formula>
    </cfRule>
    <cfRule type="cellIs" dxfId="946" priority="197" operator="greaterThan">
      <formula>0</formula>
    </cfRule>
  </conditionalFormatting>
  <conditionalFormatting sqref="E28">
    <cfRule type="containsText" dxfId="945" priority="5" operator="containsText" text=" ">
      <formula>NOT(ISERROR(SEARCH(" ",E28)))</formula>
    </cfRule>
  </conditionalFormatting>
  <conditionalFormatting sqref="F28">
    <cfRule type="containsText" dxfId="944" priority="183" operator="containsText" text=" ">
      <formula>NOT(ISERROR(SEARCH(" ",F28)))</formula>
    </cfRule>
  </conditionalFormatting>
  <conditionalFormatting sqref="P28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43" priority="168" operator="containsText" text=" ">
      <formula>NOT(ISERROR(SEARCH(" ",P28)))</formula>
    </cfRule>
  </conditionalFormatting>
  <conditionalFormatting sqref="Q28:T28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42" priority="38" operator="containsText" text=" ">
      <formula>NOT(ISERROR(SEARCH(" ",Q28)))</formula>
    </cfRule>
  </conditionalFormatting>
  <conditionalFormatting sqref="AL28:AM28">
    <cfRule type="cellIs" dxfId="941" priority="169" operator="equal">
      <formula>" "</formula>
    </cfRule>
    <cfRule type="containsText" dxfId="940" priority="170" operator="containsText" text=" ">
      <formula>NOT(ISERROR(SEARCH(" ",AL28)))</formula>
    </cfRule>
  </conditionalFormatting>
  <conditionalFormatting sqref="AN28:AQ28">
    <cfRule type="cellIs" dxfId="939" priority="181" operator="equal">
      <formula>" "</formula>
    </cfRule>
  </conditionalFormatting>
  <conditionalFormatting sqref="AS28">
    <cfRule type="cellIs" dxfId="938" priority="171" operator="greaterThan">
      <formula>1</formula>
    </cfRule>
    <cfRule type="cellIs" dxfId="937" priority="172" operator="lessThan">
      <formula>1</formula>
    </cfRule>
  </conditionalFormatting>
  <conditionalFormatting sqref="AT28">
    <cfRule type="containsText" dxfId="936" priority="173" operator="containsText" text=" ">
      <formula>NOT(ISERROR(SEARCH(" ",AT28)))</formula>
    </cfRule>
  </conditionalFormatting>
  <conditionalFormatting sqref="AV28:AW28">
    <cfRule type="containsText" dxfId="935" priority="174" operator="containsText" text=" ">
      <formula>NOT(ISERROR(SEARCH(" ",AV28)))</formula>
    </cfRule>
  </conditionalFormatting>
  <conditionalFormatting sqref="DD28">
    <cfRule type="cellIs" dxfId="934" priority="180" operator="greaterThan">
      <formula>1</formula>
    </cfRule>
  </conditionalFormatting>
  <conditionalFormatting sqref="DE28">
    <cfRule type="cellIs" dxfId="933" priority="178" operator="greaterThan">
      <formula>0</formula>
    </cfRule>
    <cfRule type="cellIs" dxfId="932" priority="179" operator="greaterThan">
      <formula>0</formula>
    </cfRule>
  </conditionalFormatting>
  <conditionalFormatting sqref="E29">
    <cfRule type="containsText" dxfId="931" priority="1" operator="containsText" text=" ">
      <formula>NOT(ISERROR(SEARCH(" ",E29)))</formula>
    </cfRule>
  </conditionalFormatting>
  <conditionalFormatting sqref="F29">
    <cfRule type="containsText" dxfId="930" priority="111" operator="containsText" text=" ">
      <formula>NOT(ISERROR(SEARCH(" ",F29)))</formula>
    </cfRule>
  </conditionalFormatting>
  <conditionalFormatting sqref="P29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29" priority="96" operator="containsText" text=" ">
      <formula>NOT(ISERROR(SEARCH(" ",P29)))</formula>
    </cfRule>
  </conditionalFormatting>
  <conditionalFormatting sqref="Q29:T2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28" priority="30" operator="containsText" text=" ">
      <formula>NOT(ISERROR(SEARCH(" ",Q29)))</formula>
    </cfRule>
  </conditionalFormatting>
  <conditionalFormatting sqref="AL29:AM29">
    <cfRule type="cellIs" dxfId="927" priority="97" operator="equal">
      <formula>" "</formula>
    </cfRule>
    <cfRule type="containsText" dxfId="926" priority="98" operator="containsText" text=" ">
      <formula>NOT(ISERROR(SEARCH(" ",AL29)))</formula>
    </cfRule>
  </conditionalFormatting>
  <conditionalFormatting sqref="AN29:AQ29">
    <cfRule type="cellIs" dxfId="925" priority="109" operator="equal">
      <formula>" "</formula>
    </cfRule>
  </conditionalFormatting>
  <conditionalFormatting sqref="AS29">
    <cfRule type="cellIs" dxfId="924" priority="99" operator="greaterThan">
      <formula>1</formula>
    </cfRule>
    <cfRule type="cellIs" dxfId="923" priority="100" operator="lessThan">
      <formula>1</formula>
    </cfRule>
  </conditionalFormatting>
  <conditionalFormatting sqref="AT29">
    <cfRule type="containsText" dxfId="922" priority="101" operator="containsText" text=" ">
      <formula>NOT(ISERROR(SEARCH(" ",AT29)))</formula>
    </cfRule>
  </conditionalFormatting>
  <conditionalFormatting sqref="AV29:AW29">
    <cfRule type="containsText" dxfId="921" priority="102" operator="containsText" text=" ">
      <formula>NOT(ISERROR(SEARCH(" ",AV29)))</formula>
    </cfRule>
  </conditionalFormatting>
  <conditionalFormatting sqref="DD29">
    <cfRule type="cellIs" dxfId="920" priority="108" operator="greaterThan">
      <formula>1</formula>
    </cfRule>
  </conditionalFormatting>
  <conditionalFormatting sqref="DE29">
    <cfRule type="cellIs" dxfId="919" priority="106" operator="greaterThan">
      <formula>0</formula>
    </cfRule>
    <cfRule type="cellIs" dxfId="918" priority="107" operator="greaterThan">
      <formula>0</formula>
    </cfRule>
  </conditionalFormatting>
  <conditionalFormatting sqref="E30">
    <cfRule type="containsText" dxfId="917" priority="4" operator="containsText" text=" ">
      <formula>NOT(ISERROR(SEARCH(" ",E30)))</formula>
    </cfRule>
  </conditionalFormatting>
  <conditionalFormatting sqref="F30">
    <cfRule type="containsText" dxfId="916" priority="165" operator="containsText" text=" ">
      <formula>NOT(ISERROR(SEARCH(" ",F30)))</formula>
    </cfRule>
  </conditionalFormatting>
  <conditionalFormatting sqref="P30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15" priority="150" operator="containsText" text=" ">
      <formula>NOT(ISERROR(SEARCH(" ",P30)))</formula>
    </cfRule>
  </conditionalFormatting>
  <conditionalFormatting sqref="Q30:T30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14" priority="36" operator="containsText" text=" ">
      <formula>NOT(ISERROR(SEARCH(" ",Q30)))</formula>
    </cfRule>
  </conditionalFormatting>
  <conditionalFormatting sqref="AL30:AM30">
    <cfRule type="cellIs" dxfId="913" priority="151" operator="equal">
      <formula>" "</formula>
    </cfRule>
    <cfRule type="containsText" dxfId="912" priority="152" operator="containsText" text=" ">
      <formula>NOT(ISERROR(SEARCH(" ",AL30)))</formula>
    </cfRule>
  </conditionalFormatting>
  <conditionalFormatting sqref="AN30:AQ30">
    <cfRule type="cellIs" dxfId="911" priority="163" operator="equal">
      <formula>" "</formula>
    </cfRule>
  </conditionalFormatting>
  <conditionalFormatting sqref="AS30">
    <cfRule type="cellIs" dxfId="910" priority="153" operator="greaterThan">
      <formula>1</formula>
    </cfRule>
    <cfRule type="cellIs" dxfId="909" priority="154" operator="lessThan">
      <formula>1</formula>
    </cfRule>
  </conditionalFormatting>
  <conditionalFormatting sqref="AT30">
    <cfRule type="containsText" dxfId="908" priority="155" operator="containsText" text=" ">
      <formula>NOT(ISERROR(SEARCH(" ",AT30)))</formula>
    </cfRule>
  </conditionalFormatting>
  <conditionalFormatting sqref="AV30:AW30">
    <cfRule type="containsText" dxfId="907" priority="156" operator="containsText" text=" ">
      <formula>NOT(ISERROR(SEARCH(" ",AV30)))</formula>
    </cfRule>
  </conditionalFormatting>
  <conditionalFormatting sqref="DD30">
    <cfRule type="cellIs" dxfId="906" priority="162" operator="greaterThan">
      <formula>1</formula>
    </cfRule>
  </conditionalFormatting>
  <conditionalFormatting sqref="DE30">
    <cfRule type="cellIs" dxfId="905" priority="160" operator="greaterThan">
      <formula>0</formula>
    </cfRule>
    <cfRule type="cellIs" dxfId="904" priority="161" operator="greaterThan">
      <formula>0</formula>
    </cfRule>
  </conditionalFormatting>
  <conditionalFormatting sqref="E31">
    <cfRule type="containsText" dxfId="903" priority="3" operator="containsText" text=" ">
      <formula>NOT(ISERROR(SEARCH(" ",E31)))</formula>
    </cfRule>
  </conditionalFormatting>
  <conditionalFormatting sqref="F31">
    <cfRule type="containsText" dxfId="902" priority="147" operator="containsText" text=" ">
      <formula>NOT(ISERROR(SEARCH(" ",F31)))</formula>
    </cfRule>
  </conditionalFormatting>
  <conditionalFormatting sqref="P31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01" priority="132" operator="containsText" text=" ">
      <formula>NOT(ISERROR(SEARCH(" ",P31)))</formula>
    </cfRule>
  </conditionalFormatting>
  <conditionalFormatting sqref="Q31:T31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00" priority="34" operator="containsText" text=" ">
      <formula>NOT(ISERROR(SEARCH(" ",Q31)))</formula>
    </cfRule>
  </conditionalFormatting>
  <conditionalFormatting sqref="AL31:AM31">
    <cfRule type="cellIs" dxfId="899" priority="133" operator="equal">
      <formula>" "</formula>
    </cfRule>
    <cfRule type="containsText" dxfId="898" priority="134" operator="containsText" text=" ">
      <formula>NOT(ISERROR(SEARCH(" ",AL31)))</formula>
    </cfRule>
  </conditionalFormatting>
  <conditionalFormatting sqref="AN31:AQ31">
    <cfRule type="cellIs" dxfId="897" priority="145" operator="equal">
      <formula>" "</formula>
    </cfRule>
  </conditionalFormatting>
  <conditionalFormatting sqref="AS31">
    <cfRule type="cellIs" dxfId="896" priority="135" operator="greaterThan">
      <formula>1</formula>
    </cfRule>
    <cfRule type="cellIs" dxfId="895" priority="136" operator="lessThan">
      <formula>1</formula>
    </cfRule>
  </conditionalFormatting>
  <conditionalFormatting sqref="AT31">
    <cfRule type="containsText" dxfId="894" priority="137" operator="containsText" text=" ">
      <formula>NOT(ISERROR(SEARCH(" ",AT31)))</formula>
    </cfRule>
  </conditionalFormatting>
  <conditionalFormatting sqref="AV31:AW31">
    <cfRule type="containsText" dxfId="893" priority="138" operator="containsText" text=" ">
      <formula>NOT(ISERROR(SEARCH(" ",AV31)))</formula>
    </cfRule>
  </conditionalFormatting>
  <conditionalFormatting sqref="DD31">
    <cfRule type="cellIs" dxfId="892" priority="144" operator="greaterThan">
      <formula>1</formula>
    </cfRule>
  </conditionalFormatting>
  <conditionalFormatting sqref="DE31">
    <cfRule type="cellIs" dxfId="891" priority="142" operator="greaterThan">
      <formula>0</formula>
    </cfRule>
    <cfRule type="cellIs" dxfId="890" priority="143" operator="greaterThan">
      <formula>0</formula>
    </cfRule>
  </conditionalFormatting>
  <conditionalFormatting sqref="E32">
    <cfRule type="containsText" dxfId="889" priority="2" operator="containsText" text=" ">
      <formula>NOT(ISERROR(SEARCH(" ",E32)))</formula>
    </cfRule>
  </conditionalFormatting>
  <conditionalFormatting sqref="F32">
    <cfRule type="containsText" dxfId="888" priority="129" operator="containsText" text=" ">
      <formula>NOT(ISERROR(SEARCH(" ",F32)))</formula>
    </cfRule>
  </conditionalFormatting>
  <conditionalFormatting sqref="P32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87" priority="114" operator="containsText" text=" ">
      <formula>NOT(ISERROR(SEARCH(" ",P32)))</formula>
    </cfRule>
  </conditionalFormatting>
  <conditionalFormatting sqref="Q32:T3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86" priority="32" operator="containsText" text=" ">
      <formula>NOT(ISERROR(SEARCH(" ",Q32)))</formula>
    </cfRule>
  </conditionalFormatting>
  <conditionalFormatting sqref="AL32:AM32">
    <cfRule type="cellIs" dxfId="885" priority="115" operator="equal">
      <formula>" "</formula>
    </cfRule>
    <cfRule type="containsText" dxfId="884" priority="116" operator="containsText" text=" ">
      <formula>NOT(ISERROR(SEARCH(" ",AL32)))</formula>
    </cfRule>
  </conditionalFormatting>
  <conditionalFormatting sqref="AN32:AQ32">
    <cfRule type="cellIs" dxfId="883" priority="127" operator="equal">
      <formula>" "</formula>
    </cfRule>
  </conditionalFormatting>
  <conditionalFormatting sqref="AS32">
    <cfRule type="cellIs" dxfId="882" priority="117" operator="greaterThan">
      <formula>1</formula>
    </cfRule>
    <cfRule type="cellIs" dxfId="881" priority="118" operator="lessThan">
      <formula>1</formula>
    </cfRule>
  </conditionalFormatting>
  <conditionalFormatting sqref="AT32">
    <cfRule type="containsText" dxfId="880" priority="119" operator="containsText" text=" ">
      <formula>NOT(ISERROR(SEARCH(" ",AT32)))</formula>
    </cfRule>
  </conditionalFormatting>
  <conditionalFormatting sqref="AV32:AW32">
    <cfRule type="containsText" dxfId="879" priority="120" operator="containsText" text=" ">
      <formula>NOT(ISERROR(SEARCH(" ",AV32)))</formula>
    </cfRule>
  </conditionalFormatting>
  <conditionalFormatting sqref="DD32">
    <cfRule type="cellIs" dxfId="878" priority="126" operator="greaterThan">
      <formula>1</formula>
    </cfRule>
  </conditionalFormatting>
  <conditionalFormatting sqref="DE32">
    <cfRule type="cellIs" dxfId="877" priority="124" operator="greaterThan">
      <formula>0</formula>
    </cfRule>
    <cfRule type="cellIs" dxfId="876" priority="125" operator="greaterThan">
      <formula>0</formula>
    </cfRule>
  </conditionalFormatting>
  <conditionalFormatting sqref="EU39">
    <cfRule type="containsText" dxfId="875" priority="13" operator="containsText" text=" ">
      <formula>NOT(ISERROR(SEARCH(" ",EU39)))</formula>
    </cfRule>
  </conditionalFormatting>
  <conditionalFormatting sqref="E5:E24">
    <cfRule type="containsText" dxfId="874" priority="9" operator="containsText" text=" ">
      <formula>NOT(ISERROR(SEARCH(" ",E5)))</formula>
    </cfRule>
  </conditionalFormatting>
  <conditionalFormatting sqref="O5:O12">
    <cfRule type="colorScale" priority="282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3" priority="2822" operator="containsText" text=" ">
      <formula>NOT(ISERROR(SEARCH(" ",O5)))</formula>
    </cfRule>
  </conditionalFormatting>
  <conditionalFormatting sqref="O13:O24">
    <cfRule type="colorScale" priority="26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2" priority="263" operator="containsText" text=" ">
      <formula>NOT(ISERROR(SEARCH(" ",O13)))</formula>
    </cfRule>
  </conditionalFormatting>
  <conditionalFormatting sqref="V25:V32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1" priority="22" operator="containsText" text=" ">
      <formula>NOT(ISERROR(SEARCH(" ",V25)))</formula>
    </cfRule>
  </conditionalFormatting>
  <conditionalFormatting sqref="AS5:AS9">
    <cfRule type="cellIs" dxfId="870" priority="252" operator="greaterThan">
      <formula>1</formula>
    </cfRule>
    <cfRule type="cellIs" dxfId="869" priority="253" operator="lessThan">
      <formula>1</formula>
    </cfRule>
  </conditionalFormatting>
  <conditionalFormatting sqref="AS10:AS19">
    <cfRule type="cellIs" dxfId="868" priority="249" operator="greaterThan">
      <formula>1</formula>
    </cfRule>
    <cfRule type="cellIs" dxfId="867" priority="250" operator="lessThan">
      <formula>1</formula>
    </cfRule>
  </conditionalFormatting>
  <conditionalFormatting sqref="AS20:AS24">
    <cfRule type="cellIs" dxfId="866" priority="244" operator="greaterThan">
      <formula>1</formula>
    </cfRule>
    <cfRule type="cellIs" dxfId="865" priority="245" operator="lessThan">
      <formula>1</formula>
    </cfRule>
  </conditionalFormatting>
  <conditionalFormatting sqref="AT10:AT19">
    <cfRule type="containsText" dxfId="864" priority="251" operator="containsText" text=" ">
      <formula>NOT(ISERROR(SEARCH(" ",AT10)))</formula>
    </cfRule>
  </conditionalFormatting>
  <conditionalFormatting sqref="AT20:AT24">
    <cfRule type="containsText" dxfId="863" priority="246" operator="containsText" text=" ">
      <formula>NOT(ISERROR(SEARCH(" ",AT20)))</formula>
    </cfRule>
  </conditionalFormatting>
  <conditionalFormatting sqref="AX5:AX19">
    <cfRule type="cellIs" dxfId="862" priority="258" operator="greaterThan">
      <formula>1</formula>
    </cfRule>
    <cfRule type="cellIs" dxfId="861" priority="259" operator="lessThan">
      <formula>1</formula>
    </cfRule>
  </conditionalFormatting>
  <conditionalFormatting sqref="BM15:BM19">
    <cfRule type="cellIs" dxfId="860" priority="254" operator="greaterThan">
      <formula>1</formula>
    </cfRule>
    <cfRule type="cellIs" dxfId="859" priority="255" operator="lessThan">
      <formula>1</formula>
    </cfRule>
  </conditionalFormatting>
  <conditionalFormatting sqref="BR5:BR19">
    <cfRule type="cellIs" dxfId="858" priority="359" operator="greaterThan">
      <formula>1</formula>
    </cfRule>
    <cfRule type="cellIs" dxfId="857" priority="360" operator="lessThan">
      <formula>1</formula>
    </cfRule>
  </conditionalFormatting>
  <conditionalFormatting sqref="BU5:BU19">
    <cfRule type="cellIs" dxfId="856" priority="311" operator="greaterThan">
      <formula>1</formula>
    </cfRule>
    <cfRule type="cellIs" dxfId="855" priority="312" operator="lessThan">
      <formula>1</formula>
    </cfRule>
  </conditionalFormatting>
  <conditionalFormatting sqref="BX5:BX19">
    <cfRule type="cellIs" dxfId="854" priority="279" operator="greaterThan">
      <formula>1</formula>
    </cfRule>
    <cfRule type="cellIs" dxfId="853" priority="280" operator="lessThan">
      <formula>1</formula>
    </cfRule>
  </conditionalFormatting>
  <conditionalFormatting sqref="CA5:CA19">
    <cfRule type="cellIs" dxfId="852" priority="277" operator="greaterThan">
      <formula>1</formula>
    </cfRule>
    <cfRule type="cellIs" dxfId="851" priority="278" operator="lessThan">
      <formula>1</formula>
    </cfRule>
  </conditionalFormatting>
  <conditionalFormatting sqref="CD5:CD19">
    <cfRule type="cellIs" dxfId="850" priority="275" operator="greaterThan">
      <formula>1</formula>
    </cfRule>
    <cfRule type="cellIs" dxfId="849" priority="276" operator="lessThan">
      <formula>1</formula>
    </cfRule>
  </conditionalFormatting>
  <conditionalFormatting sqref="DD5:DD24">
    <cfRule type="cellIs" dxfId="848" priority="391" operator="greaterThan">
      <formula>1</formula>
    </cfRule>
  </conditionalFormatting>
  <conditionalFormatting sqref="DE5:DE24">
    <cfRule type="cellIs" dxfId="847" priority="388" operator="greaterThan">
      <formula>0</formula>
    </cfRule>
    <cfRule type="cellIs" dxfId="846" priority="389" operator="greaterThan">
      <formula>0</formula>
    </cfRule>
  </conditionalFormatting>
  <conditionalFormatting sqref="EU35:EU38">
    <cfRule type="containsText" dxfId="845" priority="14" operator="containsText" text=" ">
      <formula>NOT(ISERROR(SEARCH(" ",EU35)))</formula>
    </cfRule>
  </conditionalFormatting>
  <conditionalFormatting sqref="EX10:EX17">
    <cfRule type="containsText" dxfId="844" priority="17" operator="containsText" text=" ">
      <formula>NOT(ISERROR(SEARCH(" ",EX10)))</formula>
    </cfRule>
  </conditionalFormatting>
  <conditionalFormatting sqref="A5:A24 G5:G18 F5:F17 AC5:AD24 AI5:AK24 A26 A28 A30 A32 M26 M28 M30 M32 N25:N32 DR24:XFD24 DR23:EE23 EG23:XFD23 AN5:AQ24 H5:N24 I25:I32 DR1:XFD6 DR9:EF9 DR20:XFD22 DR19:EF19 EH19:XFD19 EY10:XFD17 EW7:XFD7 EY8:XFD8 C5:D6 B7:D24">
    <cfRule type="containsText" dxfId="843" priority="577" operator="containsText" text=" ">
      <formula>NOT(ISERROR(SEARCH(" ",A1)))</formula>
    </cfRule>
  </conditionalFormatting>
  <conditionalFormatting sqref="AS1 AC33:AW1048576">
    <cfRule type="containsText" dxfId="842" priority="274" operator="containsText" text=" ">
      <formula>NOT(ISERROR(SEARCH(" ",AC1)))</formula>
    </cfRule>
  </conditionalFormatting>
  <conditionalFormatting sqref="B6 F17:F24 AV4:AW4 AT4">
    <cfRule type="containsText" dxfId="841" priority="583" operator="containsText" text=" ">
      <formula>NOT(ISERROR(SEARCH(" ",B4)))</formula>
    </cfRule>
  </conditionalFormatting>
  <conditionalFormatting sqref="B5 CX52:XFD1048576 EG33:EH33 EJ33:EO33 EQ33 EV33:XFD33">
    <cfRule type="containsText" dxfId="840" priority="585" operator="containsText" text=" ">
      <formula>NOT(ISERROR(SEARCH(" ",B5)))</formula>
    </cfRule>
  </conditionalFormatting>
  <conditionalFormatting sqref="M5:N24 M26 M28 M30 M32 N25:N32">
    <cfRule type="colorScale" priority="2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:P24 V24 V5:AB23 X24:Y24">
    <cfRule type="colorScale" priority="23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39" priority="238" operator="containsText" text=" ">
      <formula>NOT(ISERROR(SEARCH(" ",P5)))</formula>
    </cfRule>
  </conditionalFormatting>
  <conditionalFormatting sqref="Q5:T24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38" priority="46" operator="containsText" text=" ">
      <formula>NOT(ISERROR(SEARCH(" ",Q5)))</formula>
    </cfRule>
  </conditionalFormatting>
  <conditionalFormatting sqref="AI5:AK11 AN5:AQ24">
    <cfRule type="cellIs" dxfId="837" priority="407" operator="equal">
      <formula>" "</formula>
    </cfRule>
  </conditionalFormatting>
  <conditionalFormatting sqref="AL5:AM24">
    <cfRule type="cellIs" dxfId="836" priority="242" operator="equal">
      <formula>" "</formula>
    </cfRule>
    <cfRule type="containsText" dxfId="835" priority="243" operator="containsText" text=" ">
      <formula>NOT(ISERROR(SEARCH(" ",AL5)))</formula>
    </cfRule>
  </conditionalFormatting>
  <conditionalFormatting sqref="AT5:AT9 AV13:AW14 AW11:AW12 AV17:AW19 AW16 AV21:AW24 AW20">
    <cfRule type="containsText" dxfId="834" priority="260" operator="containsText" text=" ">
      <formula>NOT(ISERROR(SEARCH(" ",AT5)))</formula>
    </cfRule>
  </conditionalFormatting>
  <conditionalFormatting sqref="AV5:AW5 AV9:AW9 AW6:AW8 AV10 AV15 AV20">
    <cfRule type="containsText" dxfId="833" priority="261" operator="containsText" text=" ">
      <formula>NOT(ISERROR(SEARCH(" ",AV5)))</formula>
    </cfRule>
  </conditionalFormatting>
  <conditionalFormatting sqref="AV25:AW25 DR7:EL7 EN7:EV7 DR8:EF8">
    <cfRule type="containsText" dxfId="832" priority="227" operator="containsText" text=" ">
      <formula>NOT(ISERROR(SEARCH(" ",AV7)))</formula>
    </cfRule>
  </conditionalFormatting>
  <conditionalFormatting sqref="EJ9:EK9 ER9:ER17 EX9 ES10:ET17 EH18:EQ18 ET18:EX18 EH10:EJ17 EL10:EL17 EN10:EN17 EN8:EV8 EG8:EK8 EU9:EU17 EW9:EW17">
    <cfRule type="containsText" dxfId="831" priority="19" operator="containsText" text=" ">
      <formula>NOT(ISERROR(SEARCH(" ",EG8)))</formula>
    </cfRule>
  </conditionalFormatting>
  <conditionalFormatting sqref="EG9:EI9 EW8:EX8">
    <cfRule type="containsText" dxfId="830" priority="20" operator="containsText" text=" ">
      <formula>NOT(ISERROR(SEARCH(" ",EG8)))</formula>
    </cfRule>
  </conditionalFormatting>
  <conditionalFormatting sqref="AT25 EG19 EY9:XFD9 EY18:XFD18 DR10:EF18">
    <cfRule type="containsText" dxfId="829" priority="226" operator="containsText" text=" ">
      <formula>NOT(ISERROR(SEARCH(" ",AT9)))</formula>
    </cfRule>
  </conditionalFormatting>
  <conditionalFormatting sqref="AW10 P33:AB1048576">
    <cfRule type="containsText" dxfId="828" priority="248" operator="containsText" text=" ">
      <formula>NOT(ISERROR(SEARCH(" ",P10)))</formula>
    </cfRule>
  </conditionalFormatting>
  <conditionalFormatting sqref="AW15 A33:O1048576">
    <cfRule type="containsText" dxfId="827" priority="247" operator="containsText" text=" ">
      <formula>NOT(ISERROR(SEARCH(" ",A15)))</formula>
    </cfRule>
  </conditionalFormatting>
  <conditionalFormatting sqref="BA15:BA19 BD15:BD19 BG15:BG19 BJ15:BJ19">
    <cfRule type="cellIs" dxfId="826" priority="256" operator="greaterThan">
      <formula>1</formula>
    </cfRule>
    <cfRule type="cellIs" dxfId="825" priority="257" operator="lessThan">
      <formula>1</formula>
    </cfRule>
  </conditionalFormatting>
  <conditionalFormatting sqref="AC25:AD25 AI25:AK25 AN25:AQ25 A25:D25 H25 A27 A29 A31 M27 M29 M31 EG25:ET25 J25:M25 DZ26:DZ32 EV25:XFD25 EL26:EL32 EG26:EG32">
    <cfRule type="containsText" dxfId="824" priority="235" operator="containsText" text=" ">
      <formula>NOT(ISERROR(SEARCH(" ",A25)))</formula>
    </cfRule>
  </conditionalFormatting>
  <conditionalFormatting sqref="AC32:AD32 AI32:AK32 AN32:AQ32 B32:D32 H32 EI32:EK32 EM32:EQ32 J32:L32 EU25:EU31 EV32:XFD32">
    <cfRule type="containsText" dxfId="823" priority="128" operator="containsText" text=" ">
      <formula>NOT(ISERROR(SEARCH(" ",B25)))</formula>
    </cfRule>
  </conditionalFormatting>
  <conditionalFormatting sqref="F25 CZ33:DU33 DW33:ED33 EF25:EF33 CZ34:EH34 EI33 EJ34:EO34 EQ34 EP33 CZ48:XFD51 DR25:ED32 CZ35:EQ47 EV34:XFD47">
    <cfRule type="containsText" dxfId="822" priority="236" operator="containsText" text=" ">
      <formula>NOT(ISERROR(SEARCH(" ",F25)))</formula>
    </cfRule>
  </conditionalFormatting>
  <conditionalFormatting sqref="M27 M25 M29 M31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7 O25 O29 O31">
    <cfRule type="colorScale" priority="228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21" priority="229" operator="containsText" text=" ">
      <formula>NOT(ISERROR(SEARCH(" ",O25)))</formula>
    </cfRule>
  </conditionalFormatting>
  <conditionalFormatting sqref="X25:Y3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20" priority="24" operator="containsText" text=" ">
      <formula>NOT(ISERROR(SEARCH(" ",X25)))</formula>
    </cfRule>
  </conditionalFormatting>
  <conditionalFormatting sqref="AC26:AD26 AI26:AK26 AN26:AQ26 B26:D26 H26 EH26:EK26 EH27:EH32 EM26:ET26 J26:L26 EV26:XFD26">
    <cfRule type="containsText" dxfId="819" priority="218" operator="containsText" text=" ">
      <formula>NOT(ISERROR(SEARCH(" ",B26)))</formula>
    </cfRule>
  </conditionalFormatting>
  <conditionalFormatting sqref="O28 O26 O30 O32">
    <cfRule type="colorScale" priority="21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18" priority="212" operator="containsText" text=" ">
      <formula>NOT(ISERROR(SEARCH(" ",O26)))</formula>
    </cfRule>
  </conditionalFormatting>
  <conditionalFormatting sqref="AC27:AD27 AI27:AK27 AN27:AQ27 B27:D27 H27 EI27:EK27 EM27:ET27 J27:L27 EV27:XFD27">
    <cfRule type="containsText" dxfId="817" priority="200" operator="containsText" text=" ">
      <formula>NOT(ISERROR(SEARCH(" ",B27)))</formula>
    </cfRule>
  </conditionalFormatting>
  <conditionalFormatting sqref="AC28:AD28 AI28:AK28 AN28:AQ28 B28:D28 H28 EI28:EK28 EM28:ET28 J28:L28 EV28:XFD28">
    <cfRule type="containsText" dxfId="816" priority="182" operator="containsText" text=" ">
      <formula>NOT(ISERROR(SEARCH(" ",B28)))</formula>
    </cfRule>
  </conditionalFormatting>
  <conditionalFormatting sqref="AC29:AD29 AI29:AK29 AN29:AQ29 B29:D29 H29 EI29:EK29 EM29:ET29 J29:L29 EV29:XFD29">
    <cfRule type="containsText" dxfId="815" priority="110" operator="containsText" text=" ">
      <formula>NOT(ISERROR(SEARCH(" ",B29)))</formula>
    </cfRule>
  </conditionalFormatting>
  <conditionalFormatting sqref="AC30:AD30 AI30:AK30 AN30:AQ30 B30:D30 H30 EI30:EK30 EM30:ET30 J30:L30 EV30:XFD30">
    <cfRule type="containsText" dxfId="814" priority="164" operator="containsText" text=" ">
      <formula>NOT(ISERROR(SEARCH(" ",B30)))</formula>
    </cfRule>
  </conditionalFormatting>
  <conditionalFormatting sqref="AC31:AD31 AI31:AK31 AN31:AQ31 B31:D31 H31 EI31:EK31 EM31:ET31 J31:L31 EV31:XFD31">
    <cfRule type="containsText" dxfId="813" priority="146" operator="containsText" text=" ">
      <formula>NOT(ISERROR(SEARCH(" ",B31)))</formula>
    </cfRule>
  </conditionalFormatting>
  <conditionalFormatting sqref="ER32:ES33 EU32:EU33 ES34:ET47">
    <cfRule type="containsText" dxfId="812" priority="15" operator="containsText" text=" ">
      <formula>NOT(ISERROR(SEARCH(" ",ER32)))</formula>
    </cfRule>
  </conditionalFormatting>
  <conditionalFormatting sqref="ER36:ER47 EU40:EU47">
    <cfRule type="containsText" dxfId="811" priority="16" operator="containsText" text=" ">
      <formula>NOT(ISERROR(SEARCH(" ",ER36)))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H389"/>
  <sheetViews>
    <sheetView tabSelected="1" topLeftCell="A360" workbookViewId="0">
      <selection activeCell="D394" sqref="D394"/>
    </sheetView>
  </sheetViews>
  <sheetFormatPr defaultColWidth="9" defaultRowHeight="15.6" x14ac:dyDescent="0.25"/>
  <cols>
    <col min="1" max="1" width="32.77734375" style="2" customWidth="1"/>
    <col min="2" max="2" width="39.77734375" style="38" customWidth="1"/>
    <col min="3" max="3" width="26.44140625" style="2" customWidth="1"/>
    <col min="4" max="4" width="51.77734375" style="2" customWidth="1"/>
    <col min="5" max="5" width="9.6640625" style="2" customWidth="1"/>
    <col min="6" max="6" width="9" style="2"/>
    <col min="7" max="7" width="17.21875" style="2" customWidth="1"/>
    <col min="8" max="8" width="11.6640625" style="2" customWidth="1"/>
    <col min="9" max="9" width="10.44140625" style="2" customWidth="1"/>
    <col min="10" max="10" width="8.88671875" style="2" customWidth="1"/>
    <col min="11" max="11" width="8" style="2" customWidth="1"/>
    <col min="12" max="12" width="9.33203125" style="2" customWidth="1"/>
    <col min="13" max="13" width="8.44140625" style="2" customWidth="1"/>
    <col min="14" max="14" width="10.109375" style="2" customWidth="1"/>
    <col min="15" max="15" width="9" style="2"/>
    <col min="16" max="17" width="10.109375" style="2" customWidth="1"/>
    <col min="18" max="18" width="10.44140625" style="2" customWidth="1"/>
    <col min="19" max="19" width="10" style="2" customWidth="1"/>
    <col min="20" max="20" width="11.6640625" style="2" customWidth="1"/>
    <col min="21" max="21" width="8.21875" style="2" customWidth="1"/>
    <col min="22" max="22" width="11.44140625" style="2" customWidth="1"/>
    <col min="23" max="24" width="10.44140625" style="2" customWidth="1"/>
    <col min="25" max="25" width="7.109375" style="2" customWidth="1"/>
    <col min="26" max="26" width="10.44140625" style="2" customWidth="1"/>
    <col min="27" max="27" width="7.77734375" style="2" customWidth="1"/>
    <col min="28" max="28" width="10.44140625" style="2" customWidth="1"/>
    <col min="29" max="29" width="7.109375" style="2" customWidth="1"/>
    <col min="30" max="30" width="9.33203125" style="2" customWidth="1"/>
    <col min="31" max="31" width="8.77734375" style="2" customWidth="1"/>
    <col min="32" max="32" width="9" style="2"/>
    <col min="33" max="33" width="10.109375" style="2" customWidth="1"/>
    <col min="34" max="34" width="9.33203125" style="2" customWidth="1"/>
    <col min="35" max="16384" width="9" style="2"/>
  </cols>
  <sheetData>
    <row r="1" spans="1:16" x14ac:dyDescent="0.35">
      <c r="A1" s="3" t="s">
        <v>236</v>
      </c>
      <c r="B1" s="100" t="s">
        <v>0</v>
      </c>
    </row>
    <row r="2" spans="1:16" x14ac:dyDescent="0.35">
      <c r="A2" s="3" t="s">
        <v>14</v>
      </c>
      <c r="B2" s="100" t="s">
        <v>14</v>
      </c>
    </row>
    <row r="3" spans="1:16" x14ac:dyDescent="0.35">
      <c r="A3" s="3" t="s">
        <v>237</v>
      </c>
      <c r="B3" s="100" t="s">
        <v>238</v>
      </c>
    </row>
    <row r="4" spans="1:16" ht="26.4" x14ac:dyDescent="0.35">
      <c r="A4" s="5" t="s">
        <v>239</v>
      </c>
      <c r="B4" s="101" t="s">
        <v>240</v>
      </c>
      <c r="D4" s="24" t="s">
        <v>241</v>
      </c>
    </row>
    <row r="5" spans="1:16" ht="16.2" x14ac:dyDescent="0.35">
      <c r="A5" s="49" t="s">
        <v>242</v>
      </c>
      <c r="B5" s="102">
        <v>6</v>
      </c>
      <c r="D5" s="24" t="s">
        <v>243</v>
      </c>
      <c r="E5" s="2">
        <v>6</v>
      </c>
    </row>
    <row r="6" spans="1:16" ht="16.2" x14ac:dyDescent="0.35">
      <c r="A6" s="49" t="s">
        <v>244</v>
      </c>
      <c r="B6" s="102">
        <f>1800/1280</f>
        <v>1.40625</v>
      </c>
      <c r="D6" s="24" t="s">
        <v>245</v>
      </c>
    </row>
    <row r="7" spans="1:16" ht="16.2" x14ac:dyDescent="0.35">
      <c r="A7" s="49" t="s">
        <v>246</v>
      </c>
      <c r="B7" s="102">
        <v>0.7</v>
      </c>
      <c r="D7" s="24" t="s">
        <v>247</v>
      </c>
    </row>
    <row r="8" spans="1:16" ht="16.2" x14ac:dyDescent="0.35">
      <c r="A8" s="49" t="s">
        <v>248</v>
      </c>
      <c r="B8" s="103">
        <v>5.0000000000000001E-3</v>
      </c>
      <c r="D8" s="24" t="s">
        <v>249</v>
      </c>
    </row>
    <row r="9" spans="1:16" ht="16.2" x14ac:dyDescent="0.35">
      <c r="A9" s="49" t="s">
        <v>250</v>
      </c>
      <c r="B9" s="104" t="s">
        <v>251</v>
      </c>
      <c r="D9" s="24" t="s">
        <v>252</v>
      </c>
    </row>
    <row r="10" spans="1:16" ht="16.2" x14ac:dyDescent="0.35">
      <c r="A10" s="49" t="s">
        <v>253</v>
      </c>
      <c r="B10" s="104" t="s">
        <v>254</v>
      </c>
      <c r="D10" s="24" t="s">
        <v>255</v>
      </c>
      <c r="E10"/>
    </row>
    <row r="11" spans="1:16" ht="16.2" x14ac:dyDescent="0.35">
      <c r="A11" s="49" t="s">
        <v>256</v>
      </c>
      <c r="B11" s="104" t="s">
        <v>257</v>
      </c>
      <c r="D11" s="24" t="s">
        <v>258</v>
      </c>
    </row>
    <row r="12" spans="1:16" ht="16.2" x14ac:dyDescent="0.4">
      <c r="A12" s="22" t="s">
        <v>259</v>
      </c>
      <c r="B12" s="105" t="s">
        <v>260</v>
      </c>
      <c r="C12" s="2" t="s">
        <v>261</v>
      </c>
      <c r="D12" s="2" t="s">
        <v>262</v>
      </c>
      <c r="I12" s="24" t="s">
        <v>263</v>
      </c>
    </row>
    <row r="13" spans="1:16" ht="16.2" x14ac:dyDescent="0.25">
      <c r="A13" s="22" t="s">
        <v>264</v>
      </c>
      <c r="B13" s="106">
        <f>N15</f>
        <v>4000</v>
      </c>
      <c r="C13" s="2" t="s">
        <v>261</v>
      </c>
      <c r="D13" s="2" t="s">
        <v>265</v>
      </c>
      <c r="I13" s="2" t="s">
        <v>266</v>
      </c>
    </row>
    <row r="14" spans="1:16" x14ac:dyDescent="0.25">
      <c r="A14" s="22" t="s">
        <v>267</v>
      </c>
      <c r="B14" s="107" t="s">
        <v>268</v>
      </c>
      <c r="C14" s="2" t="s">
        <v>261</v>
      </c>
      <c r="D14" s="2" t="s">
        <v>269</v>
      </c>
      <c r="K14" s="116" t="s">
        <v>270</v>
      </c>
      <c r="L14" s="117" t="s">
        <v>271</v>
      </c>
      <c r="M14" s="117" t="s">
        <v>272</v>
      </c>
      <c r="N14" s="118" t="s">
        <v>273</v>
      </c>
    </row>
    <row r="15" spans="1:16" ht="16.2" x14ac:dyDescent="0.25">
      <c r="A15" s="22" t="s">
        <v>274</v>
      </c>
      <c r="B15" s="107" t="s">
        <v>275</v>
      </c>
      <c r="C15" s="2" t="s">
        <v>276</v>
      </c>
      <c r="D15" s="2" t="s">
        <v>277</v>
      </c>
      <c r="K15" s="119">
        <v>0</v>
      </c>
      <c r="L15" s="120">
        <v>0</v>
      </c>
      <c r="M15" s="120">
        <v>1</v>
      </c>
      <c r="N15" s="121">
        <v>4000</v>
      </c>
      <c r="O15" s="2">
        <f>L15+N15</f>
        <v>4000</v>
      </c>
      <c r="P15" s="2">
        <f>O15*66</f>
        <v>264000</v>
      </c>
    </row>
    <row r="16" spans="1:16" ht="16.2" x14ac:dyDescent="0.25">
      <c r="A16" s="22" t="s">
        <v>278</v>
      </c>
      <c r="B16" s="38" t="s">
        <v>279</v>
      </c>
      <c r="D16" s="2" t="s">
        <v>280</v>
      </c>
      <c r="F16"/>
      <c r="K16" s="119">
        <v>1</v>
      </c>
      <c r="L16" s="120">
        <v>0</v>
      </c>
      <c r="M16" s="120">
        <v>30</v>
      </c>
      <c r="N16" s="121">
        <v>4000</v>
      </c>
      <c r="O16" s="2">
        <f>L16+N16</f>
        <v>4000</v>
      </c>
      <c r="P16" s="2">
        <f>O16*66</f>
        <v>264000</v>
      </c>
    </row>
    <row r="17" spans="1:16" ht="16.2" x14ac:dyDescent="0.25">
      <c r="A17" s="2" t="s">
        <v>281</v>
      </c>
      <c r="B17" s="38" t="s">
        <v>282</v>
      </c>
      <c r="D17" s="2" t="s">
        <v>283</v>
      </c>
      <c r="K17" s="119">
        <v>2</v>
      </c>
      <c r="L17" s="120">
        <v>0</v>
      </c>
      <c r="M17" s="120">
        <v>100</v>
      </c>
      <c r="N17" s="121">
        <v>4000</v>
      </c>
      <c r="O17" s="2">
        <f>L17+N17</f>
        <v>4000</v>
      </c>
      <c r="P17" s="2">
        <f>O17*66</f>
        <v>264000</v>
      </c>
    </row>
    <row r="18" spans="1:16" ht="16.2" x14ac:dyDescent="0.25">
      <c r="A18" s="2" t="s">
        <v>284</v>
      </c>
      <c r="B18" s="38" t="s">
        <v>285</v>
      </c>
      <c r="D18" s="2" t="s">
        <v>286</v>
      </c>
      <c r="K18" s="119">
        <v>3</v>
      </c>
      <c r="L18" s="120">
        <v>4000</v>
      </c>
      <c r="M18" s="120">
        <v>150</v>
      </c>
      <c r="N18" s="121">
        <v>4000</v>
      </c>
      <c r="O18" s="2">
        <f>L18+N18</f>
        <v>8000</v>
      </c>
      <c r="P18" s="2">
        <f>O18*66</f>
        <v>528000</v>
      </c>
    </row>
    <row r="19" spans="1:16" x14ac:dyDescent="0.25">
      <c r="A19" s="2" t="s">
        <v>287</v>
      </c>
      <c r="B19" s="75">
        <f>'VIP升级|VIPUp'!AS5*10000</f>
        <v>9600</v>
      </c>
      <c r="D19" s="2" t="s">
        <v>288</v>
      </c>
      <c r="I19" s="38"/>
      <c r="K19" s="119">
        <v>4</v>
      </c>
      <c r="L19" s="120">
        <v>4000</v>
      </c>
      <c r="M19" s="120">
        <v>200</v>
      </c>
      <c r="N19" s="121">
        <v>4000</v>
      </c>
      <c r="O19" s="2">
        <f>L19+N19</f>
        <v>8000</v>
      </c>
      <c r="P19" s="2">
        <f>O19*66</f>
        <v>528000</v>
      </c>
    </row>
    <row r="20" spans="1:16" x14ac:dyDescent="0.25">
      <c r="A20" s="2" t="s">
        <v>289</v>
      </c>
      <c r="B20" s="75">
        <v>9500</v>
      </c>
      <c r="D20" s="2" t="s">
        <v>290</v>
      </c>
      <c r="I20" s="38"/>
      <c r="K20" s="119">
        <v>5</v>
      </c>
      <c r="L20" s="120">
        <v>6000</v>
      </c>
      <c r="M20" s="120">
        <v>250</v>
      </c>
      <c r="N20" s="121">
        <v>4000</v>
      </c>
      <c r="O20" s="2">
        <f t="shared" ref="O20:O25" si="0">L20+N20</f>
        <v>10000</v>
      </c>
      <c r="P20" s="2">
        <f t="shared" ref="P20:P25" si="1">O20*66</f>
        <v>660000</v>
      </c>
    </row>
    <row r="21" spans="1:16" x14ac:dyDescent="0.25">
      <c r="A21" s="2" t="s">
        <v>291</v>
      </c>
      <c r="B21" s="75">
        <f>B20</f>
        <v>9500</v>
      </c>
      <c r="D21" s="2" t="s">
        <v>292</v>
      </c>
      <c r="I21" s="38"/>
      <c r="K21" s="119">
        <v>6</v>
      </c>
      <c r="L21" s="120">
        <v>6000</v>
      </c>
      <c r="M21" s="120">
        <v>400</v>
      </c>
      <c r="N21" s="121">
        <v>4000</v>
      </c>
      <c r="O21" s="2">
        <f t="shared" si="0"/>
        <v>10000</v>
      </c>
      <c r="P21" s="2">
        <f t="shared" si="1"/>
        <v>660000</v>
      </c>
    </row>
    <row r="22" spans="1:16" x14ac:dyDescent="0.25">
      <c r="A22" s="2" t="s">
        <v>293</v>
      </c>
      <c r="B22" s="38" t="s">
        <v>294</v>
      </c>
      <c r="D22" s="2" t="s">
        <v>295</v>
      </c>
      <c r="I22" s="38"/>
      <c r="K22" s="119">
        <v>7</v>
      </c>
      <c r="L22" s="120">
        <v>8000</v>
      </c>
      <c r="M22" s="120">
        <v>500</v>
      </c>
      <c r="N22" s="121">
        <v>4000</v>
      </c>
      <c r="O22" s="2">
        <f t="shared" si="0"/>
        <v>12000</v>
      </c>
      <c r="P22" s="2">
        <f t="shared" si="1"/>
        <v>792000</v>
      </c>
    </row>
    <row r="23" spans="1:16" x14ac:dyDescent="0.25">
      <c r="A23" s="14" t="s">
        <v>296</v>
      </c>
      <c r="B23" s="38">
        <v>3</v>
      </c>
      <c r="D23" s="2" t="s">
        <v>297</v>
      </c>
      <c r="K23" s="119">
        <v>8</v>
      </c>
      <c r="L23" s="120">
        <v>8000</v>
      </c>
      <c r="M23" s="120"/>
      <c r="N23" s="121">
        <v>4000</v>
      </c>
      <c r="O23" s="2">
        <f t="shared" si="0"/>
        <v>12000</v>
      </c>
      <c r="P23" s="2">
        <f t="shared" si="1"/>
        <v>792000</v>
      </c>
    </row>
    <row r="24" spans="1:16" ht="16.2" x14ac:dyDescent="0.25">
      <c r="A24" s="2" t="s">
        <v>298</v>
      </c>
      <c r="B24" s="104" t="s">
        <v>299</v>
      </c>
      <c r="D24" s="2" t="s">
        <v>300</v>
      </c>
      <c r="K24" s="119">
        <v>9</v>
      </c>
      <c r="L24" s="120">
        <v>8000</v>
      </c>
      <c r="M24" s="120"/>
      <c r="N24" s="121">
        <v>4000</v>
      </c>
      <c r="O24" s="2">
        <f t="shared" si="0"/>
        <v>12000</v>
      </c>
      <c r="P24" s="2">
        <f t="shared" si="1"/>
        <v>792000</v>
      </c>
    </row>
    <row r="25" spans="1:16" x14ac:dyDescent="0.25">
      <c r="A25" s="2" t="s">
        <v>301</v>
      </c>
      <c r="B25" s="38" t="s">
        <v>302</v>
      </c>
      <c r="D25" s="2" t="s">
        <v>303</v>
      </c>
      <c r="K25" s="122">
        <v>10</v>
      </c>
      <c r="L25" s="123">
        <v>8000</v>
      </c>
      <c r="M25" s="123"/>
      <c r="N25" s="124">
        <v>4000</v>
      </c>
      <c r="O25" s="2">
        <f t="shared" si="0"/>
        <v>12000</v>
      </c>
      <c r="P25" s="2">
        <f t="shared" si="1"/>
        <v>792000</v>
      </c>
    </row>
    <row r="26" spans="1:16" x14ac:dyDescent="0.25">
      <c r="A26" s="2" t="s">
        <v>304</v>
      </c>
      <c r="B26" s="38" t="s">
        <v>305</v>
      </c>
      <c r="D26" s="2" t="s">
        <v>306</v>
      </c>
    </row>
    <row r="27" spans="1:16" x14ac:dyDescent="0.25">
      <c r="A27" s="2" t="s">
        <v>307</v>
      </c>
      <c r="B27" s="38" t="s">
        <v>308</v>
      </c>
      <c r="D27" s="2" t="s">
        <v>309</v>
      </c>
    </row>
    <row r="28" spans="1:16" ht="16.2" x14ac:dyDescent="0.25">
      <c r="A28" s="2" t="s">
        <v>310</v>
      </c>
      <c r="B28" s="38">
        <v>50</v>
      </c>
      <c r="D28" s="2" t="s">
        <v>311</v>
      </c>
    </row>
    <row r="29" spans="1:16" x14ac:dyDescent="0.25">
      <c r="A29" s="14" t="s">
        <v>312</v>
      </c>
      <c r="B29" s="38" t="s">
        <v>313</v>
      </c>
      <c r="C29" s="14" t="s">
        <v>314</v>
      </c>
      <c r="D29" s="14" t="s">
        <v>315</v>
      </c>
    </row>
    <row r="30" spans="1:16" ht="16.2" x14ac:dyDescent="0.25">
      <c r="A30" s="49" t="s">
        <v>316</v>
      </c>
      <c r="B30" s="104" t="s">
        <v>317</v>
      </c>
      <c r="D30" s="2" t="s">
        <v>318</v>
      </c>
    </row>
    <row r="31" spans="1:16" ht="16.2" x14ac:dyDescent="0.25">
      <c r="A31" s="49" t="s">
        <v>319</v>
      </c>
      <c r="B31" s="104" t="s">
        <v>320</v>
      </c>
      <c r="D31" s="2" t="s">
        <v>321</v>
      </c>
    </row>
    <row r="32" spans="1:16" ht="16.2" x14ac:dyDescent="0.25">
      <c r="A32" s="49" t="s">
        <v>322</v>
      </c>
      <c r="B32" s="108">
        <v>700</v>
      </c>
      <c r="D32" s="2" t="s">
        <v>323</v>
      </c>
    </row>
    <row r="33" spans="1:15" ht="16.2" x14ac:dyDescent="0.25">
      <c r="A33" s="49" t="s">
        <v>324</v>
      </c>
      <c r="B33" s="104" t="s">
        <v>325</v>
      </c>
      <c r="D33" s="2" t="s">
        <v>326</v>
      </c>
    </row>
    <row r="34" spans="1:15" ht="16.2" x14ac:dyDescent="0.25">
      <c r="A34" s="49" t="s">
        <v>327</v>
      </c>
      <c r="B34" s="104" t="s">
        <v>328</v>
      </c>
      <c r="D34" s="2" t="s">
        <v>329</v>
      </c>
    </row>
    <row r="35" spans="1:15" ht="16.2" x14ac:dyDescent="0.25">
      <c r="A35" s="49" t="s">
        <v>330</v>
      </c>
      <c r="B35" s="104" t="s">
        <v>331</v>
      </c>
      <c r="D35" s="2" t="s">
        <v>332</v>
      </c>
    </row>
    <row r="36" spans="1:15" ht="16.2" x14ac:dyDescent="0.25">
      <c r="A36" s="49" t="s">
        <v>333</v>
      </c>
      <c r="B36" s="109">
        <v>650</v>
      </c>
      <c r="D36" s="2" t="s">
        <v>334</v>
      </c>
    </row>
    <row r="37" spans="1:15" ht="16.2" x14ac:dyDescent="0.25">
      <c r="A37" s="49" t="s">
        <v>335</v>
      </c>
      <c r="B37" s="104" t="s">
        <v>336</v>
      </c>
      <c r="D37" s="2" t="s">
        <v>337</v>
      </c>
    </row>
    <row r="38" spans="1:15" x14ac:dyDescent="0.25">
      <c r="A38" s="110" t="s">
        <v>338</v>
      </c>
      <c r="B38" s="38" t="s">
        <v>339</v>
      </c>
      <c r="C38" s="14"/>
      <c r="D38" s="111" t="s">
        <v>340</v>
      </c>
    </row>
    <row r="39" spans="1:15" x14ac:dyDescent="0.25">
      <c r="A39" s="110" t="s">
        <v>341</v>
      </c>
      <c r="B39" s="38" t="s">
        <v>342</v>
      </c>
      <c r="C39" s="14"/>
      <c r="D39" s="111" t="s">
        <v>343</v>
      </c>
      <c r="L39" s="351" t="s">
        <v>344</v>
      </c>
      <c r="M39" s="125" t="s">
        <v>345</v>
      </c>
      <c r="N39" s="125" t="s">
        <v>346</v>
      </c>
      <c r="O39" s="125" t="s">
        <v>347</v>
      </c>
    </row>
    <row r="40" spans="1:15" ht="16.2" x14ac:dyDescent="0.25">
      <c r="A40" s="49" t="s">
        <v>348</v>
      </c>
      <c r="B40" s="109" t="str">
        <f>'炮解锁|CannonUnlock'!CY1&amp;","&amp;'炮解锁|CannonUnlock'!CY2&amp;","&amp;'炮解锁|CannonUnlock'!CY3</f>
        <v>20,30,50</v>
      </c>
      <c r="C40" s="49"/>
      <c r="D40" s="49" t="s">
        <v>349</v>
      </c>
      <c r="L40" s="351"/>
      <c r="M40" s="2">
        <v>9000</v>
      </c>
      <c r="N40" s="2">
        <v>5400</v>
      </c>
      <c r="O40" s="2">
        <v>3600</v>
      </c>
    </row>
    <row r="41" spans="1:15" ht="16.2" x14ac:dyDescent="0.25">
      <c r="A41" s="49" t="s">
        <v>350</v>
      </c>
      <c r="B41" s="104" t="s">
        <v>351</v>
      </c>
      <c r="C41" s="49"/>
      <c r="D41" s="112" t="s">
        <v>352</v>
      </c>
      <c r="L41" s="76">
        <v>0.25</v>
      </c>
      <c r="M41" s="2">
        <f t="shared" ref="M41:O42" si="2">ROUNDDOWN(M$40*$L41,-2)</f>
        <v>2200</v>
      </c>
      <c r="N41" s="2">
        <f t="shared" si="2"/>
        <v>1300</v>
      </c>
      <c r="O41" s="2">
        <f t="shared" si="2"/>
        <v>900</v>
      </c>
    </row>
    <row r="42" spans="1:15" ht="16.2" x14ac:dyDescent="0.25">
      <c r="A42" s="49" t="s">
        <v>353</v>
      </c>
      <c r="B42" s="109">
        <v>280</v>
      </c>
      <c r="C42" s="49"/>
      <c r="D42" s="112" t="s">
        <v>354</v>
      </c>
      <c r="L42" s="76">
        <v>0.33</v>
      </c>
      <c r="M42" s="2">
        <f t="shared" si="2"/>
        <v>2900</v>
      </c>
      <c r="N42" s="2">
        <f t="shared" si="2"/>
        <v>1700</v>
      </c>
      <c r="O42" s="2">
        <f t="shared" si="2"/>
        <v>1100</v>
      </c>
    </row>
    <row r="43" spans="1:15" ht="16.2" x14ac:dyDescent="0.25">
      <c r="A43" s="49" t="s">
        <v>355</v>
      </c>
      <c r="B43" s="109">
        <f>'炮解锁|CannonUnlock'!CY5*10000</f>
        <v>100</v>
      </c>
      <c r="C43" s="49"/>
      <c r="D43" s="112" t="s">
        <v>356</v>
      </c>
      <c r="L43" s="76">
        <f>1-L41-L42</f>
        <v>0.42</v>
      </c>
      <c r="M43" s="2">
        <f>M40-M41-M42</f>
        <v>3900</v>
      </c>
      <c r="N43" s="2">
        <f>N40-N41-N42</f>
        <v>2400</v>
      </c>
      <c r="O43" s="2">
        <f>O40-O41-O42</f>
        <v>1600</v>
      </c>
    </row>
    <row r="44" spans="1:15" ht="16.2" x14ac:dyDescent="0.25">
      <c r="A44" s="49" t="s">
        <v>357</v>
      </c>
      <c r="B44" s="109">
        <f>'炮解锁|CannonUnlock'!CY7*10000</f>
        <v>0</v>
      </c>
      <c r="C44" s="49"/>
      <c r="D44" s="112" t="s">
        <v>358</v>
      </c>
    </row>
    <row r="45" spans="1:15" ht="16.2" x14ac:dyDescent="0.25">
      <c r="A45" s="49" t="s">
        <v>359</v>
      </c>
      <c r="B45" s="109">
        <v>500</v>
      </c>
      <c r="C45" s="49"/>
      <c r="D45" s="112" t="s">
        <v>360</v>
      </c>
    </row>
    <row r="46" spans="1:15" x14ac:dyDescent="0.25">
      <c r="A46" s="2" t="s">
        <v>361</v>
      </c>
      <c r="B46" s="38" t="s">
        <v>362</v>
      </c>
      <c r="D46" s="2" t="s">
        <v>363</v>
      </c>
    </row>
    <row r="47" spans="1:15" x14ac:dyDescent="0.25">
      <c r="A47" s="2" t="s">
        <v>364</v>
      </c>
      <c r="B47" s="38" t="s">
        <v>365</v>
      </c>
      <c r="D47" s="2" t="s">
        <v>366</v>
      </c>
    </row>
    <row r="48" spans="1:15" x14ac:dyDescent="0.25">
      <c r="A48" s="2" t="s">
        <v>367</v>
      </c>
      <c r="B48" s="38" t="s">
        <v>368</v>
      </c>
      <c r="D48" s="2" t="s">
        <v>369</v>
      </c>
    </row>
    <row r="49" spans="1:5" x14ac:dyDescent="0.25">
      <c r="A49" s="2" t="s">
        <v>370</v>
      </c>
      <c r="B49" s="38" t="s">
        <v>371</v>
      </c>
      <c r="D49" s="2" t="s">
        <v>372</v>
      </c>
    </row>
    <row r="50" spans="1:5" x14ac:dyDescent="0.25">
      <c r="A50" s="2" t="s">
        <v>373</v>
      </c>
      <c r="B50" s="113">
        <v>2.5</v>
      </c>
      <c r="D50" s="2" t="s">
        <v>374</v>
      </c>
    </row>
    <row r="51" spans="1:5" x14ac:dyDescent="0.35">
      <c r="A51" s="2" t="s">
        <v>375</v>
      </c>
      <c r="B51" s="19" t="s">
        <v>376</v>
      </c>
      <c r="D51" s="2" t="s">
        <v>377</v>
      </c>
      <c r="E51" s="2" t="s">
        <v>378</v>
      </c>
    </row>
    <row r="52" spans="1:5" ht="16.2" x14ac:dyDescent="0.4">
      <c r="A52" s="41" t="s">
        <v>379</v>
      </c>
      <c r="B52" s="114" t="s">
        <v>380</v>
      </c>
      <c r="C52" s="41"/>
      <c r="D52" s="41" t="s">
        <v>381</v>
      </c>
    </row>
    <row r="53" spans="1:5" x14ac:dyDescent="0.35">
      <c r="A53" s="2" t="s">
        <v>382</v>
      </c>
      <c r="B53" s="19" t="s">
        <v>383</v>
      </c>
      <c r="D53" s="2" t="s">
        <v>384</v>
      </c>
    </row>
    <row r="54" spans="1:5" ht="16.2" x14ac:dyDescent="0.4">
      <c r="A54" s="49" t="s">
        <v>385</v>
      </c>
      <c r="B54" s="115">
        <f>12*60</f>
        <v>720</v>
      </c>
      <c r="C54" s="49"/>
      <c r="D54" s="49" t="s">
        <v>386</v>
      </c>
    </row>
    <row r="55" spans="1:5" ht="16.2" x14ac:dyDescent="0.4">
      <c r="A55" s="49" t="s">
        <v>387</v>
      </c>
      <c r="B55" s="115">
        <f>12*60</f>
        <v>720</v>
      </c>
      <c r="C55" s="49"/>
      <c r="D55" s="49" t="s">
        <v>388</v>
      </c>
    </row>
    <row r="56" spans="1:5" x14ac:dyDescent="0.25">
      <c r="A56" s="2" t="s">
        <v>389</v>
      </c>
      <c r="B56" s="38">
        <v>15</v>
      </c>
      <c r="D56" s="2" t="s">
        <v>390</v>
      </c>
    </row>
    <row r="57" spans="1:5" x14ac:dyDescent="0.25">
      <c r="A57" s="2" t="s">
        <v>391</v>
      </c>
      <c r="B57" s="38">
        <v>7</v>
      </c>
      <c r="D57" s="2" t="s">
        <v>392</v>
      </c>
    </row>
    <row r="58" spans="1:5" x14ac:dyDescent="0.25">
      <c r="A58" s="2" t="s">
        <v>393</v>
      </c>
      <c r="B58" s="38">
        <v>30</v>
      </c>
      <c r="D58" s="2" t="s">
        <v>394</v>
      </c>
      <c r="E58"/>
    </row>
    <row r="59" spans="1:5" x14ac:dyDescent="0.25">
      <c r="A59" s="2" t="s">
        <v>395</v>
      </c>
      <c r="B59" s="38">
        <v>15</v>
      </c>
      <c r="D59" s="2" t="s">
        <v>396</v>
      </c>
    </row>
    <row r="60" spans="1:5" x14ac:dyDescent="0.35">
      <c r="A60" s="2" t="s">
        <v>397</v>
      </c>
      <c r="B60" s="19" t="s">
        <v>398</v>
      </c>
      <c r="D60" s="2" t="s">
        <v>399</v>
      </c>
    </row>
    <row r="61" spans="1:5" x14ac:dyDescent="0.35">
      <c r="A61" s="2" t="s">
        <v>400</v>
      </c>
      <c r="B61" s="19" t="s">
        <v>398</v>
      </c>
      <c r="D61" s="2" t="s">
        <v>401</v>
      </c>
    </row>
    <row r="62" spans="1:5" x14ac:dyDescent="0.35">
      <c r="A62" s="2" t="s">
        <v>402</v>
      </c>
      <c r="B62" s="19" t="s">
        <v>398</v>
      </c>
      <c r="D62" s="2" t="s">
        <v>403</v>
      </c>
    </row>
    <row r="63" spans="1:5" x14ac:dyDescent="0.25">
      <c r="A63" s="2" t="s">
        <v>404</v>
      </c>
      <c r="B63" s="38" t="s">
        <v>405</v>
      </c>
      <c r="D63" s="2" t="s">
        <v>406</v>
      </c>
    </row>
    <row r="64" spans="1:5" x14ac:dyDescent="0.25">
      <c r="A64" s="22" t="s">
        <v>407</v>
      </c>
      <c r="B64" s="38" t="s">
        <v>408</v>
      </c>
      <c r="D64" s="2" t="s">
        <v>409</v>
      </c>
    </row>
    <row r="65" spans="1:21" x14ac:dyDescent="0.25">
      <c r="A65" s="2" t="s">
        <v>410</v>
      </c>
      <c r="B65" s="38" t="s">
        <v>411</v>
      </c>
      <c r="D65" s="2" t="s">
        <v>412</v>
      </c>
    </row>
    <row r="66" spans="1:21" x14ac:dyDescent="0.25">
      <c r="A66" s="2" t="s">
        <v>413</v>
      </c>
      <c r="B66" s="38" t="s">
        <v>414</v>
      </c>
      <c r="D66" s="2" t="s">
        <v>415</v>
      </c>
    </row>
    <row r="67" spans="1:21" x14ac:dyDescent="0.25">
      <c r="A67" s="2" t="s">
        <v>416</v>
      </c>
      <c r="B67" s="38" t="s">
        <v>417</v>
      </c>
      <c r="D67" s="2" t="s">
        <v>418</v>
      </c>
    </row>
    <row r="68" spans="1:21" x14ac:dyDescent="0.25">
      <c r="A68" s="2" t="s">
        <v>419</v>
      </c>
      <c r="B68" s="38" t="s">
        <v>420</v>
      </c>
      <c r="D68" s="2" t="s">
        <v>421</v>
      </c>
      <c r="J68" s="38" t="s">
        <v>422</v>
      </c>
    </row>
    <row r="69" spans="1:21" ht="18" x14ac:dyDescent="0.25">
      <c r="A69" s="14" t="s">
        <v>423</v>
      </c>
      <c r="B69" s="38">
        <v>2</v>
      </c>
      <c r="C69" s="14" t="s">
        <v>424</v>
      </c>
      <c r="D69" s="14" t="s">
        <v>425</v>
      </c>
      <c r="E69" s="102" t="s">
        <v>426</v>
      </c>
      <c r="Q69" s="116" t="s">
        <v>427</v>
      </c>
      <c r="R69" s="117"/>
      <c r="S69" s="117"/>
      <c r="T69" s="118"/>
      <c r="U69" s="120"/>
    </row>
    <row r="70" spans="1:21" x14ac:dyDescent="0.25">
      <c r="A70" s="14" t="s">
        <v>428</v>
      </c>
      <c r="B70" s="38">
        <v>-2</v>
      </c>
      <c r="C70" s="14" t="s">
        <v>424</v>
      </c>
      <c r="D70" s="14" t="s">
        <v>429</v>
      </c>
      <c r="I70" s="116"/>
      <c r="J70" s="117">
        <v>1400</v>
      </c>
      <c r="K70" s="118"/>
      <c r="Q70" s="119"/>
      <c r="R70" s="120"/>
      <c r="S70" s="120">
        <v>1900</v>
      </c>
      <c r="T70" s="121"/>
      <c r="U70" s="120"/>
    </row>
    <row r="71" spans="1:21" x14ac:dyDescent="0.25">
      <c r="A71" s="14" t="s">
        <v>430</v>
      </c>
      <c r="B71" s="38">
        <v>1000</v>
      </c>
      <c r="C71" s="14" t="s">
        <v>424</v>
      </c>
      <c r="D71" s="14" t="s">
        <v>431</v>
      </c>
      <c r="I71" s="119">
        <f>95+6.5</f>
        <v>101.5</v>
      </c>
      <c r="J71" s="120">
        <v>700</v>
      </c>
      <c r="K71" s="121">
        <f>J70-J71</f>
        <v>700</v>
      </c>
      <c r="Q71" s="119">
        <f>110/0.2</f>
        <v>550</v>
      </c>
      <c r="R71" s="120">
        <f>Q71+Q72+30</f>
        <v>630</v>
      </c>
      <c r="S71" s="120">
        <f>S70-R71</f>
        <v>1270</v>
      </c>
      <c r="T71" s="121">
        <f>S71-S70</f>
        <v>-630</v>
      </c>
      <c r="U71" s="120"/>
    </row>
    <row r="72" spans="1:21" ht="16.2" x14ac:dyDescent="0.25">
      <c r="A72" s="2" t="s">
        <v>432</v>
      </c>
      <c r="B72" s="104" t="s">
        <v>433</v>
      </c>
      <c r="D72" s="2" t="s">
        <v>434</v>
      </c>
      <c r="I72" s="122">
        <f>I71*6</f>
        <v>609</v>
      </c>
      <c r="J72" s="158">
        <v>0</v>
      </c>
      <c r="K72" s="124">
        <f>J71-J72</f>
        <v>700</v>
      </c>
      <c r="Q72" s="119">
        <f>10/0.2</f>
        <v>50</v>
      </c>
      <c r="R72" s="120"/>
      <c r="S72" s="120">
        <f>S71-R71</f>
        <v>640</v>
      </c>
      <c r="T72" s="121">
        <f>S72-S71</f>
        <v>-630</v>
      </c>
      <c r="U72" s="120"/>
    </row>
    <row r="73" spans="1:21" x14ac:dyDescent="0.25">
      <c r="A73" s="2" t="s">
        <v>435</v>
      </c>
      <c r="B73" s="38">
        <v>5</v>
      </c>
      <c r="D73" s="2" t="s">
        <v>436</v>
      </c>
      <c r="Q73" s="122"/>
      <c r="R73" s="123">
        <f>650*3</f>
        <v>1950</v>
      </c>
      <c r="S73" s="123"/>
      <c r="T73" s="124"/>
      <c r="U73" s="120"/>
    </row>
    <row r="74" spans="1:21" ht="16.2" x14ac:dyDescent="0.25">
      <c r="A74" s="2" t="s">
        <v>437</v>
      </c>
      <c r="B74" s="126" t="s">
        <v>438</v>
      </c>
      <c r="D74" s="2" t="s">
        <v>439</v>
      </c>
    </row>
    <row r="75" spans="1:21" ht="16.2" x14ac:dyDescent="0.25">
      <c r="A75" s="2" t="s">
        <v>440</v>
      </c>
      <c r="B75" s="38" t="s">
        <v>441</v>
      </c>
      <c r="D75" s="2" t="s">
        <v>442</v>
      </c>
    </row>
    <row r="76" spans="1:21" ht="16.2" x14ac:dyDescent="0.25">
      <c r="A76" s="2" t="s">
        <v>443</v>
      </c>
      <c r="B76" s="109">
        <v>1500</v>
      </c>
      <c r="D76" s="2" t="s">
        <v>444</v>
      </c>
    </row>
    <row r="77" spans="1:21" ht="16.2" x14ac:dyDescent="0.25">
      <c r="A77" s="2" t="s">
        <v>445</v>
      </c>
      <c r="B77" s="109" t="s">
        <v>446</v>
      </c>
      <c r="D77" s="2" t="s">
        <v>447</v>
      </c>
    </row>
    <row r="78" spans="1:21" x14ac:dyDescent="0.25">
      <c r="A78" s="2" t="s">
        <v>448</v>
      </c>
      <c r="B78" s="38" t="s">
        <v>449</v>
      </c>
      <c r="D78" s="2" t="s">
        <v>450</v>
      </c>
    </row>
    <row r="79" spans="1:21" ht="16.2" x14ac:dyDescent="0.25">
      <c r="A79" s="2" t="s">
        <v>451</v>
      </c>
      <c r="B79" s="104" t="s">
        <v>452</v>
      </c>
      <c r="D79" s="2" t="s">
        <v>453</v>
      </c>
    </row>
    <row r="80" spans="1:21" x14ac:dyDescent="0.25">
      <c r="A80" s="2" t="s">
        <v>454</v>
      </c>
      <c r="B80" s="38" t="s">
        <v>455</v>
      </c>
      <c r="D80" s="2" t="s">
        <v>456</v>
      </c>
    </row>
    <row r="81" spans="1:8" x14ac:dyDescent="0.25">
      <c r="A81" s="2" t="s">
        <v>457</v>
      </c>
      <c r="B81" s="38" t="s">
        <v>458</v>
      </c>
      <c r="D81" s="2" t="s">
        <v>459</v>
      </c>
    </row>
    <row r="82" spans="1:8" x14ac:dyDescent="0.25">
      <c r="A82" s="2" t="s">
        <v>460</v>
      </c>
      <c r="B82" s="38" t="s">
        <v>458</v>
      </c>
      <c r="D82" s="2" t="s">
        <v>461</v>
      </c>
    </row>
    <row r="83" spans="1:8" x14ac:dyDescent="0.25">
      <c r="A83" s="2" t="s">
        <v>462</v>
      </c>
      <c r="B83" s="38" t="s">
        <v>383</v>
      </c>
      <c r="D83" s="2" t="s">
        <v>463</v>
      </c>
    </row>
    <row r="84" spans="1:8" x14ac:dyDescent="0.25">
      <c r="A84" s="2" t="s">
        <v>464</v>
      </c>
      <c r="B84" s="38" t="s">
        <v>465</v>
      </c>
      <c r="D84" s="2" t="s">
        <v>466</v>
      </c>
    </row>
    <row r="85" spans="1:8" x14ac:dyDescent="0.25">
      <c r="A85" s="2" t="s">
        <v>467</v>
      </c>
      <c r="B85" s="38" t="s">
        <v>468</v>
      </c>
      <c r="D85" s="2" t="s">
        <v>469</v>
      </c>
    </row>
    <row r="86" spans="1:8" x14ac:dyDescent="0.25">
      <c r="A86" s="2" t="s">
        <v>470</v>
      </c>
      <c r="B86" s="38" t="s">
        <v>471</v>
      </c>
      <c r="D86" s="2" t="s">
        <v>472</v>
      </c>
    </row>
    <row r="87" spans="1:8" x14ac:dyDescent="0.25">
      <c r="A87" s="2" t="s">
        <v>473</v>
      </c>
      <c r="B87" s="38" t="s">
        <v>468</v>
      </c>
      <c r="D87" s="2" t="s">
        <v>474</v>
      </c>
    </row>
    <row r="88" spans="1:8" x14ac:dyDescent="0.25">
      <c r="A88" s="2" t="s">
        <v>475</v>
      </c>
      <c r="B88" s="38" t="s">
        <v>383</v>
      </c>
      <c r="D88" s="2" t="s">
        <v>476</v>
      </c>
    </row>
    <row r="89" spans="1:8" ht="16.2" x14ac:dyDescent="0.25">
      <c r="A89" s="2" t="s">
        <v>477</v>
      </c>
      <c r="B89" s="38" t="s">
        <v>478</v>
      </c>
      <c r="D89" s="2" t="s">
        <v>479</v>
      </c>
      <c r="H89" s="127" t="s">
        <v>480</v>
      </c>
    </row>
    <row r="90" spans="1:8" x14ac:dyDescent="0.25">
      <c r="A90" s="2" t="s">
        <v>481</v>
      </c>
      <c r="B90" s="38" t="s">
        <v>482</v>
      </c>
      <c r="H90" s="128" t="s">
        <v>483</v>
      </c>
    </row>
    <row r="91" spans="1:8" x14ac:dyDescent="0.25">
      <c r="A91" s="2" t="s">
        <v>484</v>
      </c>
      <c r="B91" s="129" t="str">
        <f>RIGHT('道具|Item'!X18,LEN('道具|Item'!X18)-4)&amp;","&amp;RIGHT('道具|Item'!X19,LEN('道具|Item'!X19)-4)&amp;","&amp;RIGHT('道具|Item'!X20,LEN('道具|Item'!X20)-4)&amp;","&amp;RIGHT('道具|Item'!X21,LEN('道具|Item'!X21)-4)</f>
        <v>1000000,2000000,5000000,10000000</v>
      </c>
    </row>
    <row r="92" spans="1:8" x14ac:dyDescent="0.25">
      <c r="A92" s="2" t="s">
        <v>485</v>
      </c>
      <c r="B92" s="2" t="s">
        <v>486</v>
      </c>
      <c r="D92" s="2" t="s">
        <v>487</v>
      </c>
    </row>
    <row r="93" spans="1:8" x14ac:dyDescent="0.25">
      <c r="A93" s="2" t="s">
        <v>488</v>
      </c>
      <c r="B93" s="2" t="s">
        <v>489</v>
      </c>
      <c r="D93" s="2" t="s">
        <v>490</v>
      </c>
    </row>
    <row r="94" spans="1:8" x14ac:dyDescent="0.25">
      <c r="A94" s="2" t="s">
        <v>491</v>
      </c>
      <c r="B94" s="2">
        <v>20</v>
      </c>
      <c r="D94" s="2" t="s">
        <v>492</v>
      </c>
    </row>
    <row r="95" spans="1:8" x14ac:dyDescent="0.25">
      <c r="A95" s="2" t="s">
        <v>493</v>
      </c>
      <c r="B95" s="38" t="s">
        <v>494</v>
      </c>
      <c r="D95" s="2" t="s">
        <v>495</v>
      </c>
    </row>
    <row r="96" spans="1:8" x14ac:dyDescent="0.25">
      <c r="A96" s="2" t="s">
        <v>496</v>
      </c>
      <c r="B96" s="38" t="s">
        <v>497</v>
      </c>
      <c r="D96" s="2" t="s">
        <v>498</v>
      </c>
    </row>
    <row r="97" spans="1:5" x14ac:dyDescent="0.25">
      <c r="A97" s="130" t="s">
        <v>499</v>
      </c>
      <c r="B97" s="131">
        <v>0</v>
      </c>
      <c r="C97" s="14" t="s">
        <v>424</v>
      </c>
      <c r="D97" s="2" t="s">
        <v>500</v>
      </c>
      <c r="E97" s="14"/>
    </row>
    <row r="98" spans="1:5" ht="16.2" x14ac:dyDescent="0.25">
      <c r="A98" s="132" t="s">
        <v>501</v>
      </c>
      <c r="B98" s="133" t="s">
        <v>502</v>
      </c>
      <c r="C98" s="14" t="s">
        <v>424</v>
      </c>
      <c r="D98" s="2" t="s">
        <v>503</v>
      </c>
      <c r="E98" s="14"/>
    </row>
    <row r="99" spans="1:5" x14ac:dyDescent="0.25">
      <c r="A99" s="132" t="s">
        <v>504</v>
      </c>
      <c r="B99" s="134">
        <v>20000</v>
      </c>
      <c r="C99" s="14" t="s">
        <v>424</v>
      </c>
      <c r="D99" s="2" t="s">
        <v>505</v>
      </c>
      <c r="E99" s="14"/>
    </row>
    <row r="100" spans="1:5" x14ac:dyDescent="0.25">
      <c r="A100" s="132" t="s">
        <v>506</v>
      </c>
      <c r="B100" s="134">
        <v>12500</v>
      </c>
      <c r="C100" s="14" t="s">
        <v>424</v>
      </c>
      <c r="D100" s="2" t="s">
        <v>505</v>
      </c>
      <c r="E100" s="14"/>
    </row>
    <row r="101" spans="1:5" x14ac:dyDescent="0.25">
      <c r="A101" s="135" t="s">
        <v>507</v>
      </c>
      <c r="B101" s="136">
        <v>2000</v>
      </c>
      <c r="C101" s="14" t="s">
        <v>424</v>
      </c>
      <c r="D101" s="2" t="s">
        <v>505</v>
      </c>
      <c r="E101" s="14"/>
    </row>
    <row r="102" spans="1:5" x14ac:dyDescent="0.25">
      <c r="A102" s="137" t="s">
        <v>508</v>
      </c>
      <c r="B102" s="138">
        <v>2</v>
      </c>
      <c r="C102" s="14" t="s">
        <v>424</v>
      </c>
      <c r="D102" s="2" t="s">
        <v>509</v>
      </c>
      <c r="E102" s="14"/>
    </row>
    <row r="103" spans="1:5" x14ac:dyDescent="0.25">
      <c r="A103" s="137" t="s">
        <v>510</v>
      </c>
      <c r="B103" s="138">
        <v>7500</v>
      </c>
      <c r="C103" s="14" t="s">
        <v>424</v>
      </c>
      <c r="D103" s="2" t="s">
        <v>511</v>
      </c>
      <c r="E103" s="14"/>
    </row>
    <row r="104" spans="1:5" ht="16.2" x14ac:dyDescent="0.25">
      <c r="A104" s="139" t="s">
        <v>512</v>
      </c>
      <c r="B104" s="140">
        <v>1500</v>
      </c>
      <c r="C104" s="14" t="s">
        <v>424</v>
      </c>
      <c r="D104" s="2" t="s">
        <v>513</v>
      </c>
      <c r="E104" s="14"/>
    </row>
    <row r="105" spans="1:5" x14ac:dyDescent="0.25">
      <c r="A105" s="132" t="s">
        <v>514</v>
      </c>
      <c r="B105" s="141" t="s">
        <v>515</v>
      </c>
      <c r="C105" s="14" t="s">
        <v>424</v>
      </c>
      <c r="D105" s="2" t="s">
        <v>516</v>
      </c>
      <c r="E105" s="14"/>
    </row>
    <row r="106" spans="1:5" x14ac:dyDescent="0.25">
      <c r="A106" s="132" t="s">
        <v>517</v>
      </c>
      <c r="B106" s="134">
        <v>8</v>
      </c>
      <c r="C106" s="14" t="s">
        <v>424</v>
      </c>
      <c r="D106" s="2" t="s">
        <v>518</v>
      </c>
      <c r="E106" s="14"/>
    </row>
    <row r="107" spans="1:5" x14ac:dyDescent="0.25">
      <c r="A107" s="132" t="s">
        <v>519</v>
      </c>
      <c r="B107" s="134">
        <v>150</v>
      </c>
      <c r="C107" s="14" t="s">
        <v>424</v>
      </c>
      <c r="D107" s="2" t="s">
        <v>520</v>
      </c>
      <c r="E107" s="14"/>
    </row>
    <row r="108" spans="1:5" ht="16.5" customHeight="1" x14ac:dyDescent="0.25">
      <c r="A108" s="132" t="s">
        <v>521</v>
      </c>
      <c r="B108" s="142" t="s">
        <v>515</v>
      </c>
      <c r="C108" s="14" t="s">
        <v>424</v>
      </c>
      <c r="D108" s="143" t="s">
        <v>522</v>
      </c>
      <c r="E108" s="14"/>
    </row>
    <row r="109" spans="1:5" ht="16.2" x14ac:dyDescent="0.25">
      <c r="A109" s="132" t="s">
        <v>523</v>
      </c>
      <c r="B109" s="142">
        <v>30</v>
      </c>
      <c r="C109" s="14" t="s">
        <v>424</v>
      </c>
      <c r="D109" s="143"/>
      <c r="E109" s="14"/>
    </row>
    <row r="110" spans="1:5" ht="16.2" x14ac:dyDescent="0.25">
      <c r="A110" s="144" t="s">
        <v>524</v>
      </c>
      <c r="B110" s="145" t="s">
        <v>525</v>
      </c>
      <c r="C110" s="14" t="s">
        <v>424</v>
      </c>
      <c r="D110" s="2" t="s">
        <v>526</v>
      </c>
      <c r="E110" s="14"/>
    </row>
    <row r="111" spans="1:5" x14ac:dyDescent="0.25">
      <c r="A111" s="139" t="s">
        <v>527</v>
      </c>
      <c r="B111" s="146" t="s">
        <v>528</v>
      </c>
      <c r="C111" s="14" t="s">
        <v>424</v>
      </c>
      <c r="D111" s="2" t="s">
        <v>314</v>
      </c>
      <c r="E111" s="14"/>
    </row>
    <row r="112" spans="1:5" ht="16.2" x14ac:dyDescent="0.25">
      <c r="A112" s="130" t="s">
        <v>529</v>
      </c>
      <c r="B112" s="147" t="s">
        <v>530</v>
      </c>
      <c r="C112" s="14" t="s">
        <v>424</v>
      </c>
      <c r="D112" s="2" t="s">
        <v>531</v>
      </c>
      <c r="E112" s="14"/>
    </row>
    <row r="113" spans="1:5" x14ac:dyDescent="0.25">
      <c r="A113" s="144" t="s">
        <v>532</v>
      </c>
      <c r="B113" s="148">
        <v>10</v>
      </c>
      <c r="C113" s="14" t="s">
        <v>424</v>
      </c>
      <c r="D113" s="2" t="s">
        <v>533</v>
      </c>
      <c r="E113" s="14"/>
    </row>
    <row r="114" spans="1:5" x14ac:dyDescent="0.25">
      <c r="A114" s="137" t="s">
        <v>534</v>
      </c>
      <c r="B114" s="149">
        <v>500</v>
      </c>
      <c r="C114" s="14" t="s">
        <v>424</v>
      </c>
      <c r="D114" s="2" t="s">
        <v>535</v>
      </c>
      <c r="E114" s="14"/>
    </row>
    <row r="115" spans="1:5" ht="16.2" x14ac:dyDescent="0.25">
      <c r="A115" s="137" t="s">
        <v>536</v>
      </c>
      <c r="B115" s="150">
        <v>5000</v>
      </c>
      <c r="C115" s="14" t="s">
        <v>424</v>
      </c>
      <c r="D115" s="2" t="s">
        <v>537</v>
      </c>
      <c r="E115" s="14"/>
    </row>
    <row r="116" spans="1:5" ht="16.2" x14ac:dyDescent="0.25">
      <c r="A116" s="137" t="s">
        <v>538</v>
      </c>
      <c r="B116" s="150">
        <v>8000</v>
      </c>
      <c r="C116" s="14" t="s">
        <v>424</v>
      </c>
      <c r="D116" s="2" t="s">
        <v>539</v>
      </c>
      <c r="E116" s="14"/>
    </row>
    <row r="117" spans="1:5" ht="16.2" x14ac:dyDescent="0.25">
      <c r="A117" s="137" t="s">
        <v>540</v>
      </c>
      <c r="B117" s="150">
        <v>340</v>
      </c>
      <c r="C117" s="14" t="s">
        <v>424</v>
      </c>
      <c r="D117" s="2" t="s">
        <v>541</v>
      </c>
      <c r="E117" s="14"/>
    </row>
    <row r="118" spans="1:5" ht="16.2" x14ac:dyDescent="0.25">
      <c r="A118" s="139" t="s">
        <v>542</v>
      </c>
      <c r="B118" s="151">
        <v>10000</v>
      </c>
      <c r="C118" s="14" t="s">
        <v>424</v>
      </c>
      <c r="D118" s="2" t="s">
        <v>543</v>
      </c>
      <c r="E118" s="14"/>
    </row>
    <row r="119" spans="1:5" ht="16.2" x14ac:dyDescent="0.25">
      <c r="A119" s="137" t="s">
        <v>544</v>
      </c>
      <c r="B119" s="149">
        <v>12</v>
      </c>
      <c r="C119" s="14" t="s">
        <v>424</v>
      </c>
      <c r="D119" s="2" t="s">
        <v>545</v>
      </c>
      <c r="E119" s="14"/>
    </row>
    <row r="120" spans="1:5" x14ac:dyDescent="0.25">
      <c r="A120" s="137" t="s">
        <v>546</v>
      </c>
      <c r="B120" s="149">
        <v>300</v>
      </c>
      <c r="C120" s="14" t="s">
        <v>424</v>
      </c>
      <c r="D120" s="152"/>
      <c r="E120" s="14"/>
    </row>
    <row r="121" spans="1:5" x14ac:dyDescent="0.25">
      <c r="A121" s="139" t="s">
        <v>547</v>
      </c>
      <c r="B121" s="153">
        <v>5000</v>
      </c>
      <c r="C121" s="14" t="s">
        <v>424</v>
      </c>
      <c r="D121" s="2" t="s">
        <v>505</v>
      </c>
      <c r="E121" s="14"/>
    </row>
    <row r="122" spans="1:5" x14ac:dyDescent="0.25">
      <c r="A122" s="154" t="s">
        <v>548</v>
      </c>
      <c r="B122" s="155">
        <v>5</v>
      </c>
      <c r="C122" s="14" t="s">
        <v>424</v>
      </c>
      <c r="D122" s="2" t="s">
        <v>549</v>
      </c>
      <c r="E122" s="14"/>
    </row>
    <row r="123" spans="1:5" x14ac:dyDescent="0.25">
      <c r="A123" s="156" t="s">
        <v>550</v>
      </c>
      <c r="B123" s="157">
        <v>600</v>
      </c>
      <c r="C123" s="14" t="s">
        <v>424</v>
      </c>
      <c r="D123" s="2" t="s">
        <v>551</v>
      </c>
    </row>
    <row r="124" spans="1:5" x14ac:dyDescent="0.25">
      <c r="A124" s="2" t="s">
        <v>552</v>
      </c>
      <c r="B124" s="38" t="s">
        <v>553</v>
      </c>
      <c r="C124" s="14" t="s">
        <v>424</v>
      </c>
      <c r="D124" s="14" t="s">
        <v>554</v>
      </c>
      <c r="E124" s="14"/>
    </row>
    <row r="125" spans="1:5" x14ac:dyDescent="0.25">
      <c r="A125" s="2" t="s">
        <v>555</v>
      </c>
      <c r="B125" s="38" t="s">
        <v>556</v>
      </c>
      <c r="C125" s="14" t="s">
        <v>424</v>
      </c>
      <c r="D125" s="14" t="s">
        <v>557</v>
      </c>
      <c r="E125" s="14"/>
    </row>
    <row r="126" spans="1:5" x14ac:dyDescent="0.25">
      <c r="A126" s="2" t="s">
        <v>558</v>
      </c>
      <c r="B126" s="38" t="s">
        <v>268</v>
      </c>
      <c r="C126" s="14" t="s">
        <v>424</v>
      </c>
      <c r="D126" s="14" t="s">
        <v>559</v>
      </c>
      <c r="E126" s="14"/>
    </row>
    <row r="127" spans="1:5" x14ac:dyDescent="0.25">
      <c r="A127" s="2" t="s">
        <v>560</v>
      </c>
      <c r="B127" s="38" t="s">
        <v>268</v>
      </c>
      <c r="C127" s="14" t="s">
        <v>424</v>
      </c>
      <c r="D127" s="14" t="s">
        <v>561</v>
      </c>
      <c r="E127" s="14"/>
    </row>
    <row r="128" spans="1:5" x14ac:dyDescent="0.25">
      <c r="A128" s="2" t="s">
        <v>562</v>
      </c>
      <c r="B128" s="38" t="s">
        <v>279</v>
      </c>
      <c r="C128" s="14" t="s">
        <v>424</v>
      </c>
      <c r="D128" s="14" t="s">
        <v>563</v>
      </c>
      <c r="E128" s="14"/>
    </row>
    <row r="129" spans="1:6" x14ac:dyDescent="0.25">
      <c r="A129" s="2" t="s">
        <v>564</v>
      </c>
      <c r="B129" s="38" t="s">
        <v>515</v>
      </c>
      <c r="C129" s="14" t="s">
        <v>424</v>
      </c>
      <c r="D129" s="14" t="s">
        <v>565</v>
      </c>
      <c r="E129" s="14"/>
    </row>
    <row r="130" spans="1:6" ht="16.2" x14ac:dyDescent="0.25">
      <c r="A130" s="49" t="s">
        <v>566</v>
      </c>
      <c r="B130" s="38" t="s">
        <v>567</v>
      </c>
      <c r="D130" s="2" t="s">
        <v>568</v>
      </c>
    </row>
    <row r="131" spans="1:6" ht="16.2" x14ac:dyDescent="0.25">
      <c r="A131" s="49" t="s">
        <v>569</v>
      </c>
      <c r="B131" s="38" t="s">
        <v>570</v>
      </c>
      <c r="D131" s="2" t="s">
        <v>571</v>
      </c>
    </row>
    <row r="132" spans="1:6" ht="16.2" x14ac:dyDescent="0.25">
      <c r="A132" s="49" t="s">
        <v>572</v>
      </c>
      <c r="B132" s="38" t="s">
        <v>455</v>
      </c>
      <c r="C132" s="14" t="s">
        <v>424</v>
      </c>
      <c r="D132" s="14" t="s">
        <v>573</v>
      </c>
      <c r="E132" s="14"/>
    </row>
    <row r="133" spans="1:6" ht="16.2" x14ac:dyDescent="0.35">
      <c r="A133" s="159" t="s">
        <v>574</v>
      </c>
      <c r="B133" s="104" t="s">
        <v>383</v>
      </c>
      <c r="C133" s="14" t="s">
        <v>424</v>
      </c>
      <c r="D133" s="160" t="s">
        <v>575</v>
      </c>
      <c r="E133" s="14"/>
    </row>
    <row r="134" spans="1:6" ht="16.2" x14ac:dyDescent="0.35">
      <c r="A134" s="159" t="s">
        <v>576</v>
      </c>
      <c r="B134" s="104" t="s">
        <v>362</v>
      </c>
      <c r="C134" s="14" t="s">
        <v>424</v>
      </c>
      <c r="D134" s="160" t="s">
        <v>577</v>
      </c>
      <c r="E134" s="14"/>
    </row>
    <row r="135" spans="1:6" ht="16.2" x14ac:dyDescent="0.25">
      <c r="A135" s="159" t="s">
        <v>578</v>
      </c>
      <c r="B135" s="104" t="s">
        <v>268</v>
      </c>
      <c r="C135" s="14" t="s">
        <v>424</v>
      </c>
      <c r="D135" s="2" t="s">
        <v>579</v>
      </c>
      <c r="E135" s="14"/>
    </row>
    <row r="136" spans="1:6" x14ac:dyDescent="0.25">
      <c r="A136" s="159" t="s">
        <v>580</v>
      </c>
      <c r="B136" s="38" t="s">
        <v>581</v>
      </c>
      <c r="C136" s="14" t="s">
        <v>424</v>
      </c>
      <c r="D136" s="2" t="s">
        <v>582</v>
      </c>
      <c r="E136" s="14"/>
    </row>
    <row r="137" spans="1:6" ht="16.2" x14ac:dyDescent="0.25">
      <c r="A137" s="161" t="s">
        <v>583</v>
      </c>
      <c r="B137" s="104" t="s">
        <v>581</v>
      </c>
      <c r="C137" s="14" t="s">
        <v>424</v>
      </c>
      <c r="D137" s="41" t="s">
        <v>584</v>
      </c>
      <c r="E137" s="14"/>
    </row>
    <row r="138" spans="1:6" ht="16.2" x14ac:dyDescent="0.25">
      <c r="A138" s="159" t="s">
        <v>585</v>
      </c>
      <c r="B138" s="104" t="s">
        <v>331</v>
      </c>
      <c r="C138" s="14" t="s">
        <v>424</v>
      </c>
      <c r="D138" s="2" t="s">
        <v>586</v>
      </c>
      <c r="E138" s="14"/>
    </row>
    <row r="139" spans="1:6" ht="16.2" x14ac:dyDescent="0.25">
      <c r="A139" s="159" t="s">
        <v>587</v>
      </c>
      <c r="B139" s="104" t="s">
        <v>515</v>
      </c>
      <c r="C139" s="14" t="s">
        <v>424</v>
      </c>
      <c r="D139" s="2" t="s">
        <v>588</v>
      </c>
      <c r="E139" s="14"/>
    </row>
    <row r="140" spans="1:6" ht="16.2" x14ac:dyDescent="0.25">
      <c r="A140" s="159" t="s">
        <v>589</v>
      </c>
      <c r="B140" s="38" t="s">
        <v>590</v>
      </c>
      <c r="C140" s="14" t="s">
        <v>424</v>
      </c>
      <c r="D140" s="2" t="s">
        <v>591</v>
      </c>
      <c r="E140" s="14"/>
    </row>
    <row r="141" spans="1:6" ht="16.2" x14ac:dyDescent="0.25">
      <c r="A141" s="159" t="s">
        <v>592</v>
      </c>
      <c r="B141" s="104" t="s">
        <v>590</v>
      </c>
      <c r="C141" s="14" t="s">
        <v>424</v>
      </c>
      <c r="D141" s="2" t="s">
        <v>593</v>
      </c>
      <c r="E141" s="14"/>
    </row>
    <row r="142" spans="1:6" ht="16.2" x14ac:dyDescent="0.25">
      <c r="A142" s="159" t="s">
        <v>594</v>
      </c>
      <c r="B142" s="104" t="s">
        <v>331</v>
      </c>
      <c r="C142" s="14" t="s">
        <v>424</v>
      </c>
      <c r="D142" s="2" t="s">
        <v>595</v>
      </c>
      <c r="E142" s="14"/>
    </row>
    <row r="143" spans="1:6" x14ac:dyDescent="0.25">
      <c r="A143" s="159" t="s">
        <v>596</v>
      </c>
      <c r="B143" s="38" t="s">
        <v>597</v>
      </c>
      <c r="C143" s="14" t="s">
        <v>424</v>
      </c>
      <c r="D143" s="2" t="s">
        <v>598</v>
      </c>
      <c r="E143" s="14"/>
    </row>
    <row r="144" spans="1:6" ht="16.2" x14ac:dyDescent="0.25">
      <c r="A144" s="159" t="s">
        <v>599</v>
      </c>
      <c r="B144" s="38" t="s">
        <v>600</v>
      </c>
      <c r="C144" s="14" t="s">
        <v>424</v>
      </c>
      <c r="D144" s="2" t="s">
        <v>601</v>
      </c>
      <c r="E144" s="14"/>
      <c r="F144" s="104"/>
    </row>
    <row r="145" spans="1:5" ht="16.2" x14ac:dyDescent="0.25">
      <c r="A145" s="159" t="s">
        <v>602</v>
      </c>
      <c r="B145" s="38" t="s">
        <v>383</v>
      </c>
      <c r="C145" s="14" t="s">
        <v>424</v>
      </c>
      <c r="D145" s="2" t="s">
        <v>603</v>
      </c>
      <c r="E145" s="14"/>
    </row>
    <row r="146" spans="1:5" ht="16.2" x14ac:dyDescent="0.25">
      <c r="A146" s="159" t="s">
        <v>604</v>
      </c>
      <c r="B146" s="104" t="s">
        <v>590</v>
      </c>
      <c r="C146" s="14" t="s">
        <v>424</v>
      </c>
      <c r="D146" s="2" t="s">
        <v>605</v>
      </c>
      <c r="E146" s="14"/>
    </row>
    <row r="147" spans="1:5" ht="16.2" x14ac:dyDescent="0.25">
      <c r="A147" s="159" t="s">
        <v>606</v>
      </c>
      <c r="B147" s="104" t="s">
        <v>607</v>
      </c>
      <c r="C147" s="14" t="s">
        <v>424</v>
      </c>
      <c r="D147" s="2" t="s">
        <v>608</v>
      </c>
      <c r="E147" s="14"/>
    </row>
    <row r="148" spans="1:5" ht="16.2" x14ac:dyDescent="0.25">
      <c r="A148" s="159" t="s">
        <v>609</v>
      </c>
      <c r="B148" s="38" t="s">
        <v>528</v>
      </c>
      <c r="C148" s="14" t="s">
        <v>424</v>
      </c>
      <c r="D148" s="2" t="s">
        <v>610</v>
      </c>
      <c r="E148" s="14"/>
    </row>
    <row r="149" spans="1:5" ht="16.2" x14ac:dyDescent="0.25">
      <c r="A149" s="159" t="s">
        <v>611</v>
      </c>
      <c r="B149" s="104" t="s">
        <v>590</v>
      </c>
      <c r="C149" s="14" t="s">
        <v>424</v>
      </c>
      <c r="D149" s="2" t="s">
        <v>612</v>
      </c>
      <c r="E149" s="14"/>
    </row>
    <row r="150" spans="1:5" ht="16.2" x14ac:dyDescent="0.25">
      <c r="A150" s="159" t="s">
        <v>613</v>
      </c>
      <c r="B150" s="38" t="s">
        <v>471</v>
      </c>
      <c r="C150" s="14" t="s">
        <v>424</v>
      </c>
      <c r="D150" s="14" t="s">
        <v>614</v>
      </c>
      <c r="E150" s="14"/>
    </row>
    <row r="151" spans="1:5" x14ac:dyDescent="0.35">
      <c r="A151" s="159" t="s">
        <v>615</v>
      </c>
      <c r="B151" s="19" t="s">
        <v>616</v>
      </c>
      <c r="C151" s="14" t="s">
        <v>424</v>
      </c>
      <c r="D151" s="2" t="s">
        <v>617</v>
      </c>
      <c r="E151" s="14"/>
    </row>
    <row r="152" spans="1:5" ht="16.2" x14ac:dyDescent="0.25">
      <c r="A152" s="159" t="s">
        <v>618</v>
      </c>
      <c r="B152" s="104" t="s">
        <v>553</v>
      </c>
      <c r="C152" s="14" t="s">
        <v>424</v>
      </c>
      <c r="D152" s="2" t="s">
        <v>619</v>
      </c>
      <c r="E152" s="14"/>
    </row>
    <row r="153" spans="1:5" ht="16.2" x14ac:dyDescent="0.25">
      <c r="A153" s="2" t="s">
        <v>620</v>
      </c>
      <c r="B153" s="38" t="s">
        <v>621</v>
      </c>
      <c r="C153" s="14" t="s">
        <v>424</v>
      </c>
      <c r="D153" s="2" t="s">
        <v>622</v>
      </c>
      <c r="E153" s="14"/>
    </row>
    <row r="154" spans="1:5" ht="16.2" x14ac:dyDescent="0.25">
      <c r="A154" s="22" t="s">
        <v>623</v>
      </c>
      <c r="B154" s="104" t="s">
        <v>624</v>
      </c>
      <c r="C154" s="14" t="s">
        <v>424</v>
      </c>
      <c r="D154" s="2" t="s">
        <v>625</v>
      </c>
      <c r="E154" s="14"/>
    </row>
    <row r="155" spans="1:5" x14ac:dyDescent="0.25">
      <c r="A155" s="2" t="s">
        <v>626</v>
      </c>
      <c r="B155" s="38" t="s">
        <v>471</v>
      </c>
      <c r="D155" s="2" t="s">
        <v>627</v>
      </c>
    </row>
    <row r="156" spans="1:5" ht="16.2" x14ac:dyDescent="0.25">
      <c r="A156" s="2" t="s">
        <v>628</v>
      </c>
      <c r="B156" s="104" t="s">
        <v>362</v>
      </c>
      <c r="D156" s="2" t="s">
        <v>629</v>
      </c>
    </row>
    <row r="157" spans="1:5" x14ac:dyDescent="0.25">
      <c r="A157" s="2" t="s">
        <v>630</v>
      </c>
      <c r="B157" s="38" t="s">
        <v>362</v>
      </c>
      <c r="D157" s="2" t="s">
        <v>631</v>
      </c>
    </row>
    <row r="158" spans="1:5" x14ac:dyDescent="0.25">
      <c r="A158" s="2" t="s">
        <v>632</v>
      </c>
      <c r="B158" s="38" t="s">
        <v>254</v>
      </c>
      <c r="D158" s="2" t="s">
        <v>633</v>
      </c>
    </row>
    <row r="159" spans="1:5" x14ac:dyDescent="0.25">
      <c r="A159" s="2" t="s">
        <v>634</v>
      </c>
      <c r="B159" s="38" t="s">
        <v>471</v>
      </c>
      <c r="D159" s="2" t="s">
        <v>635</v>
      </c>
    </row>
    <row r="160" spans="1:5" x14ac:dyDescent="0.25">
      <c r="A160" s="2" t="s">
        <v>636</v>
      </c>
      <c r="B160" s="38" t="s">
        <v>637</v>
      </c>
      <c r="D160" s="2" t="s">
        <v>638</v>
      </c>
    </row>
    <row r="161" spans="1:5" s="41" customFormat="1" ht="16.2" x14ac:dyDescent="0.25">
      <c r="A161" s="41" t="s">
        <v>639</v>
      </c>
      <c r="B161" s="104" t="s">
        <v>471</v>
      </c>
      <c r="D161" s="41" t="s">
        <v>640</v>
      </c>
    </row>
    <row r="162" spans="1:5" ht="16.2" x14ac:dyDescent="0.25">
      <c r="A162" s="2" t="s">
        <v>641</v>
      </c>
      <c r="B162" s="104" t="s">
        <v>515</v>
      </c>
      <c r="C162" s="14" t="s">
        <v>424</v>
      </c>
      <c r="D162" s="2" t="s">
        <v>642</v>
      </c>
    </row>
    <row r="163" spans="1:5" ht="16.2" x14ac:dyDescent="0.25">
      <c r="A163" s="2" t="s">
        <v>643</v>
      </c>
      <c r="B163" s="104" t="s">
        <v>644</v>
      </c>
      <c r="D163" s="2" t="s">
        <v>645</v>
      </c>
    </row>
    <row r="164" spans="1:5" ht="16.2" x14ac:dyDescent="0.25">
      <c r="A164" s="2" t="s">
        <v>646</v>
      </c>
      <c r="B164" s="104" t="s">
        <v>383</v>
      </c>
      <c r="D164" s="2" t="s">
        <v>647</v>
      </c>
    </row>
    <row r="165" spans="1:5" ht="16.2" x14ac:dyDescent="0.25">
      <c r="A165" s="2" t="s">
        <v>648</v>
      </c>
      <c r="B165" s="104" t="s">
        <v>254</v>
      </c>
      <c r="D165" s="2" t="s">
        <v>649</v>
      </c>
    </row>
    <row r="166" spans="1:5" ht="16.2" x14ac:dyDescent="0.25">
      <c r="A166" s="2" t="s">
        <v>650</v>
      </c>
      <c r="B166" s="162" t="s">
        <v>651</v>
      </c>
      <c r="D166" s="2" t="s">
        <v>652</v>
      </c>
    </row>
    <row r="167" spans="1:5" ht="16.2" x14ac:dyDescent="0.25">
      <c r="A167" s="2" t="s">
        <v>653</v>
      </c>
      <c r="B167" s="38" t="s">
        <v>268</v>
      </c>
      <c r="C167" s="14" t="s">
        <v>424</v>
      </c>
      <c r="D167" s="2" t="s">
        <v>654</v>
      </c>
      <c r="E167" s="14" t="s">
        <v>314</v>
      </c>
    </row>
    <row r="168" spans="1:5" ht="16.2" x14ac:dyDescent="0.25">
      <c r="A168" s="2" t="s">
        <v>655</v>
      </c>
      <c r="B168" s="38" t="s">
        <v>268</v>
      </c>
      <c r="C168" s="14" t="s">
        <v>424</v>
      </c>
      <c r="D168" s="2" t="s">
        <v>656</v>
      </c>
      <c r="E168" s="14" t="s">
        <v>314</v>
      </c>
    </row>
    <row r="169" spans="1:5" ht="16.2" x14ac:dyDescent="0.25">
      <c r="A169" s="2" t="s">
        <v>657</v>
      </c>
      <c r="B169" s="38" t="s">
        <v>383</v>
      </c>
      <c r="C169" s="14" t="s">
        <v>424</v>
      </c>
      <c r="D169" s="2" t="s">
        <v>658</v>
      </c>
      <c r="E169" s="14" t="s">
        <v>314</v>
      </c>
    </row>
    <row r="170" spans="1:5" ht="16.2" x14ac:dyDescent="0.25">
      <c r="A170" s="2" t="s">
        <v>659</v>
      </c>
      <c r="B170" s="38" t="s">
        <v>362</v>
      </c>
      <c r="C170" s="14" t="s">
        <v>424</v>
      </c>
      <c r="D170" s="102" t="s">
        <v>660</v>
      </c>
      <c r="E170" s="14" t="s">
        <v>314</v>
      </c>
    </row>
    <row r="171" spans="1:5" ht="16.2" x14ac:dyDescent="0.25">
      <c r="A171" s="49" t="s">
        <v>661</v>
      </c>
      <c r="B171" s="104" t="s">
        <v>528</v>
      </c>
      <c r="C171" s="15"/>
      <c r="D171" s="49" t="s">
        <v>662</v>
      </c>
    </row>
    <row r="172" spans="1:5" ht="16.2" x14ac:dyDescent="0.25">
      <c r="A172" s="49" t="s">
        <v>663</v>
      </c>
      <c r="B172" s="104" t="s">
        <v>383</v>
      </c>
      <c r="D172" s="102" t="s">
        <v>664</v>
      </c>
    </row>
    <row r="173" spans="1:5" ht="16.2" x14ac:dyDescent="0.25">
      <c r="A173" s="2" t="s">
        <v>665</v>
      </c>
      <c r="B173" s="38" t="s">
        <v>328</v>
      </c>
      <c r="D173" s="2" t="s">
        <v>666</v>
      </c>
    </row>
    <row r="174" spans="1:5" x14ac:dyDescent="0.25">
      <c r="A174" s="2" t="s">
        <v>667</v>
      </c>
      <c r="B174" s="38" t="s">
        <v>528</v>
      </c>
      <c r="D174" s="2" t="s">
        <v>668</v>
      </c>
    </row>
    <row r="175" spans="1:5" x14ac:dyDescent="0.25">
      <c r="A175" s="2" t="s">
        <v>669</v>
      </c>
      <c r="B175" s="38" t="s">
        <v>471</v>
      </c>
      <c r="D175" s="2" t="s">
        <v>670</v>
      </c>
    </row>
    <row r="176" spans="1:5" x14ac:dyDescent="0.25">
      <c r="A176" s="2" t="s">
        <v>671</v>
      </c>
      <c r="B176" s="38" t="s">
        <v>672</v>
      </c>
      <c r="D176" s="2" t="s">
        <v>673</v>
      </c>
    </row>
    <row r="177" spans="1:5" x14ac:dyDescent="0.25">
      <c r="A177" s="2" t="s">
        <v>674</v>
      </c>
      <c r="B177" s="38" t="s">
        <v>383</v>
      </c>
      <c r="D177" s="2" t="s">
        <v>675</v>
      </c>
    </row>
    <row r="178" spans="1:5" x14ac:dyDescent="0.25">
      <c r="A178" s="2" t="s">
        <v>676</v>
      </c>
      <c r="B178" s="38" t="s">
        <v>471</v>
      </c>
      <c r="C178" s="14" t="s">
        <v>424</v>
      </c>
      <c r="D178" s="2" t="s">
        <v>677</v>
      </c>
      <c r="E178" s="14" t="s">
        <v>314</v>
      </c>
    </row>
    <row r="179" spans="1:5" x14ac:dyDescent="0.25">
      <c r="A179" s="2" t="s">
        <v>678</v>
      </c>
      <c r="B179" s="38" t="s">
        <v>471</v>
      </c>
      <c r="C179" s="14" t="s">
        <v>424</v>
      </c>
      <c r="D179" s="2" t="s">
        <v>679</v>
      </c>
      <c r="E179" s="14" t="s">
        <v>314</v>
      </c>
    </row>
    <row r="180" spans="1:5" ht="16.2" x14ac:dyDescent="0.25">
      <c r="A180" s="41" t="s">
        <v>680</v>
      </c>
      <c r="B180" s="104" t="s">
        <v>515</v>
      </c>
      <c r="C180" s="14" t="s">
        <v>424</v>
      </c>
      <c r="D180" s="41" t="s">
        <v>681</v>
      </c>
      <c r="E180" s="14" t="s">
        <v>314</v>
      </c>
    </row>
    <row r="181" spans="1:5" x14ac:dyDescent="0.25">
      <c r="A181" s="14" t="s">
        <v>682</v>
      </c>
      <c r="B181" s="38" t="s">
        <v>468</v>
      </c>
      <c r="C181" s="14" t="s">
        <v>424</v>
      </c>
      <c r="D181" s="2" t="s">
        <v>683</v>
      </c>
      <c r="E181" s="14" t="s">
        <v>314</v>
      </c>
    </row>
    <row r="182" spans="1:5" x14ac:dyDescent="0.25">
      <c r="A182" s="14" t="s">
        <v>684</v>
      </c>
      <c r="B182" s="38" t="s">
        <v>685</v>
      </c>
      <c r="C182" s="14" t="s">
        <v>424</v>
      </c>
      <c r="D182" s="2" t="s">
        <v>686</v>
      </c>
      <c r="E182" s="14" t="s">
        <v>314</v>
      </c>
    </row>
    <row r="183" spans="1:5" x14ac:dyDescent="0.25">
      <c r="A183" s="14" t="s">
        <v>687</v>
      </c>
      <c r="B183" s="38" t="s">
        <v>688</v>
      </c>
      <c r="C183" s="14" t="s">
        <v>424</v>
      </c>
      <c r="D183" s="2" t="s">
        <v>689</v>
      </c>
      <c r="E183" s="14" t="s">
        <v>314</v>
      </c>
    </row>
    <row r="184" spans="1:5" x14ac:dyDescent="0.25">
      <c r="A184" s="14" t="s">
        <v>690</v>
      </c>
      <c r="B184" s="38" t="s">
        <v>471</v>
      </c>
      <c r="C184" s="14" t="s">
        <v>424</v>
      </c>
      <c r="D184" s="2" t="s">
        <v>549</v>
      </c>
      <c r="E184" s="14" t="s">
        <v>314</v>
      </c>
    </row>
    <row r="185" spans="1:5" ht="16.2" x14ac:dyDescent="0.25">
      <c r="A185" s="14" t="s">
        <v>691</v>
      </c>
      <c r="B185" s="38" t="s">
        <v>692</v>
      </c>
      <c r="C185" s="14" t="s">
        <v>424</v>
      </c>
      <c r="D185" s="2" t="s">
        <v>693</v>
      </c>
      <c r="E185" s="14" t="s">
        <v>314</v>
      </c>
    </row>
    <row r="186" spans="1:5" x14ac:dyDescent="0.25">
      <c r="A186" s="2" t="s">
        <v>694</v>
      </c>
      <c r="B186" s="38" t="s">
        <v>695</v>
      </c>
      <c r="D186" s="2" t="s">
        <v>696</v>
      </c>
    </row>
    <row r="187" spans="1:5" x14ac:dyDescent="0.25">
      <c r="A187" s="2" t="s">
        <v>697</v>
      </c>
      <c r="B187" s="38" t="s">
        <v>698</v>
      </c>
      <c r="D187" s="2" t="s">
        <v>699</v>
      </c>
    </row>
    <row r="188" spans="1:5" x14ac:dyDescent="0.25">
      <c r="A188" s="2" t="s">
        <v>700</v>
      </c>
      <c r="B188" s="38" t="s">
        <v>528</v>
      </c>
      <c r="C188" s="14" t="s">
        <v>424</v>
      </c>
      <c r="D188" s="2" t="s">
        <v>701</v>
      </c>
      <c r="E188" s="14" t="s">
        <v>314</v>
      </c>
    </row>
    <row r="189" spans="1:5" x14ac:dyDescent="0.25">
      <c r="A189" s="2" t="s">
        <v>702</v>
      </c>
      <c r="B189" s="38" t="s">
        <v>703</v>
      </c>
      <c r="C189" s="14" t="s">
        <v>424</v>
      </c>
      <c r="D189" s="2" t="s">
        <v>704</v>
      </c>
      <c r="E189" s="14" t="s">
        <v>314</v>
      </c>
    </row>
    <row r="190" spans="1:5" x14ac:dyDescent="0.25">
      <c r="A190" s="2" t="s">
        <v>705</v>
      </c>
      <c r="B190" s="38" t="s">
        <v>600</v>
      </c>
      <c r="D190" s="2" t="s">
        <v>706</v>
      </c>
    </row>
    <row r="191" spans="1:5" x14ac:dyDescent="0.25">
      <c r="A191" s="2" t="s">
        <v>707</v>
      </c>
      <c r="B191" s="38" t="s">
        <v>708</v>
      </c>
      <c r="D191" s="2" t="s">
        <v>709</v>
      </c>
    </row>
    <row r="192" spans="1:5" x14ac:dyDescent="0.25">
      <c r="A192" s="2" t="s">
        <v>710</v>
      </c>
      <c r="B192" s="38" t="s">
        <v>711</v>
      </c>
      <c r="D192" s="2" t="s">
        <v>712</v>
      </c>
    </row>
    <row r="193" spans="1:14" x14ac:dyDescent="0.25">
      <c r="A193" s="2" t="s">
        <v>713</v>
      </c>
      <c r="B193" s="38" t="s">
        <v>714</v>
      </c>
      <c r="D193" s="2" t="s">
        <v>715</v>
      </c>
    </row>
    <row r="194" spans="1:14" x14ac:dyDescent="0.25">
      <c r="A194" s="2" t="s">
        <v>716</v>
      </c>
      <c r="B194" s="38" t="s">
        <v>342</v>
      </c>
      <c r="D194" s="2" t="s">
        <v>717</v>
      </c>
    </row>
    <row r="195" spans="1:14" x14ac:dyDescent="0.25">
      <c r="A195" s="2" t="s">
        <v>718</v>
      </c>
      <c r="B195" s="38" t="s">
        <v>590</v>
      </c>
      <c r="D195" s="2" t="s">
        <v>719</v>
      </c>
    </row>
    <row r="196" spans="1:14" x14ac:dyDescent="0.25">
      <c r="A196" s="2" t="s">
        <v>720</v>
      </c>
      <c r="B196" s="38" t="s">
        <v>590</v>
      </c>
      <c r="D196" s="2" t="s">
        <v>721</v>
      </c>
    </row>
    <row r="197" spans="1:14" x14ac:dyDescent="0.25">
      <c r="A197" s="2" t="s">
        <v>722</v>
      </c>
      <c r="B197" s="38" t="s">
        <v>362</v>
      </c>
      <c r="D197" s="2" t="s">
        <v>723</v>
      </c>
    </row>
    <row r="198" spans="1:14" x14ac:dyDescent="0.25">
      <c r="A198" s="2" t="s">
        <v>724</v>
      </c>
      <c r="B198" s="38" t="s">
        <v>621</v>
      </c>
      <c r="D198" s="2" t="s">
        <v>725</v>
      </c>
    </row>
    <row r="199" spans="1:14" x14ac:dyDescent="0.25">
      <c r="A199" s="2" t="s">
        <v>726</v>
      </c>
      <c r="B199" s="38" t="s">
        <v>383</v>
      </c>
      <c r="D199" s="2" t="s">
        <v>727</v>
      </c>
    </row>
    <row r="200" spans="1:14" x14ac:dyDescent="0.25">
      <c r="A200" s="2" t="s">
        <v>728</v>
      </c>
      <c r="B200" s="38" t="s">
        <v>455</v>
      </c>
      <c r="D200" s="2" t="s">
        <v>729</v>
      </c>
    </row>
    <row r="201" spans="1:14" x14ac:dyDescent="0.25">
      <c r="A201" s="2" t="s">
        <v>730</v>
      </c>
      <c r="B201" s="2">
        <f>INDEX('炮解锁|CannonUnlock'!A:A,MATCH(MAX('炮解锁|CannonUnlock'!A:A),'炮解锁|CannonUnlock'!A:A,),1)</f>
        <v>500000</v>
      </c>
      <c r="D201" s="2" t="s">
        <v>731</v>
      </c>
    </row>
    <row r="202" spans="1:14" x14ac:dyDescent="0.25">
      <c r="A202" s="2" t="s">
        <v>732</v>
      </c>
      <c r="B202" s="38" t="s">
        <v>733</v>
      </c>
      <c r="C202" s="14" t="s">
        <v>424</v>
      </c>
      <c r="D202" s="2" t="s">
        <v>734</v>
      </c>
      <c r="E202" s="14" t="s">
        <v>314</v>
      </c>
      <c r="K202" s="2" t="s">
        <v>735</v>
      </c>
      <c r="L202" s="2" t="s">
        <v>736</v>
      </c>
      <c r="M202" s="2" t="s">
        <v>737</v>
      </c>
      <c r="N202" s="2" t="s">
        <v>738</v>
      </c>
    </row>
    <row r="203" spans="1:14" x14ac:dyDescent="0.25">
      <c r="A203" s="2" t="s">
        <v>739</v>
      </c>
      <c r="B203" s="38" t="s">
        <v>740</v>
      </c>
      <c r="C203" s="14" t="s">
        <v>424</v>
      </c>
      <c r="D203" s="2" t="s">
        <v>741</v>
      </c>
      <c r="E203" s="14" t="s">
        <v>314</v>
      </c>
      <c r="K203" s="76">
        <v>0.1</v>
      </c>
      <c r="L203" s="76">
        <v>1</v>
      </c>
      <c r="M203" s="167">
        <f>K203*L203*2+K203*(1-L203)</f>
        <v>0.2</v>
      </c>
      <c r="N203" s="167">
        <f>K203*L203*3+K203*(1-L203)</f>
        <v>0.30000000000000004</v>
      </c>
    </row>
    <row r="204" spans="1:14" x14ac:dyDescent="0.25">
      <c r="A204" s="2" t="s">
        <v>742</v>
      </c>
      <c r="B204" s="38" t="s">
        <v>743</v>
      </c>
      <c r="D204" s="2" t="s">
        <v>744</v>
      </c>
      <c r="K204" s="76">
        <v>0.2</v>
      </c>
      <c r="L204" s="76">
        <v>0.9</v>
      </c>
      <c r="M204" s="167">
        <f t="shared" ref="M204:M215" si="3">K204*L204*2+K204*(1-L204)</f>
        <v>0.38000000000000006</v>
      </c>
      <c r="N204" s="167">
        <f t="shared" ref="N204:N215" si="4">K204*L204*3+K204*(1-L204)</f>
        <v>0.56000000000000005</v>
      </c>
    </row>
    <row r="205" spans="1:14" x14ac:dyDescent="0.25">
      <c r="A205" s="2" t="s">
        <v>745</v>
      </c>
      <c r="B205" s="38" t="s">
        <v>581</v>
      </c>
      <c r="D205" s="2" t="s">
        <v>746</v>
      </c>
      <c r="K205" s="76">
        <v>0.3</v>
      </c>
      <c r="L205" s="76">
        <v>0.8</v>
      </c>
      <c r="M205" s="167">
        <f t="shared" si="3"/>
        <v>0.53999999999999992</v>
      </c>
      <c r="N205" s="167">
        <f t="shared" si="4"/>
        <v>0.77999999999999992</v>
      </c>
    </row>
    <row r="206" spans="1:14" x14ac:dyDescent="0.25">
      <c r="A206" s="2" t="s">
        <v>747</v>
      </c>
      <c r="B206" s="38" t="s">
        <v>502</v>
      </c>
      <c r="D206" s="2" t="s">
        <v>748</v>
      </c>
      <c r="K206" s="76">
        <v>0.4</v>
      </c>
      <c r="L206" s="76">
        <v>0.7</v>
      </c>
      <c r="M206" s="167">
        <f t="shared" si="3"/>
        <v>0.67999999999999994</v>
      </c>
      <c r="N206" s="167">
        <f t="shared" si="4"/>
        <v>0.95999999999999985</v>
      </c>
    </row>
    <row r="207" spans="1:14" x14ac:dyDescent="0.25">
      <c r="A207" s="2" t="s">
        <v>749</v>
      </c>
      <c r="B207" s="38" t="s">
        <v>471</v>
      </c>
      <c r="D207" s="2" t="s">
        <v>750</v>
      </c>
      <c r="K207" s="76">
        <v>0.5</v>
      </c>
      <c r="L207" s="76">
        <v>0.6</v>
      </c>
      <c r="M207" s="167">
        <f t="shared" si="3"/>
        <v>0.8</v>
      </c>
      <c r="N207" s="167">
        <f t="shared" si="4"/>
        <v>1.0999999999999999</v>
      </c>
    </row>
    <row r="208" spans="1:14" x14ac:dyDescent="0.25">
      <c r="A208" s="2" t="s">
        <v>751</v>
      </c>
      <c r="B208" s="38" t="s">
        <v>331</v>
      </c>
      <c r="D208" s="2" t="s">
        <v>752</v>
      </c>
      <c r="K208" s="76">
        <v>0.6</v>
      </c>
      <c r="L208" s="76">
        <v>0.5</v>
      </c>
      <c r="M208" s="167">
        <f t="shared" si="3"/>
        <v>0.89999999999999991</v>
      </c>
      <c r="N208" s="167">
        <f t="shared" si="4"/>
        <v>1.2</v>
      </c>
    </row>
    <row r="209" spans="1:14" ht="16.2" x14ac:dyDescent="0.25">
      <c r="A209" s="2" t="s">
        <v>753</v>
      </c>
      <c r="B209" s="126">
        <v>86400</v>
      </c>
      <c r="D209" s="2" t="s">
        <v>754</v>
      </c>
      <c r="E209" s="2">
        <f>60*60*24</f>
        <v>86400</v>
      </c>
      <c r="K209" s="76">
        <v>0.7</v>
      </c>
      <c r="L209" s="76">
        <v>0.4</v>
      </c>
      <c r="M209" s="167">
        <f t="shared" si="3"/>
        <v>0.98</v>
      </c>
      <c r="N209" s="167">
        <f t="shared" si="4"/>
        <v>1.2599999999999998</v>
      </c>
    </row>
    <row r="210" spans="1:14" x14ac:dyDescent="0.25">
      <c r="A210" s="2" t="s">
        <v>755</v>
      </c>
      <c r="B210" s="38" t="s">
        <v>362</v>
      </c>
      <c r="D210" s="2" t="s">
        <v>756</v>
      </c>
      <c r="K210" s="76">
        <v>0.8</v>
      </c>
      <c r="L210" s="76">
        <v>0.3</v>
      </c>
      <c r="M210" s="167">
        <f t="shared" si="3"/>
        <v>1.04</v>
      </c>
      <c r="N210" s="167">
        <f t="shared" si="4"/>
        <v>1.2799999999999998</v>
      </c>
    </row>
    <row r="211" spans="1:14" x14ac:dyDescent="0.25">
      <c r="A211" s="2" t="s">
        <v>757</v>
      </c>
      <c r="B211" s="38" t="s">
        <v>468</v>
      </c>
      <c r="D211" s="2" t="s">
        <v>758</v>
      </c>
      <c r="K211" s="76">
        <v>0.9</v>
      </c>
      <c r="L211" s="76">
        <v>0.2</v>
      </c>
      <c r="M211" s="167">
        <f t="shared" si="3"/>
        <v>1.08</v>
      </c>
      <c r="N211" s="167">
        <f t="shared" si="4"/>
        <v>1.2600000000000002</v>
      </c>
    </row>
    <row r="212" spans="1:14" x14ac:dyDescent="0.25">
      <c r="A212" s="2" t="s">
        <v>759</v>
      </c>
      <c r="B212" s="38" t="s">
        <v>362</v>
      </c>
      <c r="D212" s="2" t="s">
        <v>760</v>
      </c>
      <c r="K212" s="76">
        <v>1</v>
      </c>
      <c r="L212" s="76">
        <v>0.1</v>
      </c>
      <c r="M212" s="167">
        <f t="shared" si="3"/>
        <v>1.1000000000000001</v>
      </c>
      <c r="N212" s="167">
        <f t="shared" si="4"/>
        <v>1.2000000000000002</v>
      </c>
    </row>
    <row r="213" spans="1:14" x14ac:dyDescent="0.35">
      <c r="A213" s="2" t="s">
        <v>761</v>
      </c>
      <c r="B213" s="24">
        <v>10</v>
      </c>
      <c r="C213" s="14" t="s">
        <v>424</v>
      </c>
      <c r="D213" s="2" t="s">
        <v>762</v>
      </c>
      <c r="K213" s="76">
        <v>1.1000000000000001</v>
      </c>
      <c r="L213" s="76">
        <v>0</v>
      </c>
      <c r="M213" s="167">
        <f t="shared" si="3"/>
        <v>1.1000000000000001</v>
      </c>
      <c r="N213" s="167">
        <f t="shared" si="4"/>
        <v>1.1000000000000001</v>
      </c>
    </row>
    <row r="214" spans="1:14" x14ac:dyDescent="0.25">
      <c r="A214" s="2" t="s">
        <v>763</v>
      </c>
      <c r="B214" s="38" t="s">
        <v>553</v>
      </c>
      <c r="D214" s="2" t="s">
        <v>764</v>
      </c>
      <c r="K214" s="76">
        <v>1.2</v>
      </c>
      <c r="L214" s="76">
        <v>0</v>
      </c>
      <c r="M214" s="167">
        <f t="shared" si="3"/>
        <v>1.2</v>
      </c>
      <c r="N214" s="167">
        <f t="shared" si="4"/>
        <v>1.2</v>
      </c>
    </row>
    <row r="215" spans="1:14" x14ac:dyDescent="0.25">
      <c r="A215" s="2" t="s">
        <v>765</v>
      </c>
      <c r="B215" s="38" t="s">
        <v>515</v>
      </c>
      <c r="D215" s="2" t="s">
        <v>766</v>
      </c>
      <c r="K215" s="76">
        <v>1.3</v>
      </c>
      <c r="L215" s="76">
        <v>0</v>
      </c>
      <c r="M215" s="167">
        <f t="shared" si="3"/>
        <v>1.3</v>
      </c>
      <c r="N215" s="167">
        <f t="shared" si="4"/>
        <v>1.3</v>
      </c>
    </row>
    <row r="216" spans="1:14" x14ac:dyDescent="0.25">
      <c r="A216" s="2" t="s">
        <v>767</v>
      </c>
      <c r="B216" s="79">
        <f>10*60</f>
        <v>600</v>
      </c>
      <c r="D216" s="2" t="s">
        <v>768</v>
      </c>
    </row>
    <row r="217" spans="1:14" ht="16.2" x14ac:dyDescent="0.25">
      <c r="A217" s="2" t="s">
        <v>769</v>
      </c>
      <c r="B217" s="104" t="s">
        <v>770</v>
      </c>
      <c r="D217" s="2" t="s">
        <v>771</v>
      </c>
    </row>
    <row r="218" spans="1:14" x14ac:dyDescent="0.25">
      <c r="A218" s="2" t="s">
        <v>772</v>
      </c>
      <c r="B218" s="38" t="s">
        <v>651</v>
      </c>
      <c r="D218" s="2" t="s">
        <v>773</v>
      </c>
    </row>
    <row r="219" spans="1:14" x14ac:dyDescent="0.25">
      <c r="A219" s="2" t="s">
        <v>774</v>
      </c>
      <c r="B219" s="38" t="s">
        <v>528</v>
      </c>
      <c r="D219" s="2" t="s">
        <v>775</v>
      </c>
    </row>
    <row r="220" spans="1:14" ht="16.2" x14ac:dyDescent="0.25">
      <c r="A220" s="2" t="s">
        <v>776</v>
      </c>
      <c r="B220" s="41">
        <v>15</v>
      </c>
      <c r="D220" s="2" t="s">
        <v>777</v>
      </c>
      <c r="E220" s="41">
        <v>15</v>
      </c>
    </row>
    <row r="221" spans="1:14" x14ac:dyDescent="0.25">
      <c r="A221" s="2" t="s">
        <v>778</v>
      </c>
      <c r="B221" s="38" t="s">
        <v>528</v>
      </c>
      <c r="D221" s="2" t="s">
        <v>779</v>
      </c>
    </row>
    <row r="222" spans="1:14" x14ac:dyDescent="0.25">
      <c r="A222" s="2" t="s">
        <v>780</v>
      </c>
      <c r="B222" s="38" t="s">
        <v>502</v>
      </c>
      <c r="D222" s="2" t="s">
        <v>781</v>
      </c>
    </row>
    <row r="223" spans="1:14" x14ac:dyDescent="0.25">
      <c r="A223" s="2" t="s">
        <v>782</v>
      </c>
      <c r="B223" s="163" t="s">
        <v>331</v>
      </c>
      <c r="C223" s="14" t="s">
        <v>424</v>
      </c>
      <c r="D223" s="2" t="s">
        <v>783</v>
      </c>
      <c r="E223" s="14"/>
    </row>
    <row r="224" spans="1:14" ht="16.2" x14ac:dyDescent="0.25">
      <c r="A224" s="2" t="s">
        <v>784</v>
      </c>
      <c r="B224" s="163" t="s">
        <v>785</v>
      </c>
      <c r="C224" s="14" t="s">
        <v>424</v>
      </c>
      <c r="D224" s="102" t="s">
        <v>786</v>
      </c>
      <c r="E224" s="14"/>
    </row>
    <row r="225" spans="1:5" x14ac:dyDescent="0.25">
      <c r="A225" s="2" t="s">
        <v>787</v>
      </c>
      <c r="B225" s="163" t="s">
        <v>788</v>
      </c>
      <c r="C225" s="14" t="s">
        <v>424</v>
      </c>
      <c r="D225" s="2" t="s">
        <v>789</v>
      </c>
      <c r="E225" s="14"/>
    </row>
    <row r="226" spans="1:5" ht="16.2" x14ac:dyDescent="0.25">
      <c r="A226" s="2" t="s">
        <v>790</v>
      </c>
      <c r="B226" s="164" t="s">
        <v>791</v>
      </c>
      <c r="C226" s="14" t="s">
        <v>424</v>
      </c>
      <c r="D226" s="2" t="s">
        <v>792</v>
      </c>
      <c r="E226" s="14"/>
    </row>
    <row r="227" spans="1:5" x14ac:dyDescent="0.25">
      <c r="A227" s="2" t="s">
        <v>793</v>
      </c>
      <c r="B227" s="163" t="s">
        <v>342</v>
      </c>
      <c r="C227" s="14" t="s">
        <v>424</v>
      </c>
      <c r="D227" s="2" t="s">
        <v>794</v>
      </c>
      <c r="E227" s="14"/>
    </row>
    <row r="228" spans="1:5" ht="16.2" x14ac:dyDescent="0.25">
      <c r="A228" s="2" t="s">
        <v>795</v>
      </c>
      <c r="B228" s="163" t="s">
        <v>796</v>
      </c>
      <c r="C228" s="14" t="s">
        <v>424</v>
      </c>
      <c r="D228" s="2" t="s">
        <v>797</v>
      </c>
      <c r="E228" s="14"/>
    </row>
    <row r="229" spans="1:5" x14ac:dyDescent="0.25">
      <c r="A229" s="2" t="s">
        <v>798</v>
      </c>
      <c r="B229" s="163" t="s">
        <v>515</v>
      </c>
      <c r="C229" s="14" t="s">
        <v>424</v>
      </c>
      <c r="D229" s="2" t="s">
        <v>799</v>
      </c>
      <c r="E229" s="14"/>
    </row>
    <row r="230" spans="1:5" ht="16.2" x14ac:dyDescent="0.25">
      <c r="A230" s="2" t="s">
        <v>800</v>
      </c>
      <c r="B230" s="163" t="s">
        <v>801</v>
      </c>
      <c r="C230" s="14" t="s">
        <v>424</v>
      </c>
      <c r="D230" s="2" t="s">
        <v>802</v>
      </c>
      <c r="E230" s="14"/>
    </row>
    <row r="231" spans="1:5" x14ac:dyDescent="0.25">
      <c r="A231" s="2" t="s">
        <v>803</v>
      </c>
      <c r="B231" s="163" t="s">
        <v>515</v>
      </c>
      <c r="C231" s="14" t="s">
        <v>424</v>
      </c>
      <c r="D231" s="2" t="s">
        <v>804</v>
      </c>
      <c r="E231" s="14"/>
    </row>
    <row r="232" spans="1:5" ht="16.2" x14ac:dyDescent="0.25">
      <c r="A232" s="2" t="s">
        <v>805</v>
      </c>
      <c r="B232" s="163" t="s">
        <v>806</v>
      </c>
      <c r="C232" s="14" t="s">
        <v>424</v>
      </c>
      <c r="D232" s="2" t="s">
        <v>807</v>
      </c>
      <c r="E232" s="14"/>
    </row>
    <row r="233" spans="1:5" x14ac:dyDescent="0.25">
      <c r="A233" s="2" t="s">
        <v>808</v>
      </c>
      <c r="B233" s="163" t="s">
        <v>809</v>
      </c>
      <c r="C233" s="14" t="s">
        <v>424</v>
      </c>
      <c r="D233" s="2" t="s">
        <v>810</v>
      </c>
      <c r="E233" s="14"/>
    </row>
    <row r="234" spans="1:5" x14ac:dyDescent="0.25">
      <c r="A234" s="2" t="s">
        <v>811</v>
      </c>
      <c r="B234" s="163" t="s">
        <v>812</v>
      </c>
      <c r="C234" s="14" t="s">
        <v>424</v>
      </c>
      <c r="D234" s="2" t="s">
        <v>813</v>
      </c>
      <c r="E234" s="14"/>
    </row>
    <row r="235" spans="1:5" x14ac:dyDescent="0.25">
      <c r="A235" s="2" t="s">
        <v>814</v>
      </c>
      <c r="B235" s="38" t="s">
        <v>815</v>
      </c>
      <c r="D235" s="2" t="s">
        <v>816</v>
      </c>
    </row>
    <row r="236" spans="1:5" x14ac:dyDescent="0.25">
      <c r="A236" s="2" t="s">
        <v>817</v>
      </c>
      <c r="B236" s="38" t="s">
        <v>692</v>
      </c>
      <c r="C236" s="14" t="s">
        <v>424</v>
      </c>
      <c r="D236" s="2" t="s">
        <v>818</v>
      </c>
    </row>
    <row r="237" spans="1:5" x14ac:dyDescent="0.25">
      <c r="A237" s="2" t="s">
        <v>819</v>
      </c>
      <c r="B237" s="38" t="s">
        <v>820</v>
      </c>
      <c r="D237" s="2" t="s">
        <v>821</v>
      </c>
    </row>
    <row r="238" spans="1:5" x14ac:dyDescent="0.25">
      <c r="A238" s="2" t="s">
        <v>822</v>
      </c>
      <c r="B238" s="38" t="s">
        <v>823</v>
      </c>
      <c r="D238" s="2" t="s">
        <v>824</v>
      </c>
    </row>
    <row r="239" spans="1:5" x14ac:dyDescent="0.25">
      <c r="A239" s="2" t="s">
        <v>825</v>
      </c>
      <c r="B239" s="38" t="s">
        <v>368</v>
      </c>
      <c r="D239" s="2" t="s">
        <v>826</v>
      </c>
    </row>
    <row r="240" spans="1:5" x14ac:dyDescent="0.25">
      <c r="A240" s="2" t="s">
        <v>827</v>
      </c>
      <c r="B240" s="38" t="s">
        <v>515</v>
      </c>
      <c r="D240" s="2" t="s">
        <v>828</v>
      </c>
    </row>
    <row r="241" spans="1:17" x14ac:dyDescent="0.25">
      <c r="A241" s="2" t="s">
        <v>829</v>
      </c>
      <c r="B241" s="38" t="s">
        <v>830</v>
      </c>
      <c r="D241" s="2" t="s">
        <v>831</v>
      </c>
    </row>
    <row r="242" spans="1:17" x14ac:dyDescent="0.25">
      <c r="A242" s="2" t="s">
        <v>832</v>
      </c>
      <c r="B242" s="165" t="s">
        <v>833</v>
      </c>
      <c r="D242" s="2" t="s">
        <v>834</v>
      </c>
    </row>
    <row r="243" spans="1:17" x14ac:dyDescent="0.25">
      <c r="A243" s="2" t="s">
        <v>835</v>
      </c>
      <c r="B243" s="165" t="s">
        <v>836</v>
      </c>
      <c r="C243" s="14" t="s">
        <v>424</v>
      </c>
      <c r="D243" s="2" t="s">
        <v>837</v>
      </c>
    </row>
    <row r="244" spans="1:17" x14ac:dyDescent="0.25">
      <c r="A244" s="2" t="s">
        <v>838</v>
      </c>
      <c r="B244" s="79">
        <v>5000</v>
      </c>
      <c r="C244" s="14" t="s">
        <v>424</v>
      </c>
      <c r="D244" s="2" t="s">
        <v>839</v>
      </c>
    </row>
    <row r="245" spans="1:17" x14ac:dyDescent="0.25">
      <c r="A245" s="2" t="s">
        <v>840</v>
      </c>
      <c r="B245" s="38" t="s">
        <v>556</v>
      </c>
      <c r="D245" s="2" t="s">
        <v>841</v>
      </c>
    </row>
    <row r="246" spans="1:17" x14ac:dyDescent="0.25">
      <c r="A246" s="2" t="s">
        <v>842</v>
      </c>
      <c r="B246" s="38" t="s">
        <v>502</v>
      </c>
      <c r="D246" s="2" t="s">
        <v>843</v>
      </c>
    </row>
    <row r="247" spans="1:17" x14ac:dyDescent="0.25">
      <c r="A247" s="2" t="s">
        <v>844</v>
      </c>
      <c r="B247" s="38" t="s">
        <v>845</v>
      </c>
      <c r="D247" s="2" t="s">
        <v>846</v>
      </c>
    </row>
    <row r="248" spans="1:17" x14ac:dyDescent="0.25">
      <c r="A248" s="2" t="s">
        <v>847</v>
      </c>
      <c r="B248" s="38" t="s">
        <v>848</v>
      </c>
      <c r="D248" s="2" t="s">
        <v>849</v>
      </c>
    </row>
    <row r="249" spans="1:17" x14ac:dyDescent="0.25">
      <c r="A249" s="2" t="s">
        <v>850</v>
      </c>
      <c r="B249" s="38" t="s">
        <v>452</v>
      </c>
      <c r="D249" s="2" t="s">
        <v>851</v>
      </c>
    </row>
    <row r="250" spans="1:17" x14ac:dyDescent="0.25">
      <c r="A250" s="2" t="s">
        <v>852</v>
      </c>
      <c r="B250" s="38" t="s">
        <v>342</v>
      </c>
      <c r="D250" s="2" t="s">
        <v>853</v>
      </c>
    </row>
    <row r="251" spans="1:17" x14ac:dyDescent="0.25">
      <c r="A251" s="2" t="s">
        <v>854</v>
      </c>
      <c r="B251" s="38" t="s">
        <v>855</v>
      </c>
      <c r="D251" s="2" t="s">
        <v>853</v>
      </c>
    </row>
    <row r="252" spans="1:17" ht="16.2" x14ac:dyDescent="0.25">
      <c r="A252" s="49" t="s">
        <v>856</v>
      </c>
      <c r="B252" s="38" t="s">
        <v>452</v>
      </c>
      <c r="D252" s="2" t="s">
        <v>857</v>
      </c>
      <c r="L252" s="125"/>
      <c r="M252" s="125"/>
      <c r="N252" s="125"/>
      <c r="O252" s="125"/>
      <c r="P252" s="125"/>
      <c r="Q252" s="125"/>
    </row>
    <row r="253" spans="1:17" ht="16.2" x14ac:dyDescent="0.25">
      <c r="A253" s="49" t="s">
        <v>858</v>
      </c>
      <c r="B253" s="166">
        <v>2000</v>
      </c>
      <c r="D253" s="2" t="s">
        <v>859</v>
      </c>
      <c r="L253" s="125"/>
      <c r="M253" s="125"/>
      <c r="N253" s="125"/>
      <c r="O253" s="125"/>
      <c r="P253" s="125"/>
      <c r="Q253" s="125"/>
    </row>
    <row r="254" spans="1:17" ht="16.2" x14ac:dyDescent="0.25">
      <c r="A254" s="49" t="s">
        <v>860</v>
      </c>
      <c r="B254" s="166">
        <f>B253*9</f>
        <v>18000</v>
      </c>
      <c r="D254" s="2" t="s">
        <v>859</v>
      </c>
      <c r="G254" s="2" t="s">
        <v>861</v>
      </c>
      <c r="L254" s="125"/>
      <c r="M254" s="125"/>
      <c r="N254" s="125"/>
      <c r="O254" s="125"/>
      <c r="P254" s="125"/>
      <c r="Q254" s="125"/>
    </row>
    <row r="255" spans="1:17" x14ac:dyDescent="0.25">
      <c r="A255" s="2" t="s">
        <v>862</v>
      </c>
      <c r="B255" s="38" t="s">
        <v>863</v>
      </c>
      <c r="D255" s="2" t="s">
        <v>864</v>
      </c>
      <c r="L255" s="38"/>
    </row>
    <row r="256" spans="1:17" x14ac:dyDescent="0.25">
      <c r="A256" s="2" t="s">
        <v>865</v>
      </c>
      <c r="B256" s="38" t="s">
        <v>866</v>
      </c>
      <c r="C256" s="14" t="s">
        <v>424</v>
      </c>
      <c r="D256" s="2" t="s">
        <v>867</v>
      </c>
    </row>
    <row r="257" spans="1:24" x14ac:dyDescent="0.25">
      <c r="A257" s="2" t="s">
        <v>868</v>
      </c>
      <c r="B257" s="79">
        <f>8*60*60*6*7</f>
        <v>1209600</v>
      </c>
      <c r="D257" s="2" t="s">
        <v>869</v>
      </c>
    </row>
    <row r="258" spans="1:24" x14ac:dyDescent="0.25">
      <c r="A258" s="2" t="s">
        <v>870</v>
      </c>
      <c r="B258" s="38" t="s">
        <v>452</v>
      </c>
      <c r="D258" s="2" t="s">
        <v>871</v>
      </c>
    </row>
    <row r="259" spans="1:24" x14ac:dyDescent="0.25">
      <c r="A259" s="2" t="s">
        <v>872</v>
      </c>
      <c r="B259" s="79">
        <f>5%*1000</f>
        <v>50</v>
      </c>
      <c r="D259" s="2" t="s">
        <v>873</v>
      </c>
    </row>
    <row r="260" spans="1:24" x14ac:dyDescent="0.25">
      <c r="A260" s="2" t="s">
        <v>874</v>
      </c>
      <c r="B260" s="38" t="s">
        <v>875</v>
      </c>
      <c r="D260" s="2" t="s">
        <v>876</v>
      </c>
    </row>
    <row r="261" spans="1:24" x14ac:dyDescent="0.25">
      <c r="A261" s="2" t="s">
        <v>877</v>
      </c>
      <c r="B261" s="38" t="s">
        <v>878</v>
      </c>
      <c r="D261" s="2" t="s">
        <v>879</v>
      </c>
    </row>
    <row r="262" spans="1:24" x14ac:dyDescent="0.25">
      <c r="A262" s="2" t="s">
        <v>880</v>
      </c>
      <c r="B262" s="38" t="s">
        <v>881</v>
      </c>
      <c r="D262" s="2" t="s">
        <v>882</v>
      </c>
    </row>
    <row r="263" spans="1:24" x14ac:dyDescent="0.25">
      <c r="A263" s="2" t="s">
        <v>883</v>
      </c>
      <c r="B263" s="38" t="s">
        <v>590</v>
      </c>
      <c r="C263" s="14" t="s">
        <v>424</v>
      </c>
      <c r="D263" s="2" t="s">
        <v>884</v>
      </c>
    </row>
    <row r="264" spans="1:24" x14ac:dyDescent="0.25">
      <c r="A264" s="2" t="s">
        <v>885</v>
      </c>
      <c r="B264" s="79">
        <f>50%*10000</f>
        <v>5000</v>
      </c>
      <c r="C264" s="14" t="s">
        <v>424</v>
      </c>
      <c r="D264" s="2" t="s">
        <v>886</v>
      </c>
    </row>
    <row r="265" spans="1:24" x14ac:dyDescent="0.25">
      <c r="A265" s="2" t="s">
        <v>887</v>
      </c>
      <c r="B265" s="79">
        <f>2%*10000</f>
        <v>200</v>
      </c>
      <c r="C265" s="14" t="s">
        <v>424</v>
      </c>
      <c r="D265" s="2" t="s">
        <v>888</v>
      </c>
      <c r="K265" s="116"/>
      <c r="L265" s="117"/>
      <c r="M265" s="117"/>
      <c r="N265" s="117"/>
      <c r="O265" s="117"/>
      <c r="P265" s="117"/>
      <c r="Q265" s="117"/>
      <c r="R265" s="117"/>
      <c r="S265" s="117" t="s">
        <v>889</v>
      </c>
      <c r="T265" s="187">
        <v>25000000</v>
      </c>
      <c r="U265" s="187"/>
      <c r="V265" s="117"/>
      <c r="W265" s="117"/>
      <c r="X265" s="118"/>
    </row>
    <row r="266" spans="1:24" ht="16.2" x14ac:dyDescent="0.25">
      <c r="A266" s="2" t="s">
        <v>890</v>
      </c>
      <c r="B266" s="79">
        <f>648*10*100000</f>
        <v>648000000</v>
      </c>
      <c r="D266" s="2" t="s">
        <v>891</v>
      </c>
      <c r="K266" s="119"/>
      <c r="L266" s="120"/>
      <c r="M266" s="120"/>
      <c r="N266" s="120"/>
      <c r="O266" s="120"/>
      <c r="P266" s="120"/>
      <c r="Q266" s="120"/>
      <c r="R266" s="120"/>
      <c r="S266" s="188" t="s">
        <v>892</v>
      </c>
      <c r="T266" s="189">
        <f>'道具|Item'!E38</f>
        <v>100000</v>
      </c>
      <c r="U266" s="190" t="s">
        <v>893</v>
      </c>
      <c r="V266" s="120"/>
      <c r="W266" s="120"/>
      <c r="X266" s="121"/>
    </row>
    <row r="267" spans="1:24" x14ac:dyDescent="0.25">
      <c r="A267" s="2" t="s">
        <v>894</v>
      </c>
      <c r="B267" s="79">
        <f>T265</f>
        <v>25000000</v>
      </c>
      <c r="D267" s="2" t="s">
        <v>889</v>
      </c>
      <c r="E267" s="168"/>
      <c r="F267" s="169"/>
      <c r="G267" s="169"/>
      <c r="H267" s="1"/>
      <c r="K267" s="119"/>
      <c r="L267" s="120" t="s">
        <v>895</v>
      </c>
      <c r="M267" s="120"/>
      <c r="N267" s="120"/>
      <c r="O267" s="120"/>
      <c r="P267" s="120"/>
      <c r="Q267" s="120"/>
      <c r="R267" s="120"/>
      <c r="S267" s="120" t="s">
        <v>896</v>
      </c>
      <c r="T267" s="120">
        <f>'道具|Item'!V38</f>
        <v>10</v>
      </c>
      <c r="U267" s="120"/>
      <c r="V267" s="120"/>
      <c r="W267" s="188" t="s">
        <v>897</v>
      </c>
      <c r="X267" s="121"/>
    </row>
    <row r="268" spans="1:24" ht="16.2" x14ac:dyDescent="0.25">
      <c r="A268" s="2" t="s">
        <v>898</v>
      </c>
      <c r="B268" s="38" t="s">
        <v>899</v>
      </c>
      <c r="D268" s="2" t="s">
        <v>900</v>
      </c>
      <c r="K268" s="119"/>
      <c r="L268" s="177" t="s">
        <v>901</v>
      </c>
      <c r="M268" s="177"/>
      <c r="N268" s="177"/>
      <c r="O268" s="177" t="s">
        <v>902</v>
      </c>
      <c r="P268" s="177"/>
      <c r="Q268" s="177"/>
      <c r="R268" s="120"/>
      <c r="S268" s="120"/>
      <c r="T268" s="191" t="s">
        <v>903</v>
      </c>
      <c r="U268" s="191" t="s">
        <v>904</v>
      </c>
      <c r="V268" s="120" t="s">
        <v>138</v>
      </c>
      <c r="W268" s="189" t="s">
        <v>905</v>
      </c>
      <c r="X268" s="192" t="s">
        <v>906</v>
      </c>
    </row>
    <row r="269" spans="1:24" ht="16.2" x14ac:dyDescent="0.35">
      <c r="A269" s="2" t="s">
        <v>907</v>
      </c>
      <c r="B269" s="31" t="str">
        <f>"[["&amp;L270&amp;","&amp;M270&amp;"]]"</f>
        <v>[[57500,67500]]</v>
      </c>
      <c r="D269" s="2" t="s">
        <v>908</v>
      </c>
      <c r="K269" s="178" t="s">
        <v>909</v>
      </c>
      <c r="L269" s="179" t="s">
        <v>910</v>
      </c>
      <c r="M269" s="179" t="s">
        <v>911</v>
      </c>
      <c r="N269" s="179" t="s">
        <v>912</v>
      </c>
      <c r="O269" s="180" t="s">
        <v>910</v>
      </c>
      <c r="P269" s="180" t="s">
        <v>911</v>
      </c>
      <c r="Q269" s="180" t="s">
        <v>912</v>
      </c>
      <c r="R269" s="120"/>
      <c r="S269" s="191" t="s">
        <v>901</v>
      </c>
      <c r="T269" s="120">
        <f>$T$265/N270</f>
        <v>400</v>
      </c>
      <c r="U269" s="120">
        <f>T269*T267</f>
        <v>4000</v>
      </c>
      <c r="V269" s="120">
        <f>T269*$T$266</f>
        <v>40000000</v>
      </c>
      <c r="W269" s="355">
        <v>5000000</v>
      </c>
      <c r="X269" s="193">
        <f>W269/V269</f>
        <v>0.125</v>
      </c>
    </row>
    <row r="270" spans="1:24" ht="16.2" x14ac:dyDescent="0.35">
      <c r="A270" s="2" t="s">
        <v>913</v>
      </c>
      <c r="B270" s="31" t="str">
        <f>"[["&amp;O270&amp;","&amp;P270&amp;"]]"</f>
        <v>[[575000,675000]]</v>
      </c>
      <c r="D270" s="2" t="s">
        <v>914</v>
      </c>
      <c r="K270" s="122">
        <v>1</v>
      </c>
      <c r="L270" s="181">
        <v>57500</v>
      </c>
      <c r="M270" s="181">
        <v>67500</v>
      </c>
      <c r="N270" s="181">
        <f>AVERAGE(L270:M270)</f>
        <v>62500</v>
      </c>
      <c r="O270" s="181">
        <f>L270*10</f>
        <v>575000</v>
      </c>
      <c r="P270" s="181">
        <f>M270*10</f>
        <v>675000</v>
      </c>
      <c r="Q270" s="181">
        <f>AVERAGE(O270:P270)</f>
        <v>625000</v>
      </c>
      <c r="R270" s="123"/>
      <c r="S270" s="194" t="s">
        <v>902</v>
      </c>
      <c r="T270" s="123">
        <f>$T$265/Q270</f>
        <v>40</v>
      </c>
      <c r="U270" s="123">
        <f>T270*T267*10*0.9</f>
        <v>3600</v>
      </c>
      <c r="V270" s="123">
        <f>T270*$T$266*10*0.9</f>
        <v>36000000</v>
      </c>
      <c r="W270" s="356"/>
      <c r="X270" s="195">
        <f>W269/V270</f>
        <v>0.1388888888888889</v>
      </c>
    </row>
    <row r="271" spans="1:24" x14ac:dyDescent="0.25">
      <c r="A271" s="2" t="s">
        <v>915</v>
      </c>
      <c r="B271" s="38" t="s">
        <v>916</v>
      </c>
      <c r="D271" s="2" t="s">
        <v>917</v>
      </c>
      <c r="L271" s="125"/>
      <c r="M271" s="125"/>
      <c r="N271" s="125"/>
      <c r="O271" s="125"/>
      <c r="P271" s="125"/>
      <c r="Q271" s="125"/>
    </row>
    <row r="272" spans="1:24" x14ac:dyDescent="0.25">
      <c r="A272" s="2" t="s">
        <v>918</v>
      </c>
      <c r="B272" s="38" t="s">
        <v>590</v>
      </c>
      <c r="D272" s="2" t="s">
        <v>919</v>
      </c>
      <c r="L272" s="125"/>
      <c r="M272" s="125"/>
      <c r="N272" s="125"/>
      <c r="O272" s="125"/>
      <c r="P272" s="125"/>
      <c r="Q272" s="125"/>
    </row>
    <row r="273" spans="1:17" x14ac:dyDescent="0.25">
      <c r="A273" s="2" t="s">
        <v>920</v>
      </c>
      <c r="B273" s="38" t="s">
        <v>921</v>
      </c>
      <c r="D273" s="2" t="s">
        <v>922</v>
      </c>
      <c r="L273" s="125"/>
      <c r="M273" s="125"/>
      <c r="N273" s="125"/>
      <c r="O273" s="125"/>
      <c r="P273" s="125"/>
      <c r="Q273" s="125"/>
    </row>
    <row r="274" spans="1:17" x14ac:dyDescent="0.25">
      <c r="A274" s="2" t="s">
        <v>923</v>
      </c>
      <c r="B274" s="38" t="s">
        <v>362</v>
      </c>
      <c r="C274" s="125" t="s">
        <v>924</v>
      </c>
      <c r="D274" s="2" t="s">
        <v>925</v>
      </c>
      <c r="L274" s="125"/>
      <c r="M274" s="125"/>
      <c r="N274" s="125"/>
      <c r="O274" s="125"/>
      <c r="P274" s="125"/>
      <c r="Q274" s="125"/>
    </row>
    <row r="275" spans="1:17" x14ac:dyDescent="0.25">
      <c r="A275" s="2" t="s">
        <v>926</v>
      </c>
      <c r="B275" s="38" t="s">
        <v>927</v>
      </c>
      <c r="C275" s="125" t="s">
        <v>928</v>
      </c>
      <c r="L275" s="125"/>
      <c r="M275" s="125"/>
      <c r="N275" s="125"/>
      <c r="O275" s="125"/>
      <c r="P275" s="125"/>
      <c r="Q275" s="125"/>
    </row>
    <row r="276" spans="1:17" ht="16.2" x14ac:dyDescent="0.25">
      <c r="A276" s="2" t="s">
        <v>929</v>
      </c>
      <c r="B276" s="162" t="s">
        <v>621</v>
      </c>
      <c r="D276" s="2" t="s">
        <v>930</v>
      </c>
      <c r="L276" s="125"/>
      <c r="M276" s="125"/>
      <c r="N276" s="125"/>
      <c r="O276" s="125"/>
      <c r="P276" s="125"/>
      <c r="Q276" s="125"/>
    </row>
    <row r="277" spans="1:17" x14ac:dyDescent="0.25">
      <c r="A277" s="2" t="s">
        <v>931</v>
      </c>
      <c r="B277" s="79">
        <v>60</v>
      </c>
      <c r="D277" s="2" t="s">
        <v>932</v>
      </c>
      <c r="L277" s="125"/>
      <c r="M277" s="125"/>
      <c r="N277" s="125"/>
      <c r="O277" s="125"/>
      <c r="P277" s="125"/>
      <c r="Q277" s="125"/>
    </row>
    <row r="278" spans="1:17" ht="16.2" x14ac:dyDescent="0.25">
      <c r="A278" s="41" t="s">
        <v>933</v>
      </c>
      <c r="B278" s="166" t="s">
        <v>934</v>
      </c>
      <c r="D278" s="2" t="s">
        <v>935</v>
      </c>
      <c r="L278" s="125"/>
      <c r="M278" s="125"/>
      <c r="N278" s="125"/>
      <c r="O278" s="125"/>
      <c r="P278" s="125"/>
      <c r="Q278" s="125"/>
    </row>
    <row r="279" spans="1:17" x14ac:dyDescent="0.25">
      <c r="A279" s="2" t="s">
        <v>936</v>
      </c>
      <c r="B279" s="38" t="s">
        <v>515</v>
      </c>
      <c r="D279" s="2" t="s">
        <v>937</v>
      </c>
      <c r="L279" s="125"/>
      <c r="M279" s="125"/>
      <c r="N279" s="125"/>
      <c r="O279" s="125"/>
      <c r="P279" s="125"/>
      <c r="Q279" s="125"/>
    </row>
    <row r="280" spans="1:17" ht="16.2" x14ac:dyDescent="0.25">
      <c r="A280" s="41" t="s">
        <v>938</v>
      </c>
      <c r="B280" s="126" t="s">
        <v>939</v>
      </c>
      <c r="D280" s="2" t="s">
        <v>940</v>
      </c>
      <c r="L280" s="125"/>
      <c r="M280" s="125"/>
      <c r="N280" s="125"/>
      <c r="O280" s="125"/>
      <c r="P280" s="125"/>
      <c r="Q280" s="125"/>
    </row>
    <row r="281" spans="1:17" x14ac:dyDescent="0.25">
      <c r="A281" s="2" t="s">
        <v>941</v>
      </c>
      <c r="B281" s="38" t="s">
        <v>497</v>
      </c>
      <c r="D281" s="2" t="s">
        <v>942</v>
      </c>
      <c r="L281" s="125"/>
      <c r="M281" s="125"/>
      <c r="N281" s="125"/>
      <c r="O281" s="125"/>
      <c r="P281" s="125"/>
      <c r="Q281" s="125"/>
    </row>
    <row r="282" spans="1:17" x14ac:dyDescent="0.25">
      <c r="A282" s="2" t="s">
        <v>943</v>
      </c>
      <c r="B282" s="38" t="s">
        <v>848</v>
      </c>
      <c r="D282" s="2" t="s">
        <v>944</v>
      </c>
    </row>
    <row r="283" spans="1:17" x14ac:dyDescent="0.25">
      <c r="A283" s="2" t="s">
        <v>945</v>
      </c>
      <c r="B283" s="170" t="str">
        <f>"["&amp;J283&amp;","&amp;J284&amp;","&amp;J285&amp;","&amp;J286&amp;","&amp;J287&amp;","&amp;J288&amp;","&amp;J289&amp;","&amp;J290&amp;","&amp;J291&amp;","&amp;J292&amp;","&amp;J293&amp;","&amp;J294&amp;","&amp;J295&amp;","&amp;J296&amp;","&amp;J297&amp;","&amp;J298&amp;","&amp;J299&amp;","&amp;J300&amp;","&amp;J301&amp;","&amp;J302&amp;"]"</f>
        <v>[50,30,50,30,50,30,10,30,50,30,50,0,10,60,10,0,70,10,0,80]</v>
      </c>
      <c r="D283" s="2" t="s">
        <v>946</v>
      </c>
      <c r="I283" s="2">
        <v>1</v>
      </c>
      <c r="J283" s="182">
        <v>50</v>
      </c>
      <c r="K283" s="2">
        <v>1</v>
      </c>
    </row>
    <row r="284" spans="1:17" x14ac:dyDescent="0.25">
      <c r="A284" s="2" t="s">
        <v>947</v>
      </c>
      <c r="B284" s="170" t="str">
        <f>"["&amp;K283&amp;","&amp;K284&amp;","&amp;K285&amp;","&amp;K286&amp;","&amp;K287&amp;","&amp;K288&amp;","&amp;K289&amp;","&amp;K290&amp;","&amp;K291&amp;","&amp;K292&amp;","&amp;K293&amp;","&amp;K294&amp;","&amp;K295&amp;","&amp;K296&amp;","&amp;K297&amp;","&amp;K298&amp;","&amp;K299&amp;","&amp;K300&amp;","&amp;K301&amp;","&amp;K302&amp;"]"</f>
        <v>[1,0,1,0,1,0,1,0,1,0,1,0,1,0,1,0,0,1,0,0]</v>
      </c>
      <c r="D284" s="2" t="s">
        <v>948</v>
      </c>
      <c r="I284" s="2">
        <v>2</v>
      </c>
      <c r="J284" s="182">
        <v>30</v>
      </c>
      <c r="K284" s="2">
        <v>0</v>
      </c>
    </row>
    <row r="285" spans="1:17" x14ac:dyDescent="0.25">
      <c r="A285" s="2" t="s">
        <v>949</v>
      </c>
      <c r="B285" s="38" t="s">
        <v>950</v>
      </c>
      <c r="D285" s="2" t="s">
        <v>951</v>
      </c>
      <c r="I285" s="2">
        <v>3</v>
      </c>
      <c r="J285" s="2">
        <v>50</v>
      </c>
      <c r="K285" s="2">
        <v>1</v>
      </c>
    </row>
    <row r="286" spans="1:17" ht="16.2" x14ac:dyDescent="0.25">
      <c r="A286" s="2" t="s">
        <v>952</v>
      </c>
      <c r="B286" s="162">
        <v>1250</v>
      </c>
      <c r="D286" s="2" t="s">
        <v>953</v>
      </c>
      <c r="G286" s="2">
        <v>1250</v>
      </c>
      <c r="I286" s="2">
        <v>4</v>
      </c>
      <c r="J286" s="2">
        <v>30</v>
      </c>
      <c r="K286" s="2">
        <v>0</v>
      </c>
    </row>
    <row r="287" spans="1:17" x14ac:dyDescent="0.35">
      <c r="A287" s="24" t="s">
        <v>954</v>
      </c>
      <c r="B287" s="171" t="s">
        <v>955</v>
      </c>
      <c r="D287" s="24" t="s">
        <v>956</v>
      </c>
      <c r="E287" s="24"/>
      <c r="I287" s="2">
        <v>5</v>
      </c>
      <c r="J287" s="2">
        <v>50</v>
      </c>
      <c r="K287" s="2">
        <v>1</v>
      </c>
    </row>
    <row r="288" spans="1:17" x14ac:dyDescent="0.35">
      <c r="A288" s="24" t="s">
        <v>957</v>
      </c>
      <c r="B288" s="172" t="str">
        <f>ROUND(B287*0.95,0)&amp;","&amp;ROUND(B287*1.05,0)</f>
        <v>147250000,162750000</v>
      </c>
      <c r="D288" s="24" t="s">
        <v>958</v>
      </c>
      <c r="E288" s="24"/>
      <c r="I288" s="2">
        <v>6</v>
      </c>
      <c r="J288" s="2">
        <v>30</v>
      </c>
      <c r="K288" s="2">
        <v>0</v>
      </c>
    </row>
    <row r="289" spans="1:11" x14ac:dyDescent="0.35">
      <c r="A289" s="24" t="s">
        <v>959</v>
      </c>
      <c r="B289" s="172" t="str">
        <f>1&amp;","&amp;ROUND(B287*(1/0.72/100000),0)</f>
        <v>1,2153</v>
      </c>
      <c r="D289" s="24" t="s">
        <v>960</v>
      </c>
      <c r="E289" s="24"/>
      <c r="I289" s="2">
        <v>7</v>
      </c>
      <c r="J289" s="182">
        <v>10</v>
      </c>
      <c r="K289" s="2">
        <v>1</v>
      </c>
    </row>
    <row r="290" spans="1:11" x14ac:dyDescent="0.35">
      <c r="A290" s="24" t="s">
        <v>961</v>
      </c>
      <c r="B290" s="173" t="s">
        <v>342</v>
      </c>
      <c r="D290" s="24" t="s">
        <v>962</v>
      </c>
      <c r="E290" s="24"/>
      <c r="I290" s="2">
        <v>8</v>
      </c>
      <c r="J290" s="182">
        <v>30</v>
      </c>
      <c r="K290" s="2">
        <v>0</v>
      </c>
    </row>
    <row r="291" spans="1:11" x14ac:dyDescent="0.35">
      <c r="A291" s="24" t="s">
        <v>963</v>
      </c>
      <c r="B291" s="171" t="s">
        <v>964</v>
      </c>
      <c r="D291" s="24"/>
      <c r="E291" s="24"/>
      <c r="I291" s="2">
        <v>9</v>
      </c>
      <c r="J291" s="182">
        <v>50</v>
      </c>
      <c r="K291" s="2">
        <v>1</v>
      </c>
    </row>
    <row r="292" spans="1:11" x14ac:dyDescent="0.35">
      <c r="A292" s="24" t="s">
        <v>965</v>
      </c>
      <c r="B292" s="173" t="s">
        <v>515</v>
      </c>
      <c r="D292" s="24" t="s">
        <v>966</v>
      </c>
      <c r="E292" s="24"/>
      <c r="I292" s="2">
        <v>10</v>
      </c>
      <c r="J292" s="182">
        <v>30</v>
      </c>
      <c r="K292" s="2">
        <v>0</v>
      </c>
    </row>
    <row r="293" spans="1:11" x14ac:dyDescent="0.35">
      <c r="A293" s="24" t="s">
        <v>967</v>
      </c>
      <c r="B293" s="171" t="s">
        <v>968</v>
      </c>
      <c r="D293" s="24"/>
      <c r="E293" s="24"/>
      <c r="I293" s="2">
        <v>11</v>
      </c>
      <c r="J293" s="182">
        <v>50</v>
      </c>
      <c r="K293" s="2">
        <v>1</v>
      </c>
    </row>
    <row r="294" spans="1:11" x14ac:dyDescent="0.35">
      <c r="A294" s="24" t="s">
        <v>969</v>
      </c>
      <c r="B294" s="173" t="s">
        <v>515</v>
      </c>
      <c r="D294" s="24" t="s">
        <v>970</v>
      </c>
      <c r="E294" s="24"/>
      <c r="I294" s="2">
        <v>12</v>
      </c>
      <c r="J294" s="2">
        <v>0</v>
      </c>
      <c r="K294" s="2">
        <v>0</v>
      </c>
    </row>
    <row r="295" spans="1:11" x14ac:dyDescent="0.35">
      <c r="A295" s="24" t="s">
        <v>971</v>
      </c>
      <c r="B295" s="171" t="s">
        <v>972</v>
      </c>
      <c r="C295" s="24"/>
      <c r="D295" s="24"/>
      <c r="E295" s="24"/>
      <c r="I295" s="2">
        <v>13</v>
      </c>
      <c r="J295" s="2">
        <v>10</v>
      </c>
      <c r="K295" s="2">
        <v>1</v>
      </c>
    </row>
    <row r="296" spans="1:11" x14ac:dyDescent="0.25">
      <c r="A296" s="2" t="s">
        <v>973</v>
      </c>
      <c r="B296" s="38" t="s">
        <v>600</v>
      </c>
      <c r="D296" s="2" t="s">
        <v>974</v>
      </c>
      <c r="I296" s="2">
        <v>14</v>
      </c>
      <c r="J296" s="2">
        <v>60</v>
      </c>
      <c r="K296" s="2">
        <v>0</v>
      </c>
    </row>
    <row r="297" spans="1:11" x14ac:dyDescent="0.25">
      <c r="A297" s="2" t="s">
        <v>975</v>
      </c>
      <c r="B297" s="38" t="s">
        <v>976</v>
      </c>
      <c r="D297" s="2" t="s">
        <v>977</v>
      </c>
      <c r="I297" s="2">
        <v>15</v>
      </c>
      <c r="J297" s="2">
        <v>10</v>
      </c>
      <c r="K297" s="2">
        <v>1</v>
      </c>
    </row>
    <row r="298" spans="1:11" x14ac:dyDescent="0.25">
      <c r="A298" s="2" t="s">
        <v>978</v>
      </c>
      <c r="B298" s="79">
        <v>7200000</v>
      </c>
      <c r="D298" s="2" t="s">
        <v>979</v>
      </c>
      <c r="I298" s="2">
        <v>16</v>
      </c>
      <c r="J298" s="2">
        <v>0</v>
      </c>
      <c r="K298" s="2">
        <v>0</v>
      </c>
    </row>
    <row r="299" spans="1:11" x14ac:dyDescent="0.25">
      <c r="A299" s="2" t="s">
        <v>980</v>
      </c>
      <c r="B299" s="38" t="s">
        <v>981</v>
      </c>
      <c r="C299" s="14"/>
      <c r="D299" s="14" t="s">
        <v>982</v>
      </c>
      <c r="I299" s="2">
        <v>17</v>
      </c>
      <c r="J299" s="2">
        <v>70</v>
      </c>
      <c r="K299" s="2">
        <v>0</v>
      </c>
    </row>
    <row r="300" spans="1:11" x14ac:dyDescent="0.25">
      <c r="A300" s="2" t="s">
        <v>983</v>
      </c>
      <c r="B300" s="38" t="s">
        <v>515</v>
      </c>
      <c r="D300" s="2" t="s">
        <v>984</v>
      </c>
      <c r="I300" s="2">
        <v>18</v>
      </c>
      <c r="J300" s="2">
        <v>10</v>
      </c>
      <c r="K300" s="2">
        <v>1</v>
      </c>
    </row>
    <row r="301" spans="1:11" x14ac:dyDescent="0.25">
      <c r="A301" s="2" t="s">
        <v>985</v>
      </c>
      <c r="B301" s="38" t="s">
        <v>471</v>
      </c>
      <c r="D301" s="2" t="s">
        <v>986</v>
      </c>
      <c r="I301" s="2">
        <v>19</v>
      </c>
      <c r="J301" s="2">
        <v>0</v>
      </c>
      <c r="K301" s="2">
        <v>0</v>
      </c>
    </row>
    <row r="302" spans="1:11" x14ac:dyDescent="0.25">
      <c r="A302" s="2" t="s">
        <v>987</v>
      </c>
      <c r="B302" s="174" t="s">
        <v>988</v>
      </c>
      <c r="C302" s="175" t="s">
        <v>989</v>
      </c>
      <c r="D302" s="21" t="s">
        <v>990</v>
      </c>
      <c r="I302" s="2">
        <v>20</v>
      </c>
      <c r="J302" s="2">
        <v>80</v>
      </c>
      <c r="K302" s="2">
        <v>0</v>
      </c>
    </row>
    <row r="303" spans="1:11" x14ac:dyDescent="0.25">
      <c r="A303" s="2" t="s">
        <v>991</v>
      </c>
      <c r="B303" s="174" t="s">
        <v>992</v>
      </c>
      <c r="D303" s="2" t="s">
        <v>993</v>
      </c>
      <c r="J303" s="2">
        <f>SUM(J283:J302)</f>
        <v>650</v>
      </c>
      <c r="K303" s="2">
        <v>500</v>
      </c>
    </row>
    <row r="304" spans="1:11" x14ac:dyDescent="0.25">
      <c r="A304" s="2" t="s">
        <v>994</v>
      </c>
      <c r="B304" s="176" t="s">
        <v>995</v>
      </c>
      <c r="D304" s="2" t="s">
        <v>996</v>
      </c>
    </row>
    <row r="305" spans="1:34" x14ac:dyDescent="0.25">
      <c r="A305" s="2" t="s">
        <v>997</v>
      </c>
      <c r="B305" s="38" t="s">
        <v>998</v>
      </c>
      <c r="D305" s="21" t="s">
        <v>999</v>
      </c>
    </row>
    <row r="306" spans="1:34" x14ac:dyDescent="0.25">
      <c r="A306" s="2" t="s">
        <v>1000</v>
      </c>
      <c r="B306" s="38" t="s">
        <v>254</v>
      </c>
      <c r="D306" s="2" t="s">
        <v>1001</v>
      </c>
    </row>
    <row r="307" spans="1:34" x14ac:dyDescent="0.25">
      <c r="A307" s="2" t="s">
        <v>1002</v>
      </c>
      <c r="B307" s="38" t="s">
        <v>1003</v>
      </c>
      <c r="C307" s="14" t="s">
        <v>424</v>
      </c>
      <c r="D307" s="2" t="s">
        <v>1004</v>
      </c>
      <c r="E307" s="2" t="s">
        <v>1005</v>
      </c>
    </row>
    <row r="308" spans="1:34" x14ac:dyDescent="0.25">
      <c r="A308" s="2" t="s">
        <v>1006</v>
      </c>
      <c r="B308" s="38" t="s">
        <v>1007</v>
      </c>
      <c r="C308" s="14" t="s">
        <v>424</v>
      </c>
      <c r="D308" s="2" t="s">
        <v>1008</v>
      </c>
    </row>
    <row r="309" spans="1:34" x14ac:dyDescent="0.25">
      <c r="A309" s="2" t="s">
        <v>1009</v>
      </c>
      <c r="B309" s="38" t="s">
        <v>1010</v>
      </c>
      <c r="C309" s="14" t="s">
        <v>424</v>
      </c>
      <c r="D309" s="2" t="s">
        <v>1011</v>
      </c>
    </row>
    <row r="310" spans="1:34" x14ac:dyDescent="0.25">
      <c r="A310" s="2" t="s">
        <v>1012</v>
      </c>
      <c r="B310" s="38" t="s">
        <v>1013</v>
      </c>
      <c r="C310" s="14" t="s">
        <v>424</v>
      </c>
      <c r="D310" s="2" t="s">
        <v>1014</v>
      </c>
    </row>
    <row r="311" spans="1:34" x14ac:dyDescent="0.25">
      <c r="A311" s="2" t="s">
        <v>1015</v>
      </c>
      <c r="B311" s="38" t="s">
        <v>1016</v>
      </c>
      <c r="C311" s="14" t="s">
        <v>424</v>
      </c>
      <c r="D311" s="2" t="s">
        <v>1017</v>
      </c>
    </row>
    <row r="312" spans="1:34" x14ac:dyDescent="0.25">
      <c r="A312" s="2" t="s">
        <v>1018</v>
      </c>
      <c r="B312" s="38" t="s">
        <v>1019</v>
      </c>
      <c r="C312" s="14" t="s">
        <v>424</v>
      </c>
      <c r="D312" s="2" t="s">
        <v>1020</v>
      </c>
    </row>
    <row r="313" spans="1:34" x14ac:dyDescent="0.25">
      <c r="A313" s="2" t="s">
        <v>1021</v>
      </c>
      <c r="B313" s="38" t="s">
        <v>1022</v>
      </c>
      <c r="C313" s="14" t="s">
        <v>424</v>
      </c>
      <c r="D313" s="2" t="s">
        <v>1023</v>
      </c>
    </row>
    <row r="314" spans="1:34" x14ac:dyDescent="0.25">
      <c r="A314" s="2" t="s">
        <v>1024</v>
      </c>
      <c r="B314" s="38" t="s">
        <v>1025</v>
      </c>
      <c r="C314" s="14" t="s">
        <v>424</v>
      </c>
      <c r="D314" s="2" t="s">
        <v>1026</v>
      </c>
      <c r="E314" s="2" t="s">
        <v>1027</v>
      </c>
    </row>
    <row r="315" spans="1:34" x14ac:dyDescent="0.25">
      <c r="A315" s="2" t="s">
        <v>1028</v>
      </c>
      <c r="B315" s="38" t="s">
        <v>1029</v>
      </c>
      <c r="C315" s="14" t="s">
        <v>424</v>
      </c>
      <c r="D315" s="2" t="s">
        <v>1030</v>
      </c>
      <c r="E315" s="2" t="s">
        <v>1031</v>
      </c>
    </row>
    <row r="316" spans="1:34" x14ac:dyDescent="0.25">
      <c r="A316" s="2" t="s">
        <v>1032</v>
      </c>
      <c r="B316" s="38" t="s">
        <v>1033</v>
      </c>
      <c r="C316" s="14" t="s">
        <v>424</v>
      </c>
      <c r="D316" s="2" t="s">
        <v>1034</v>
      </c>
    </row>
    <row r="317" spans="1:34" x14ac:dyDescent="0.25">
      <c r="A317" s="2" t="s">
        <v>1035</v>
      </c>
      <c r="B317" s="38" t="s">
        <v>1036</v>
      </c>
      <c r="C317" s="14" t="s">
        <v>424</v>
      </c>
      <c r="D317" s="2" t="s">
        <v>1037</v>
      </c>
    </row>
    <row r="318" spans="1:34" ht="15.6" customHeight="1" x14ac:dyDescent="0.25">
      <c r="A318" s="2" t="s">
        <v>1038</v>
      </c>
      <c r="B318" s="38" t="s">
        <v>1033</v>
      </c>
      <c r="C318" s="14" t="s">
        <v>424</v>
      </c>
      <c r="D318" s="2" t="s">
        <v>1039</v>
      </c>
      <c r="H318" s="116"/>
      <c r="I318" s="353" t="s">
        <v>1040</v>
      </c>
      <c r="J318" s="117"/>
      <c r="K318" s="117"/>
      <c r="L318" s="117"/>
      <c r="M318" s="117" t="s">
        <v>1041</v>
      </c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  <c r="AA318" s="117"/>
      <c r="AB318" s="117"/>
      <c r="AC318" s="117"/>
      <c r="AD318" s="117"/>
      <c r="AE318" s="118"/>
      <c r="AF318" s="357" t="s">
        <v>1042</v>
      </c>
      <c r="AG318" s="359" t="s">
        <v>1043</v>
      </c>
    </row>
    <row r="319" spans="1:34" x14ac:dyDescent="0.25">
      <c r="A319" s="2" t="s">
        <v>1044</v>
      </c>
      <c r="B319" s="38" t="s">
        <v>1045</v>
      </c>
      <c r="C319" s="14" t="s">
        <v>424</v>
      </c>
      <c r="D319" s="2" t="s">
        <v>1046</v>
      </c>
      <c r="E319" s="2" t="s">
        <v>1047</v>
      </c>
      <c r="H319" s="119" t="s">
        <v>1048</v>
      </c>
      <c r="I319" s="354"/>
      <c r="J319" s="120" t="s">
        <v>1049</v>
      </c>
      <c r="K319" s="120" t="s">
        <v>1050</v>
      </c>
      <c r="L319" s="120" t="s">
        <v>1051</v>
      </c>
      <c r="M319" s="120" t="s">
        <v>1050</v>
      </c>
      <c r="N319" s="120" t="s">
        <v>1052</v>
      </c>
      <c r="O319" s="120" t="s">
        <v>1050</v>
      </c>
      <c r="P319" s="120" t="s">
        <v>1053</v>
      </c>
      <c r="Q319" s="120" t="s">
        <v>1050</v>
      </c>
      <c r="R319" s="120" t="s">
        <v>1054</v>
      </c>
      <c r="S319" s="120" t="s">
        <v>1050</v>
      </c>
      <c r="T319" s="120" t="s">
        <v>1055</v>
      </c>
      <c r="U319" s="120" t="s">
        <v>1050</v>
      </c>
      <c r="V319" s="120" t="s">
        <v>1056</v>
      </c>
      <c r="W319" s="120" t="s">
        <v>1050</v>
      </c>
      <c r="X319" s="120" t="s">
        <v>1057</v>
      </c>
      <c r="Y319" s="120" t="s">
        <v>1050</v>
      </c>
      <c r="Z319" s="120" t="s">
        <v>1058</v>
      </c>
      <c r="AA319" s="120" t="s">
        <v>1050</v>
      </c>
      <c r="AB319" s="120" t="s">
        <v>1059</v>
      </c>
      <c r="AC319" s="120" t="s">
        <v>1050</v>
      </c>
      <c r="AD319" s="120" t="s">
        <v>1060</v>
      </c>
      <c r="AE319" s="121" t="s">
        <v>1050</v>
      </c>
      <c r="AF319" s="358"/>
      <c r="AG319" s="359"/>
      <c r="AH319" s="2" t="s">
        <v>912</v>
      </c>
    </row>
    <row r="320" spans="1:34" x14ac:dyDescent="0.25">
      <c r="A320" s="2" t="s">
        <v>1061</v>
      </c>
      <c r="B320" s="38" t="s">
        <v>1062</v>
      </c>
      <c r="C320" s="14" t="s">
        <v>424</v>
      </c>
      <c r="D320" s="2" t="s">
        <v>1063</v>
      </c>
      <c r="G320" s="165" t="str">
        <f>"["&amp;H320&amp;",["&amp;J320&amp;","&amp;K320&amp;"],["&amp;L320&amp;","&amp;M320&amp;"],["&amp;N320&amp;","&amp;O320&amp;"],["&amp;P320&amp;","&amp;Q320&amp;"],["&amp;R320&amp;","&amp;S320&amp;"],["&amp;T320&amp;","&amp;U320&amp;"],["&amp;V320&amp;","&amp;W320&amp;"],["&amp;X320&amp;","&amp;Y320&amp;"],["&amp;Z320&amp;","&amp;AA320&amp;"],["&amp;AB320&amp;","&amp;AC320&amp;"],["&amp;AD320&amp;","&amp;AE320&amp;"]]"</f>
        <v>[6,[0,6644],[50000,4200],[100000,3000],[200000,2300],[300000,1500],[400000,1500],[600000,1200],[800000,600],[1000000,500],[1200000,400],[1500000,300]]</v>
      </c>
      <c r="H320" s="119">
        <v>6</v>
      </c>
      <c r="I320" s="183">
        <f>K320/SUM(K320+M320+O320+Q320+S320+U320+W320+Y320+AA320+AC320+AE320)</f>
        <v>0.30003612716763006</v>
      </c>
      <c r="J320" s="184">
        <v>0</v>
      </c>
      <c r="K320" s="185">
        <v>6644</v>
      </c>
      <c r="L320" s="184">
        <v>50000</v>
      </c>
      <c r="M320" s="186">
        <v>4200</v>
      </c>
      <c r="N320" s="186">
        <v>100000</v>
      </c>
      <c r="O320" s="186">
        <v>3000</v>
      </c>
      <c r="P320" s="186">
        <v>200000</v>
      </c>
      <c r="Q320" s="186">
        <v>2300</v>
      </c>
      <c r="R320" s="186">
        <v>300000</v>
      </c>
      <c r="S320" s="186">
        <v>1500</v>
      </c>
      <c r="T320" s="186">
        <v>400000</v>
      </c>
      <c r="U320" s="186">
        <v>1500</v>
      </c>
      <c r="V320" s="186">
        <v>600000</v>
      </c>
      <c r="W320" s="186">
        <v>1200</v>
      </c>
      <c r="X320" s="186">
        <v>800000</v>
      </c>
      <c r="Y320" s="186">
        <v>600</v>
      </c>
      <c r="Z320" s="186">
        <v>1000000</v>
      </c>
      <c r="AA320" s="186">
        <v>500</v>
      </c>
      <c r="AB320" s="186">
        <v>1200000</v>
      </c>
      <c r="AC320" s="186">
        <v>400</v>
      </c>
      <c r="AD320" s="186">
        <v>1500000</v>
      </c>
      <c r="AE320" s="186">
        <v>300</v>
      </c>
      <c r="AF320" s="196">
        <f>(J320*K320+L320*M320+N320*O320+P320*Q320+R320*S320+T320*U320+V320*W320+X320*Y320+Z320*AA320+AB320*AC320+AD320*AE320)/SUM(K320+M320+O320+Q320+S320+U320+W320+Y320+AA320+AC320+AE320)</f>
        <v>209989.16184971097</v>
      </c>
      <c r="AG320" s="21">
        <f>(L320*M320+N320*O320+P320*Q320+R320*S320+T320*U320+V320*W320+X320*Y320+Z320*AA320+AB320*AC320+AD320*AE320)/SUM(M320+O320+Q320+S320+U320+W320+Y320+AA320+AC320+AE320)</f>
        <v>300000</v>
      </c>
      <c r="AH320" s="21">
        <v>300000</v>
      </c>
    </row>
    <row r="321" spans="1:34" x14ac:dyDescent="0.25">
      <c r="A321" s="2" t="s">
        <v>1064</v>
      </c>
      <c r="B321" s="38" t="s">
        <v>1065</v>
      </c>
      <c r="D321" s="2" t="s">
        <v>1066</v>
      </c>
      <c r="G321" s="165" t="str">
        <f>"["&amp;H321&amp;",["&amp;J321&amp;","&amp;K321&amp;"],["&amp;L321&amp;","&amp;M321&amp;"],["&amp;N321&amp;","&amp;O321&amp;"],["&amp;P321&amp;","&amp;Q321&amp;"],["&amp;R321&amp;","&amp;S321&amp;"],["&amp;T321&amp;","&amp;U321&amp;"],["&amp;V321&amp;","&amp;W321&amp;"],["&amp;X321&amp;","&amp;Y321&amp;"],["&amp;Z321&amp;","&amp;AA321&amp;"],["&amp;AB321&amp;","&amp;AC321&amp;"],["&amp;AD321&amp;","&amp;AE321&amp;"]]"</f>
        <v>[7,[0,6644],[250000,4200],[500000,3000],[1000000,2300],[1500000,1500],[2000000,1500],[3000000,1200],[4000000,600],[5000000,500],[6000000,400],[7500000,300]]</v>
      </c>
      <c r="H321" s="119">
        <v>7</v>
      </c>
      <c r="I321" s="183">
        <f>K321/SUM(K321+M321+O321+Q321+S321+U321+W321+Y321+AA321+AC321+AE321)</f>
        <v>0.30003612716763006</v>
      </c>
      <c r="J321" s="89">
        <f>J320*5</f>
        <v>0</v>
      </c>
      <c r="K321" s="202">
        <f>K320</f>
        <v>6644</v>
      </c>
      <c r="L321" s="89">
        <f>L320*5</f>
        <v>250000</v>
      </c>
      <c r="M321" s="203">
        <f>M320</f>
        <v>4200</v>
      </c>
      <c r="N321" s="89">
        <f>N320*5</f>
        <v>500000</v>
      </c>
      <c r="O321" s="203">
        <f>O320</f>
        <v>3000</v>
      </c>
      <c r="P321" s="89">
        <f>P320*5</f>
        <v>1000000</v>
      </c>
      <c r="Q321" s="203">
        <f>Q320</f>
        <v>2300</v>
      </c>
      <c r="R321" s="89">
        <f>R320*5</f>
        <v>1500000</v>
      </c>
      <c r="S321" s="203">
        <f>S320</f>
        <v>1500</v>
      </c>
      <c r="T321" s="89">
        <f>T320*5</f>
        <v>2000000</v>
      </c>
      <c r="U321" s="203">
        <f>U320</f>
        <v>1500</v>
      </c>
      <c r="V321" s="89">
        <f>V320*5</f>
        <v>3000000</v>
      </c>
      <c r="W321" s="203">
        <f>W320</f>
        <v>1200</v>
      </c>
      <c r="X321" s="89">
        <f>X320*5</f>
        <v>4000000</v>
      </c>
      <c r="Y321" s="203">
        <f>Y320</f>
        <v>600</v>
      </c>
      <c r="Z321" s="89">
        <f>Z320*5</f>
        <v>5000000</v>
      </c>
      <c r="AA321" s="203">
        <f>AA320</f>
        <v>500</v>
      </c>
      <c r="AB321" s="89">
        <f>AB320*5</f>
        <v>6000000</v>
      </c>
      <c r="AC321" s="203">
        <f>AC320</f>
        <v>400</v>
      </c>
      <c r="AD321" s="89">
        <f>AD320*5</f>
        <v>7500000</v>
      </c>
      <c r="AE321" s="203">
        <f>AE320</f>
        <v>300</v>
      </c>
      <c r="AF321" s="208">
        <f>(J321*K321+L321*M321+N321*O321+P321*Q321+R321*S321+T321*U321+V321*W321+X321*Y321+Z321*AA321+AB321*AC321+AD321*AE321)/SUM(K321+M321+O321+Q321+S321+U321+W321+Y321+AA321+AC321+AE321)</f>
        <v>1049945.809248555</v>
      </c>
      <c r="AG321" s="21">
        <f>(L321*M321+N321*O321+P321*Q321+R321*S321+T321*U321+V321*W321+X321*Y321+Z321*AA321+AB321*AC321+AD321*AE321)/SUM(M321+O321+Q321+S321+U321+W321+Y321+AA321+AC321+AE321)</f>
        <v>1500000</v>
      </c>
      <c r="AH321" s="21">
        <v>1500000</v>
      </c>
    </row>
    <row r="322" spans="1:34" x14ac:dyDescent="0.25">
      <c r="A322" s="2" t="s">
        <v>1067</v>
      </c>
      <c r="B322" s="165" t="str">
        <f>"["&amp;G320&amp;","&amp;G321&amp;","&amp;G322&amp;"]"</f>
        <v>[[6,[0,6644],[50000,4200],[100000,3000],[200000,2300],[300000,1500],[400000,1500],[600000,1200],[800000,600],[1000000,500],[1200000,400],[1500000,300]],[7,[0,6644],[250000,4200],[500000,3000],[1000000,2300],[1500000,1500],[2000000,1500],[3000000,1200],[4000000,600],[5000000,500],[6000000,400],[7500000,300]],[8,[0,6644],[500000,4200],[1000000,3000],[2000000,2300],[3000000,1500],[4000000,1500],[6000000,1200],[8000000,600],[10000000,500],[12000000,400],[15000000,300]]]</v>
      </c>
      <c r="C322" s="21"/>
      <c r="D322" s="2" t="s">
        <v>1068</v>
      </c>
      <c r="G322" s="165" t="str">
        <f>"["&amp;H322&amp;",["&amp;J322&amp;","&amp;K322&amp;"],["&amp;L322&amp;","&amp;M322&amp;"],["&amp;N322&amp;","&amp;O322&amp;"],["&amp;P322&amp;","&amp;Q322&amp;"],["&amp;R322&amp;","&amp;S322&amp;"],["&amp;T322&amp;","&amp;U322&amp;"],["&amp;V322&amp;","&amp;W322&amp;"],["&amp;X322&amp;","&amp;Y322&amp;"],["&amp;Z322&amp;","&amp;AA322&amp;"],["&amp;AB322&amp;","&amp;AC322&amp;"],["&amp;AD322&amp;","&amp;AE322&amp;"]]"</f>
        <v>[8,[0,6644],[500000,4200],[1000000,3000],[2000000,2300],[3000000,1500],[4000000,1500],[6000000,1200],[8000000,600],[10000000,500],[12000000,400],[15000000,300]]</v>
      </c>
      <c r="H322" s="122">
        <v>8</v>
      </c>
      <c r="I322" s="204">
        <f>K322/SUM(K322+M322+O322+Q322+S322+U322+W322+Y322+AA322+AC322+AE322)</f>
        <v>0.30003612716763006</v>
      </c>
      <c r="J322" s="94">
        <f>J320*10</f>
        <v>0</v>
      </c>
      <c r="K322" s="205">
        <f>K321</f>
        <v>6644</v>
      </c>
      <c r="L322" s="94">
        <f>L320*10</f>
        <v>500000</v>
      </c>
      <c r="M322" s="206">
        <f>M321</f>
        <v>4200</v>
      </c>
      <c r="N322" s="94">
        <f>N320*10</f>
        <v>1000000</v>
      </c>
      <c r="O322" s="206">
        <f>O321</f>
        <v>3000</v>
      </c>
      <c r="P322" s="94">
        <f>P320*10</f>
        <v>2000000</v>
      </c>
      <c r="Q322" s="206">
        <f>Q321</f>
        <v>2300</v>
      </c>
      <c r="R322" s="94">
        <f>R320*10</f>
        <v>3000000</v>
      </c>
      <c r="S322" s="206">
        <f>S321</f>
        <v>1500</v>
      </c>
      <c r="T322" s="94">
        <f>T320*10</f>
        <v>4000000</v>
      </c>
      <c r="U322" s="206">
        <f>U321</f>
        <v>1500</v>
      </c>
      <c r="V322" s="94">
        <f>V320*10</f>
        <v>6000000</v>
      </c>
      <c r="W322" s="206">
        <f>W321</f>
        <v>1200</v>
      </c>
      <c r="X322" s="94">
        <f>X320*10</f>
        <v>8000000</v>
      </c>
      <c r="Y322" s="206">
        <f>Y321</f>
        <v>600</v>
      </c>
      <c r="Z322" s="94">
        <f>Z320*10</f>
        <v>10000000</v>
      </c>
      <c r="AA322" s="206">
        <f>AA321</f>
        <v>500</v>
      </c>
      <c r="AB322" s="94">
        <f>AB320*10</f>
        <v>12000000</v>
      </c>
      <c r="AC322" s="206">
        <f>AC321</f>
        <v>400</v>
      </c>
      <c r="AD322" s="94">
        <f>AD320*10</f>
        <v>15000000</v>
      </c>
      <c r="AE322" s="206">
        <f>AE321</f>
        <v>300</v>
      </c>
      <c r="AF322" s="209">
        <f>(J322*K322+L322*M322+N322*O322+P322*Q322+R322*S322+T322*U322+V322*W322+X322*Y322+Z322*AA322+AB322*AC322+AD322*AE322)/SUM(K322+M322+O322+Q322+S322+U322+W322+Y322+AA322+AC322+AE322)</f>
        <v>2099891.61849711</v>
      </c>
      <c r="AG322" s="21">
        <f>(L322*M322+N322*O322+P322*Q322+R322*S322+T322*U322+V322*W322+X322*Y322+Z322*AA322+AB322*AC322+AD322*AE322)/SUM(M322+O322+Q322+S322+U322+W322+Y322+AA322+AC322+AE322)</f>
        <v>3000000</v>
      </c>
      <c r="AH322" s="21">
        <v>3000000</v>
      </c>
    </row>
    <row r="323" spans="1:34" x14ac:dyDescent="0.25">
      <c r="A323" t="s">
        <v>1069</v>
      </c>
      <c r="B323" s="38" t="s">
        <v>528</v>
      </c>
      <c r="D323" s="2" t="s">
        <v>1070</v>
      </c>
      <c r="K323" s="2">
        <f>K320/SUM(K320+M320+O320+Q320+S320+U320+W320+Y320+AA320+AC320+AE320)</f>
        <v>0.30003612716763006</v>
      </c>
      <c r="M323" s="2">
        <f>M320/SUM(K320+M320+O320+Q320+S320+U320+W320+Y320+AA320+AC320+AE320)</f>
        <v>0.18966763005780346</v>
      </c>
      <c r="O323" s="2">
        <f>O320/SUM(K320+M320+O320+Q320+S320+U320+W320+Y320+AA320+AC320+AE320)</f>
        <v>0.13547687861271676</v>
      </c>
      <c r="Q323" s="2">
        <f>Q320/SUM(K320+M320+O320+Q320+S320+U320+W320+Y320+AA320+AC320+AE320)</f>
        <v>0.10386560693641618</v>
      </c>
      <c r="S323" s="2">
        <f>S320/SUM(K320+M320+O320+Q320+S320+U320+W320+Y320+AA320+AC320+AE320)</f>
        <v>6.7738439306358381E-2</v>
      </c>
      <c r="U323" s="2">
        <f>U320/SUM(K320+M320+O320+Q320+S320+U320+W320+Y320+AA320+AC320+AE320)</f>
        <v>6.7738439306358381E-2</v>
      </c>
      <c r="W323" s="2">
        <f>W320/SUM(K320+M320+O320+Q320+S320+U320+W320+Y320+AA320+AC320+AE320)</f>
        <v>5.4190751445086706E-2</v>
      </c>
      <c r="Y323" s="210">
        <f>Y320/SUM(K320+M320+O320+Q320+S320+U320+W320+Y320+AA320+AC320+AE320)</f>
        <v>2.7095375722543353E-2</v>
      </c>
      <c r="Z323" s="211"/>
      <c r="AA323" s="210">
        <f>AA320/SUM(K320+M320+O320+Q320+S320+U320+W320+Y320+AA320+AC320+AE320)</f>
        <v>2.2579479768786128E-2</v>
      </c>
      <c r="AB323" s="211"/>
      <c r="AC323" s="210">
        <f>AC320/SUM(K320+M320+O320+Q320+S320+U320+W320+Y320+AA320+AC320+AE320)</f>
        <v>1.8063583815028903E-2</v>
      </c>
      <c r="AE323" s="2">
        <f>AE320/SUM(K320+M320+O320+Q320+S320+U320+W320+Y320+AA320+AC320+AE320)</f>
        <v>1.3547687861271676E-2</v>
      </c>
    </row>
    <row r="324" spans="1:34" x14ac:dyDescent="0.25">
      <c r="A324" s="67" t="s">
        <v>1071</v>
      </c>
      <c r="B324" s="38" t="s">
        <v>1072</v>
      </c>
      <c r="C324" s="2" t="s">
        <v>1073</v>
      </c>
      <c r="D324" s="2" t="s">
        <v>1074</v>
      </c>
      <c r="K324" s="207">
        <f>1-K323</f>
        <v>0.69996387283236994</v>
      </c>
    </row>
    <row r="325" spans="1:34" x14ac:dyDescent="0.25">
      <c r="A325" s="67" t="s">
        <v>1075</v>
      </c>
      <c r="B325" s="38" t="s">
        <v>1076</v>
      </c>
      <c r="C325" s="2" t="s">
        <v>1073</v>
      </c>
      <c r="D325" s="2" t="s">
        <v>1077</v>
      </c>
      <c r="K325" s="2" t="s">
        <v>1078</v>
      </c>
      <c r="L325" s="2" t="s">
        <v>1079</v>
      </c>
      <c r="M325" s="2" t="s">
        <v>1080</v>
      </c>
      <c r="N325" s="2" t="s">
        <v>1081</v>
      </c>
      <c r="O325" s="2" t="s">
        <v>1082</v>
      </c>
    </row>
    <row r="326" spans="1:34" ht="16.2" x14ac:dyDescent="0.25">
      <c r="A326" s="67" t="s">
        <v>1083</v>
      </c>
      <c r="B326" s="126" t="s">
        <v>1084</v>
      </c>
      <c r="C326" s="2" t="s">
        <v>1073</v>
      </c>
      <c r="D326" s="2" t="s">
        <v>1085</v>
      </c>
      <c r="K326" s="2">
        <f>$K$324^0*(1-$K$324)^4*1</f>
        <v>8.1039024389536404E-3</v>
      </c>
      <c r="L326" s="2">
        <f>$K$324*(1-$K$324)^3*4</f>
        <v>7.5623412284034575E-2</v>
      </c>
      <c r="M326" s="2">
        <f>$K$324^2*(1-$K$324)^2*6</f>
        <v>0.26463641414867611</v>
      </c>
      <c r="N326" s="2">
        <f>$K$324^3*(1-$K$324)^1*4</f>
        <v>0.41158583376524976</v>
      </c>
      <c r="O326" s="2">
        <f>$K$324^4*(1-$K$324)^0*1</f>
        <v>0.24005043736308596</v>
      </c>
    </row>
    <row r="327" spans="1:34" x14ac:dyDescent="0.25">
      <c r="A327" s="67" t="s">
        <v>1086</v>
      </c>
      <c r="B327" s="38" t="s">
        <v>1087</v>
      </c>
      <c r="C327" s="2" t="s">
        <v>1073</v>
      </c>
      <c r="D327" s="2" t="s">
        <v>1088</v>
      </c>
    </row>
    <row r="328" spans="1:34" x14ac:dyDescent="0.25">
      <c r="A328" s="67" t="s">
        <v>1089</v>
      </c>
      <c r="B328" s="38" t="s">
        <v>528</v>
      </c>
      <c r="C328" s="2" t="s">
        <v>1073</v>
      </c>
      <c r="D328" s="2" t="s">
        <v>1090</v>
      </c>
    </row>
    <row r="329" spans="1:34" x14ac:dyDescent="0.25">
      <c r="A329" s="67" t="s">
        <v>1091</v>
      </c>
      <c r="B329" s="197" t="s">
        <v>1092</v>
      </c>
      <c r="D329" s="198" t="s">
        <v>1093</v>
      </c>
    </row>
    <row r="330" spans="1:34" x14ac:dyDescent="0.25">
      <c r="A330" s="67" t="s">
        <v>1094</v>
      </c>
      <c r="B330" s="38" t="s">
        <v>698</v>
      </c>
      <c r="C330" s="2" t="s">
        <v>1073</v>
      </c>
      <c r="D330" s="2" t="s">
        <v>1095</v>
      </c>
    </row>
    <row r="331" spans="1:34" x14ac:dyDescent="0.25">
      <c r="A331" s="67" t="s">
        <v>1096</v>
      </c>
      <c r="B331" s="38" t="s">
        <v>1097</v>
      </c>
      <c r="C331" s="2" t="s">
        <v>1073</v>
      </c>
      <c r="D331" s="2" t="s">
        <v>1098</v>
      </c>
    </row>
    <row r="332" spans="1:34" x14ac:dyDescent="0.25">
      <c r="A332" s="67" t="s">
        <v>1099</v>
      </c>
      <c r="B332" s="38" t="s">
        <v>471</v>
      </c>
      <c r="C332" s="2" t="s">
        <v>1073</v>
      </c>
      <c r="D332" s="2" t="s">
        <v>1100</v>
      </c>
    </row>
    <row r="333" spans="1:34" x14ac:dyDescent="0.25">
      <c r="A333" s="67" t="s">
        <v>1101</v>
      </c>
      <c r="B333" s="38" t="s">
        <v>362</v>
      </c>
      <c r="C333" s="2" t="s">
        <v>1073</v>
      </c>
      <c r="D333" s="2" t="s">
        <v>1102</v>
      </c>
    </row>
    <row r="334" spans="1:34" x14ac:dyDescent="0.25">
      <c r="A334" s="67" t="s">
        <v>1103</v>
      </c>
      <c r="B334" s="38" t="s">
        <v>1104</v>
      </c>
      <c r="C334" s="2" t="s">
        <v>1073</v>
      </c>
      <c r="D334" s="2" t="s">
        <v>1105</v>
      </c>
    </row>
    <row r="335" spans="1:34" x14ac:dyDescent="0.25">
      <c r="A335" s="67" t="s">
        <v>1106</v>
      </c>
      <c r="B335" s="38" t="s">
        <v>1107</v>
      </c>
      <c r="C335" s="2" t="s">
        <v>1073</v>
      </c>
      <c r="D335" s="2" t="s">
        <v>1108</v>
      </c>
      <c r="AH335" s="21"/>
    </row>
    <row r="336" spans="1:34" x14ac:dyDescent="0.25">
      <c r="A336" s="67" t="s">
        <v>1109</v>
      </c>
      <c r="B336" s="38" t="s">
        <v>1110</v>
      </c>
      <c r="C336" s="2" t="s">
        <v>1073</v>
      </c>
      <c r="D336" s="2" t="s">
        <v>1111</v>
      </c>
      <c r="AH336" s="21"/>
    </row>
    <row r="337" spans="1:34" x14ac:dyDescent="0.25">
      <c r="A337" s="67" t="s">
        <v>1112</v>
      </c>
      <c r="B337" s="38" t="s">
        <v>260</v>
      </c>
      <c r="C337" s="2" t="s">
        <v>1073</v>
      </c>
      <c r="D337" s="2" t="s">
        <v>1113</v>
      </c>
      <c r="AH337" s="21"/>
    </row>
    <row r="338" spans="1:34" x14ac:dyDescent="0.25">
      <c r="A338" s="67" t="s">
        <v>1114</v>
      </c>
      <c r="B338" s="38" t="s">
        <v>1115</v>
      </c>
      <c r="C338" s="2" t="s">
        <v>1073</v>
      </c>
      <c r="D338" s="2" t="s">
        <v>1116</v>
      </c>
    </row>
    <row r="339" spans="1:34" x14ac:dyDescent="0.25">
      <c r="A339" s="67" t="s">
        <v>1117</v>
      </c>
      <c r="B339" s="38" t="s">
        <v>1118</v>
      </c>
      <c r="C339" s="2" t="s">
        <v>1073</v>
      </c>
      <c r="D339" s="2" t="s">
        <v>1119</v>
      </c>
    </row>
    <row r="340" spans="1:34" x14ac:dyDescent="0.25">
      <c r="A340" s="67" t="s">
        <v>1120</v>
      </c>
      <c r="B340" s="79">
        <f>30*60</f>
        <v>1800</v>
      </c>
      <c r="C340" s="2" t="s">
        <v>1073</v>
      </c>
      <c r="D340" s="2" t="s">
        <v>1121</v>
      </c>
    </row>
    <row r="341" spans="1:34" x14ac:dyDescent="0.25">
      <c r="A341" s="67" t="s">
        <v>1122</v>
      </c>
      <c r="B341" s="38" t="s">
        <v>362</v>
      </c>
      <c r="C341" s="2" t="s">
        <v>1073</v>
      </c>
      <c r="D341" s="2" t="s">
        <v>1123</v>
      </c>
    </row>
    <row r="342" spans="1:34" x14ac:dyDescent="0.25">
      <c r="A342" s="67" t="s">
        <v>1124</v>
      </c>
      <c r="B342" s="39" t="s">
        <v>1125</v>
      </c>
      <c r="C342" s="2" t="s">
        <v>1073</v>
      </c>
      <c r="D342" s="2" t="s">
        <v>1126</v>
      </c>
    </row>
    <row r="343" spans="1:34" x14ac:dyDescent="0.25">
      <c r="A343" s="67" t="s">
        <v>1127</v>
      </c>
      <c r="B343" s="38" t="s">
        <v>1128</v>
      </c>
      <c r="C343" s="2" t="s">
        <v>1073</v>
      </c>
      <c r="D343" s="2" t="s">
        <v>1129</v>
      </c>
    </row>
    <row r="344" spans="1:34" x14ac:dyDescent="0.25">
      <c r="A344" s="67" t="s">
        <v>1130</v>
      </c>
      <c r="B344" s="38" t="s">
        <v>1131</v>
      </c>
      <c r="C344" s="2" t="s">
        <v>1073</v>
      </c>
      <c r="D344" s="2" t="s">
        <v>1132</v>
      </c>
    </row>
    <row r="345" spans="1:34" x14ac:dyDescent="0.25">
      <c r="A345" s="2" t="s">
        <v>1133</v>
      </c>
      <c r="B345" s="165" t="s">
        <v>1134</v>
      </c>
      <c r="D345" s="2" t="s">
        <v>1135</v>
      </c>
    </row>
    <row r="346" spans="1:34" x14ac:dyDescent="0.25">
      <c r="A346" s="2" t="s">
        <v>1136</v>
      </c>
      <c r="B346" s="165" t="s">
        <v>1137</v>
      </c>
      <c r="D346" s="2" t="s">
        <v>1138</v>
      </c>
    </row>
    <row r="347" spans="1:34" x14ac:dyDescent="0.25">
      <c r="A347" s="67" t="s">
        <v>1139</v>
      </c>
      <c r="B347" s="38" t="s">
        <v>528</v>
      </c>
      <c r="C347" s="2" t="s">
        <v>1073</v>
      </c>
      <c r="D347" s="2" t="s">
        <v>1140</v>
      </c>
    </row>
    <row r="348" spans="1:34" x14ac:dyDescent="0.25">
      <c r="A348" t="s">
        <v>1141</v>
      </c>
      <c r="B348" s="38" t="s">
        <v>1142</v>
      </c>
      <c r="D348" t="s">
        <v>1143</v>
      </c>
      <c r="H348" s="2" t="s">
        <v>1144</v>
      </c>
      <c r="I348" s="2" t="s">
        <v>1050</v>
      </c>
    </row>
    <row r="349" spans="1:34" x14ac:dyDescent="0.25">
      <c r="A349" s="2" t="s">
        <v>1145</v>
      </c>
      <c r="B349" s="38" t="s">
        <v>1146</v>
      </c>
      <c r="D349" s="2" t="s">
        <v>1147</v>
      </c>
      <c r="H349" s="2">
        <v>1</v>
      </c>
      <c r="I349" s="2">
        <v>1</v>
      </c>
      <c r="J349" s="2">
        <f>H349*I349/SUM($I$349:$I$351)</f>
        <v>0.33333333333333331</v>
      </c>
      <c r="K349" s="2">
        <f>H349*$J$353</f>
        <v>10</v>
      </c>
    </row>
    <row r="350" spans="1:34" x14ac:dyDescent="0.25">
      <c r="A350" s="2" t="s">
        <v>1148</v>
      </c>
      <c r="B350" s="75">
        <v>51</v>
      </c>
      <c r="D350" s="2" t="s">
        <v>1149</v>
      </c>
      <c r="H350" s="2">
        <v>2</v>
      </c>
      <c r="I350" s="2">
        <v>1</v>
      </c>
      <c r="J350" s="2">
        <f>H350*I350/SUM($I$349:$I$351)</f>
        <v>0.66666666666666663</v>
      </c>
      <c r="K350" s="2">
        <f>H350*$J$353</f>
        <v>20</v>
      </c>
    </row>
    <row r="351" spans="1:34" x14ac:dyDescent="0.25">
      <c r="A351" s="2" t="s">
        <v>1150</v>
      </c>
      <c r="B351" s="38" t="s">
        <v>1151</v>
      </c>
      <c r="D351" s="2" t="s">
        <v>1152</v>
      </c>
      <c r="H351" s="2">
        <v>3</v>
      </c>
      <c r="I351" s="2">
        <v>1</v>
      </c>
      <c r="J351" s="2">
        <f>H351*I351/SUM($I$349:$I$351)</f>
        <v>1</v>
      </c>
      <c r="K351" s="2">
        <f>H351*$J$353</f>
        <v>30</v>
      </c>
    </row>
    <row r="352" spans="1:34" x14ac:dyDescent="0.25">
      <c r="A352" s="2" t="s">
        <v>1153</v>
      </c>
      <c r="B352" s="38" t="s">
        <v>1154</v>
      </c>
      <c r="D352" s="2" t="s">
        <v>1155</v>
      </c>
      <c r="I352" s="21" t="s">
        <v>1156</v>
      </c>
      <c r="J352" s="129">
        <f>J354/SUM(J349:J351)</f>
        <v>200</v>
      </c>
    </row>
    <row r="353" spans="1:10" x14ac:dyDescent="0.25">
      <c r="A353" s="2" t="s">
        <v>1157</v>
      </c>
      <c r="B353" s="38" t="s">
        <v>1158</v>
      </c>
      <c r="D353" s="2" t="s">
        <v>1159</v>
      </c>
      <c r="I353" s="21" t="s">
        <v>1160</v>
      </c>
      <c r="J353" s="79">
        <v>10</v>
      </c>
    </row>
    <row r="354" spans="1:10" x14ac:dyDescent="0.25">
      <c r="A354" s="2" t="s">
        <v>1161</v>
      </c>
      <c r="B354" s="165" t="s">
        <v>1162</v>
      </c>
      <c r="D354" s="2" t="s">
        <v>1163</v>
      </c>
      <c r="I354" s="2" t="s">
        <v>1164</v>
      </c>
      <c r="J354" s="129">
        <f>'[1]鱼属性|FishAttribute'!E61</f>
        <v>400</v>
      </c>
    </row>
    <row r="355" spans="1:10" x14ac:dyDescent="0.25">
      <c r="A355" s="2" t="s">
        <v>1165</v>
      </c>
      <c r="B355" s="38" t="s">
        <v>651</v>
      </c>
      <c r="D355" s="2" t="s">
        <v>1166</v>
      </c>
    </row>
    <row r="356" spans="1:10" x14ac:dyDescent="0.25">
      <c r="A356" s="2" t="s">
        <v>1167</v>
      </c>
      <c r="B356" s="38" t="s">
        <v>1131</v>
      </c>
      <c r="D356" s="2" t="s">
        <v>1168</v>
      </c>
    </row>
    <row r="357" spans="1:10" x14ac:dyDescent="0.25">
      <c r="A357" s="2" t="s">
        <v>1169</v>
      </c>
      <c r="B357" s="38" t="s">
        <v>1170</v>
      </c>
      <c r="D357" s="2" t="s">
        <v>1171</v>
      </c>
    </row>
    <row r="358" spans="1:10" x14ac:dyDescent="0.25">
      <c r="A358" s="2" t="s">
        <v>1172</v>
      </c>
      <c r="B358" s="38" t="s">
        <v>1173</v>
      </c>
      <c r="C358" s="14" t="s">
        <v>1174</v>
      </c>
      <c r="D358" s="2" t="s">
        <v>1175</v>
      </c>
    </row>
    <row r="359" spans="1:10" x14ac:dyDescent="0.25">
      <c r="A359" s="2" t="s">
        <v>1176</v>
      </c>
      <c r="B359" s="2" t="s">
        <v>1177</v>
      </c>
      <c r="D359" s="2" t="s">
        <v>1178</v>
      </c>
    </row>
    <row r="360" spans="1:10" x14ac:dyDescent="0.25">
      <c r="A360" s="2" t="s">
        <v>1179</v>
      </c>
      <c r="B360" s="38" t="s">
        <v>644</v>
      </c>
      <c r="D360" s="2" t="s">
        <v>1180</v>
      </c>
    </row>
    <row r="361" spans="1:10" x14ac:dyDescent="0.25">
      <c r="A361" s="2" t="s">
        <v>1181</v>
      </c>
      <c r="B361" s="38" t="s">
        <v>275</v>
      </c>
      <c r="D361" s="2" t="s">
        <v>1182</v>
      </c>
    </row>
    <row r="362" spans="1:10" x14ac:dyDescent="0.25">
      <c r="A362" s="2" t="s">
        <v>1183</v>
      </c>
      <c r="B362" s="38" t="s">
        <v>362</v>
      </c>
      <c r="D362" s="2" t="s">
        <v>1184</v>
      </c>
    </row>
    <row r="363" spans="1:10" x14ac:dyDescent="0.25">
      <c r="A363" s="2" t="s">
        <v>1185</v>
      </c>
      <c r="B363" s="38" t="s">
        <v>644</v>
      </c>
      <c r="D363" s="2" t="s">
        <v>1186</v>
      </c>
    </row>
    <row r="364" spans="1:10" x14ac:dyDescent="0.25">
      <c r="A364" s="2" t="s">
        <v>1187</v>
      </c>
      <c r="B364" s="38" t="s">
        <v>471</v>
      </c>
      <c r="D364" s="2" t="s">
        <v>1188</v>
      </c>
    </row>
    <row r="365" spans="1:10" x14ac:dyDescent="0.25">
      <c r="A365" s="2" t="s">
        <v>1189</v>
      </c>
      <c r="B365" s="38" t="s">
        <v>1190</v>
      </c>
      <c r="D365" s="2" t="s">
        <v>1191</v>
      </c>
    </row>
    <row r="366" spans="1:10" x14ac:dyDescent="0.25">
      <c r="A366" s="2" t="s">
        <v>39</v>
      </c>
      <c r="B366" s="199">
        <f>'炮解锁|CannonUnlock'!ES29</f>
        <v>2700000</v>
      </c>
      <c r="C366" s="200" t="s">
        <v>1192</v>
      </c>
      <c r="D366" s="2" t="s">
        <v>1193</v>
      </c>
    </row>
    <row r="367" spans="1:10" x14ac:dyDescent="0.25">
      <c r="A367" s="2" t="s">
        <v>1194</v>
      </c>
      <c r="B367" s="38" t="s">
        <v>1190</v>
      </c>
      <c r="D367" s="2" t="s">
        <v>1195</v>
      </c>
    </row>
    <row r="368" spans="1:10" x14ac:dyDescent="0.25">
      <c r="A368" s="2" t="s">
        <v>1196</v>
      </c>
      <c r="B368" s="38" t="s">
        <v>1190</v>
      </c>
      <c r="D368" s="2" t="s">
        <v>1197</v>
      </c>
    </row>
    <row r="369" spans="1:7" x14ac:dyDescent="0.25">
      <c r="A369" s="2" t="s">
        <v>1198</v>
      </c>
      <c r="B369" s="38" t="s">
        <v>1199</v>
      </c>
      <c r="D369" s="2" t="s">
        <v>1200</v>
      </c>
    </row>
    <row r="370" spans="1:7" x14ac:dyDescent="0.25">
      <c r="A370" s="2" t="s">
        <v>1201</v>
      </c>
      <c r="B370" s="38" t="s">
        <v>1202</v>
      </c>
      <c r="D370" s="2" t="s">
        <v>1203</v>
      </c>
    </row>
    <row r="371" spans="1:7" x14ac:dyDescent="0.25">
      <c r="A371" s="2" t="s">
        <v>1204</v>
      </c>
      <c r="B371" s="38" t="s">
        <v>1190</v>
      </c>
      <c r="D371" s="2" t="s">
        <v>1205</v>
      </c>
    </row>
    <row r="372" spans="1:7" x14ac:dyDescent="0.25">
      <c r="A372" s="2" t="s">
        <v>1206</v>
      </c>
      <c r="B372" s="38" t="s">
        <v>1207</v>
      </c>
      <c r="D372" s="2" t="s">
        <v>1208</v>
      </c>
    </row>
    <row r="373" spans="1:7" x14ac:dyDescent="0.25">
      <c r="A373" s="2" t="s">
        <v>1209</v>
      </c>
      <c r="B373" s="38" t="s">
        <v>1210</v>
      </c>
      <c r="D373" s="2" t="s">
        <v>1211</v>
      </c>
    </row>
    <row r="374" spans="1:7" ht="16.2" x14ac:dyDescent="0.25">
      <c r="A374" s="2" t="s">
        <v>1212</v>
      </c>
      <c r="B374" s="126" t="s">
        <v>471</v>
      </c>
      <c r="D374" s="2" t="s">
        <v>1213</v>
      </c>
      <c r="F374" s="38" t="s">
        <v>471</v>
      </c>
    </row>
    <row r="375" spans="1:7" ht="16.2" x14ac:dyDescent="0.25">
      <c r="A375" s="2" t="s">
        <v>1214</v>
      </c>
      <c r="B375" s="126" t="s">
        <v>515</v>
      </c>
      <c r="D375" s="2" t="s">
        <v>1215</v>
      </c>
      <c r="F375" s="38" t="s">
        <v>515</v>
      </c>
    </row>
    <row r="376" spans="1:7" x14ac:dyDescent="0.25">
      <c r="A376" s="2" t="s">
        <v>1216</v>
      </c>
      <c r="B376" s="38" t="s">
        <v>1217</v>
      </c>
      <c r="D376" s="2" t="s">
        <v>1218</v>
      </c>
    </row>
    <row r="377" spans="1:7" x14ac:dyDescent="0.25">
      <c r="A377" s="198" t="s">
        <v>1219</v>
      </c>
      <c r="B377" s="201" t="s">
        <v>1220</v>
      </c>
      <c r="C377" s="198"/>
      <c r="D377" s="198" t="s">
        <v>1221</v>
      </c>
      <c r="E377" s="198"/>
      <c r="F377" s="198"/>
      <c r="G377" s="198"/>
    </row>
    <row r="378" spans="1:7" x14ac:dyDescent="0.25">
      <c r="A378" s="198" t="s">
        <v>1222</v>
      </c>
      <c r="B378" s="197" t="s">
        <v>1223</v>
      </c>
      <c r="C378" s="198"/>
      <c r="D378" s="198" t="s">
        <v>1224</v>
      </c>
      <c r="E378" s="198"/>
      <c r="F378" s="198"/>
      <c r="G378" s="198"/>
    </row>
    <row r="379" spans="1:7" x14ac:dyDescent="0.25">
      <c r="A379" s="198" t="s">
        <v>1225</v>
      </c>
      <c r="B379" s="197" t="s">
        <v>1202</v>
      </c>
      <c r="C379" s="198"/>
      <c r="D379" s="198" t="s">
        <v>1226</v>
      </c>
      <c r="E379" s="198"/>
      <c r="F379" s="198"/>
      <c r="G379" s="198"/>
    </row>
    <row r="380" spans="1:7" x14ac:dyDescent="0.25">
      <c r="A380" s="198" t="s">
        <v>1227</v>
      </c>
      <c r="B380" s="197" t="s">
        <v>1228</v>
      </c>
      <c r="C380" s="198"/>
      <c r="D380" s="198" t="s">
        <v>1229</v>
      </c>
      <c r="E380" s="198"/>
      <c r="F380" s="198"/>
      <c r="G380" s="198"/>
    </row>
    <row r="381" spans="1:7" x14ac:dyDescent="0.25">
      <c r="A381" s="198" t="s">
        <v>1230</v>
      </c>
      <c r="B381" s="197" t="s">
        <v>268</v>
      </c>
      <c r="C381" s="198"/>
      <c r="D381" s="198" t="s">
        <v>1231</v>
      </c>
      <c r="E381" s="198"/>
      <c r="F381" s="198"/>
      <c r="G381" s="198"/>
    </row>
    <row r="382" spans="1:7" x14ac:dyDescent="0.25">
      <c r="A382" s="198" t="s">
        <v>1232</v>
      </c>
      <c r="B382" s="197" t="s">
        <v>342</v>
      </c>
      <c r="C382" s="198"/>
      <c r="D382" s="198" t="s">
        <v>1233</v>
      </c>
      <c r="E382" s="198"/>
      <c r="F382" s="198"/>
      <c r="G382" s="198"/>
    </row>
    <row r="383" spans="1:7" x14ac:dyDescent="0.25">
      <c r="A383" s="198" t="s">
        <v>1234</v>
      </c>
      <c r="B383" s="197" t="s">
        <v>339</v>
      </c>
      <c r="C383" s="198"/>
      <c r="D383" s="198" t="s">
        <v>1235</v>
      </c>
      <c r="E383" s="198"/>
      <c r="F383" s="198"/>
      <c r="G383" s="198"/>
    </row>
    <row r="384" spans="1:7" s="13" customFormat="1" x14ac:dyDescent="0.25">
      <c r="A384" s="198" t="s">
        <v>1236</v>
      </c>
      <c r="B384" s="197" t="s">
        <v>1237</v>
      </c>
      <c r="C384" s="198"/>
      <c r="D384" s="198" t="s">
        <v>1238</v>
      </c>
      <c r="E384" s="198"/>
      <c r="F384" s="198"/>
      <c r="G384" s="198"/>
    </row>
    <row r="385" spans="1:7" s="13" customFormat="1" x14ac:dyDescent="0.25">
      <c r="A385" s="198" t="s">
        <v>1239</v>
      </c>
      <c r="B385" s="197" t="s">
        <v>1240</v>
      </c>
      <c r="C385" s="198"/>
      <c r="D385" s="198" t="s">
        <v>1238</v>
      </c>
      <c r="E385" s="198"/>
      <c r="F385" s="198"/>
      <c r="G385" s="198"/>
    </row>
    <row r="386" spans="1:7" s="13" customFormat="1" x14ac:dyDescent="0.25">
      <c r="A386" s="198" t="s">
        <v>1241</v>
      </c>
      <c r="B386" s="197" t="s">
        <v>1242</v>
      </c>
      <c r="C386" s="198"/>
      <c r="D386" s="198" t="s">
        <v>1238</v>
      </c>
      <c r="E386" s="198"/>
      <c r="F386" s="198"/>
      <c r="G386" s="198"/>
    </row>
    <row r="387" spans="1:7" x14ac:dyDescent="0.25">
      <c r="A387" s="2" t="s">
        <v>1243</v>
      </c>
      <c r="B387" s="38" t="s">
        <v>1807</v>
      </c>
      <c r="D387" s="2" t="s">
        <v>1244</v>
      </c>
    </row>
    <row r="388" spans="1:7" x14ac:dyDescent="0.25">
      <c r="A388" s="13" t="s">
        <v>1245</v>
      </c>
      <c r="B388" s="38" t="s">
        <v>1246</v>
      </c>
      <c r="D388" s="2" t="s">
        <v>1247</v>
      </c>
    </row>
    <row r="389" spans="1:7" x14ac:dyDescent="0.25">
      <c r="A389" s="13" t="s">
        <v>1802</v>
      </c>
      <c r="B389" s="38" t="s">
        <v>1804</v>
      </c>
      <c r="D389" s="2" t="s">
        <v>1803</v>
      </c>
    </row>
  </sheetData>
  <mergeCells count="5">
    <mergeCell ref="I318:I319"/>
    <mergeCell ref="L39:L40"/>
    <mergeCell ref="W269:W270"/>
    <mergeCell ref="AF318:AF319"/>
    <mergeCell ref="AG318:AG319"/>
  </mergeCells>
  <phoneticPr fontId="55" type="noConversion"/>
  <conditionalFormatting sqref="B26">
    <cfRule type="containsText" dxfId="810" priority="145" operator="containsText" text=".">
      <formula>NOT(ISERROR(SEARCH(".",B26)))</formula>
    </cfRule>
    <cfRule type="containsText" dxfId="809" priority="146" operator="containsText" text=" ">
      <formula>NOT(ISERROR(SEARCH(" ",B26)))</formula>
    </cfRule>
  </conditionalFormatting>
  <conditionalFormatting sqref="B52">
    <cfRule type="containsText" dxfId="808" priority="210" operator="containsText" text=".">
      <formula>NOT(ISERROR(SEARCH(".",B52)))</formula>
    </cfRule>
    <cfRule type="containsText" dxfId="807" priority="211" operator="containsText" text=" ">
      <formula>NOT(ISERROR(SEARCH(" ",B52)))</formula>
    </cfRule>
  </conditionalFormatting>
  <conditionalFormatting sqref="B54">
    <cfRule type="containsText" dxfId="806" priority="156" operator="containsText" text=".">
      <formula>NOT(ISERROR(SEARCH(".",B54)))</formula>
    </cfRule>
    <cfRule type="containsText" dxfId="805" priority="157" operator="containsText" text=" ">
      <formula>NOT(ISERROR(SEARCH(" ",B54)))</formula>
    </cfRule>
  </conditionalFormatting>
  <conditionalFormatting sqref="B55">
    <cfRule type="containsText" dxfId="804" priority="153" operator="containsText" text=".">
      <formula>NOT(ISERROR(SEARCH(".",B55)))</formula>
    </cfRule>
    <cfRule type="containsText" dxfId="803" priority="154" operator="containsText" text=" ">
      <formula>NOT(ISERROR(SEARCH(" ",B55)))</formula>
    </cfRule>
  </conditionalFormatting>
  <conditionalFormatting sqref="A128">
    <cfRule type="containsText" dxfId="802" priority="232" operator="containsText" text=" ">
      <formula>NOT(ISERROR(SEARCH(" ",A128)))</formula>
    </cfRule>
  </conditionalFormatting>
  <conditionalFormatting sqref="E132">
    <cfRule type="containsText" dxfId="801" priority="137" operator="containsText" text=" ">
      <formula>NOT(ISERROR(SEARCH(" ",E132)))</formula>
    </cfRule>
  </conditionalFormatting>
  <conditionalFormatting sqref="A135">
    <cfRule type="containsText" dxfId="800" priority="234" operator="containsText" text=" ">
      <formula>NOT(ISERROR(SEARCH(" ",A135)))</formula>
    </cfRule>
  </conditionalFormatting>
  <conditionalFormatting sqref="B137">
    <cfRule type="containsText" dxfId="799" priority="195" operator="containsText" text=".">
      <formula>NOT(ISERROR(SEARCH(".",B137)))</formula>
    </cfRule>
    <cfRule type="containsText" dxfId="798" priority="196" operator="containsText" text=" ">
      <formula>NOT(ISERROR(SEARCH(" ",B137)))</formula>
    </cfRule>
  </conditionalFormatting>
  <conditionalFormatting sqref="F137:H137">
    <cfRule type="containsText" dxfId="797" priority="208" operator="containsText" text=" ">
      <formula>NOT(ISERROR(SEARCH(" ",F137)))</formula>
    </cfRule>
  </conditionalFormatting>
  <conditionalFormatting sqref="B138">
    <cfRule type="containsText" dxfId="796" priority="201" operator="containsText" text=".">
      <formula>NOT(ISERROR(SEARCH(".",B138)))</formula>
    </cfRule>
    <cfRule type="containsText" dxfId="795" priority="202" operator="containsText" text=" ">
      <formula>NOT(ISERROR(SEARCH(" ",B138)))</formula>
    </cfRule>
  </conditionalFormatting>
  <conditionalFormatting sqref="B139">
    <cfRule type="containsText" dxfId="794" priority="193" operator="containsText" text=".">
      <formula>NOT(ISERROR(SEARCH(".",B139)))</formula>
    </cfRule>
    <cfRule type="containsText" dxfId="793" priority="194" operator="containsText" text=" ">
      <formula>NOT(ISERROR(SEARCH(" ",B139)))</formula>
    </cfRule>
  </conditionalFormatting>
  <conditionalFormatting sqref="B151">
    <cfRule type="containsText" dxfId="792" priority="204" operator="containsText" text=" ">
      <formula>NOT(ISERROR(SEARCH(" ",B151)))</formula>
    </cfRule>
  </conditionalFormatting>
  <conditionalFormatting sqref="B152">
    <cfRule type="containsText" dxfId="791" priority="205" operator="containsText" text=" ">
      <formula>NOT(ISERROR(SEARCH(" ",B152)))</formula>
    </cfRule>
  </conditionalFormatting>
  <conditionalFormatting sqref="A154:B154">
    <cfRule type="containsText" dxfId="790" priority="226" operator="containsText" text=" ">
      <formula>NOT(ISERROR(SEARCH(" ",A154)))</formula>
    </cfRule>
  </conditionalFormatting>
  <conditionalFormatting sqref="D154">
    <cfRule type="containsText" dxfId="789" priority="227" operator="containsText" text=" ">
      <formula>NOT(ISERROR(SEARCH(" ",D154)))</formula>
    </cfRule>
  </conditionalFormatting>
  <conditionalFormatting sqref="E188">
    <cfRule type="containsText" dxfId="788" priority="140" operator="containsText" text=" ">
      <formula>NOT(ISERROR(SEARCH(" ",E188)))</formula>
    </cfRule>
  </conditionalFormatting>
  <conditionalFormatting sqref="E189">
    <cfRule type="containsText" dxfId="787" priority="141" operator="containsText" text=" ">
      <formula>NOT(ISERROR(SEARCH(" ",E189)))</formula>
    </cfRule>
  </conditionalFormatting>
  <conditionalFormatting sqref="N202">
    <cfRule type="containsText" dxfId="786" priority="186" operator="containsText" text=" ">
      <formula>NOT(ISERROR(SEARCH(" ",N202)))</formula>
    </cfRule>
  </conditionalFormatting>
  <conditionalFormatting sqref="C213">
    <cfRule type="containsText" dxfId="785" priority="9" operator="containsText" text=" ">
      <formula>NOT(ISERROR(SEARCH(" ",C213)))</formula>
    </cfRule>
  </conditionalFormatting>
  <conditionalFormatting sqref="D224">
    <cfRule type="containsText" dxfId="784" priority="185" operator="containsText" text=" ">
      <formula>NOT(ISERROR(SEARCH(" ",D224)))</formula>
    </cfRule>
  </conditionalFormatting>
  <conditionalFormatting sqref="A227">
    <cfRule type="containsText" dxfId="783" priority="182" operator="containsText" text=" ">
      <formula>NOT(ISERROR(SEARCH(" ",A227)))</formula>
    </cfRule>
  </conditionalFormatting>
  <conditionalFormatting sqref="A229">
    <cfRule type="containsText" dxfId="782" priority="179" operator="containsText" text=" ">
      <formula>NOT(ISERROR(SEARCH(" ",A229)))</formula>
    </cfRule>
  </conditionalFormatting>
  <conditionalFormatting sqref="A230:B230">
    <cfRule type="containsText" dxfId="781" priority="181" operator="containsText" text=" ">
      <formula>NOT(ISERROR(SEARCH(" ",A230)))</formula>
    </cfRule>
  </conditionalFormatting>
  <conditionalFormatting sqref="A231">
    <cfRule type="containsText" dxfId="780" priority="175" operator="containsText" text=" ">
      <formula>NOT(ISERROR(SEARCH(" ",A231)))</formula>
    </cfRule>
  </conditionalFormatting>
  <conditionalFormatting sqref="D231">
    <cfRule type="containsText" dxfId="779" priority="178" operator="containsText" text=" ">
      <formula>NOT(ISERROR(SEARCH(" ",D231)))</formula>
    </cfRule>
  </conditionalFormatting>
  <conditionalFormatting sqref="A232">
    <cfRule type="containsText" dxfId="778" priority="177" operator="containsText" text=" ">
      <formula>NOT(ISERROR(SEARCH(" ",A232)))</formula>
    </cfRule>
  </conditionalFormatting>
  <conditionalFormatting sqref="B232">
    <cfRule type="containsText" dxfId="777" priority="170" operator="containsText" text=".">
      <formula>NOT(ISERROR(SEARCH(".",B232)))</formula>
    </cfRule>
    <cfRule type="containsText" dxfId="776" priority="171" operator="containsText" text=" ">
      <formula>NOT(ISERROR(SEARCH(" ",B232)))</formula>
    </cfRule>
  </conditionalFormatting>
  <conditionalFormatting sqref="A233">
    <cfRule type="containsText" dxfId="775" priority="163" operator="containsText" text=" ">
      <formula>NOT(ISERROR(SEARCH(" ",A233)))</formula>
    </cfRule>
  </conditionalFormatting>
  <conditionalFormatting sqref="D233">
    <cfRule type="containsText" dxfId="774" priority="168" operator="containsText" text=" ">
      <formula>NOT(ISERROR(SEARCH(" ",D233)))</formula>
    </cfRule>
  </conditionalFormatting>
  <conditionalFormatting sqref="A234">
    <cfRule type="containsText" dxfId="773" priority="162" operator="containsText" text=" ">
      <formula>NOT(ISERROR(SEARCH(" ",A234)))</formula>
    </cfRule>
  </conditionalFormatting>
  <conditionalFormatting sqref="B234">
    <cfRule type="containsText" dxfId="772" priority="160" operator="containsText" text=".">
      <formula>NOT(ISERROR(SEARCH(".",B234)))</formula>
    </cfRule>
    <cfRule type="containsText" dxfId="771" priority="161" operator="containsText" text=" ">
      <formula>NOT(ISERROR(SEARCH(" ",B234)))</formula>
    </cfRule>
  </conditionalFormatting>
  <conditionalFormatting sqref="A235:XFD235">
    <cfRule type="containsText" dxfId="770" priority="174" operator="containsText" text=" ">
      <formula>NOT(ISERROR(SEARCH(" ",A235)))</formula>
    </cfRule>
  </conditionalFormatting>
  <conditionalFormatting sqref="A236">
    <cfRule type="containsText" dxfId="769" priority="172" operator="containsText" text=" ">
      <formula>NOT(ISERROR(SEARCH(" ",A236)))</formula>
    </cfRule>
  </conditionalFormatting>
  <conditionalFormatting sqref="C236">
    <cfRule type="containsText" dxfId="768" priority="107" operator="containsText" text=" ">
      <formula>NOT(ISERROR(SEARCH(" ",C236)))</formula>
    </cfRule>
  </conditionalFormatting>
  <conditionalFormatting sqref="G252:H252">
    <cfRule type="containsText" dxfId="767" priority="113" operator="containsText" text=" ">
      <formula>NOT(ISERROR(SEARCH(" ",G252)))</formula>
    </cfRule>
  </conditionalFormatting>
  <conditionalFormatting sqref="L255">
    <cfRule type="containsText" dxfId="766" priority="125" operator="containsText" text=".">
      <formula>NOT(ISERROR(SEARCH(".",L255)))</formula>
    </cfRule>
  </conditionalFormatting>
  <conditionalFormatting sqref="A258:F258">
    <cfRule type="containsText" dxfId="765" priority="147" operator="containsText" text=" ">
      <formula>NOT(ISERROR(SEARCH(" ",A258)))</formula>
    </cfRule>
  </conditionalFormatting>
  <conditionalFormatting sqref="O268">
    <cfRule type="containsText" dxfId="764" priority="122" operator="containsText" text=" ">
      <formula>NOT(ISERROR(SEARCH(" ",O268)))</formula>
    </cfRule>
  </conditionalFormatting>
  <conditionalFormatting sqref="L270:N270">
    <cfRule type="containsText" dxfId="763" priority="117" operator="containsText" text=" ">
      <formula>NOT(ISERROR(SEARCH(" ",L270)))</formula>
    </cfRule>
  </conditionalFormatting>
  <conditionalFormatting sqref="O270:P270">
    <cfRule type="containsText" dxfId="762" priority="118" operator="containsText" text=" ">
      <formula>NOT(ISERROR(SEARCH(" ",O270)))</formula>
    </cfRule>
  </conditionalFormatting>
  <conditionalFormatting sqref="Q270">
    <cfRule type="containsText" dxfId="761" priority="116" operator="containsText" text=" ">
      <formula>NOT(ISERROR(SEARCH(" ",Q270)))</formula>
    </cfRule>
  </conditionalFormatting>
  <conditionalFormatting sqref="V270">
    <cfRule type="containsText" dxfId="760" priority="120" operator="containsText" text=" ">
      <formula>NOT(ISERROR(SEARCH(" ",V270)))</formula>
    </cfRule>
  </conditionalFormatting>
  <conditionalFormatting sqref="X270">
    <cfRule type="containsText" dxfId="759" priority="119" operator="containsText" text=" ">
      <formula>NOT(ISERROR(SEARCH(" ",X270)))</formula>
    </cfRule>
  </conditionalFormatting>
  <conditionalFormatting sqref="B273">
    <cfRule type="containsText" dxfId="758" priority="114" operator="containsText" text=" ">
      <formula>NOT(ISERROR(SEARCH(" ",B273)))</formula>
    </cfRule>
    <cfRule type="containsText" dxfId="757" priority="115" operator="containsText" text=".">
      <formula>NOT(ISERROR(SEARCH(".",B273)))</formula>
    </cfRule>
  </conditionalFormatting>
  <conditionalFormatting sqref="A276:D276">
    <cfRule type="containsText" dxfId="756" priority="112" operator="containsText" text=" ">
      <formula>NOT(ISERROR(SEARCH(" ",A276)))</formula>
    </cfRule>
  </conditionalFormatting>
  <conditionalFormatting sqref="B276">
    <cfRule type="containsText" dxfId="755" priority="111" operator="containsText" text=".">
      <formula>NOT(ISERROR(SEARCH(".",B276)))</formula>
    </cfRule>
  </conditionalFormatting>
  <conditionalFormatting sqref="B280">
    <cfRule type="containsText" dxfId="754" priority="80" operator="containsText" text=".">
      <formula>NOT(ISERROR(SEARCH(".",B280)))</formula>
    </cfRule>
  </conditionalFormatting>
  <conditionalFormatting sqref="B282">
    <cfRule type="containsText" dxfId="753" priority="110" operator="containsText" text=".">
      <formula>NOT(ISERROR(SEARCH(".",B282)))</formula>
    </cfRule>
  </conditionalFormatting>
  <conditionalFormatting sqref="B291">
    <cfRule type="containsText" dxfId="752" priority="103" operator="containsText" text=" ">
      <formula>NOT(ISERROR(SEARCH(" ",B291)))</formula>
    </cfRule>
    <cfRule type="containsText" dxfId="751" priority="104" operator="containsText" text=".">
      <formula>NOT(ISERROR(SEARCH(".",B291)))</formula>
    </cfRule>
  </conditionalFormatting>
  <conditionalFormatting sqref="B293">
    <cfRule type="containsText" dxfId="750" priority="101" operator="containsText" text=".">
      <formula>NOT(ISERROR(SEARCH(".",B293)))</formula>
    </cfRule>
    <cfRule type="containsText" dxfId="749" priority="102" operator="containsText" text=" ">
      <formula>NOT(ISERROR(SEARCH(" ",B293)))</formula>
    </cfRule>
  </conditionalFormatting>
  <conditionalFormatting sqref="B295">
    <cfRule type="containsText" dxfId="748" priority="99" operator="containsText" text=".">
      <formula>NOT(ISERROR(SEARCH(".",B295)))</formula>
    </cfRule>
    <cfRule type="containsText" dxfId="747" priority="100" operator="containsText" text=" ">
      <formula>NOT(ISERROR(SEARCH(" ",B295)))</formula>
    </cfRule>
  </conditionalFormatting>
  <conditionalFormatting sqref="B298">
    <cfRule type="containsText" dxfId="746" priority="97" operator="containsText" text=".">
      <formula>NOT(ISERROR(SEARCH(".",B298)))</formula>
    </cfRule>
  </conditionalFormatting>
  <conditionalFormatting sqref="A306:D306">
    <cfRule type="containsText" dxfId="745" priority="95" operator="containsText" text=" ">
      <formula>NOT(ISERROR(SEARCH(" ",A306)))</formula>
    </cfRule>
  </conditionalFormatting>
  <conditionalFormatting sqref="B306">
    <cfRule type="containsText" dxfId="744" priority="96" operator="containsText" text=".">
      <formula>NOT(ISERROR(SEARCH(".",B306)))</formula>
    </cfRule>
  </conditionalFormatting>
  <conditionalFormatting sqref="B313">
    <cfRule type="containsText" dxfId="743" priority="91" operator="containsText" text=".">
      <formula>NOT(ISERROR(SEARCH(".",B313)))</formula>
    </cfRule>
    <cfRule type="containsText" dxfId="742" priority="92" operator="containsText" text=" ">
      <formula>NOT(ISERROR(SEARCH(" ",B313)))</formula>
    </cfRule>
  </conditionalFormatting>
  <conditionalFormatting sqref="AD319">
    <cfRule type="containsText" dxfId="741" priority="77" operator="containsText" text=" ">
      <formula>NOT(ISERROR(SEARCH(" ",AD319)))</formula>
    </cfRule>
  </conditionalFormatting>
  <conditionalFormatting sqref="B320">
    <cfRule type="containsText" dxfId="740" priority="87" operator="containsText" text=".">
      <formula>NOT(ISERROR(SEARCH(".",B320)))</formula>
    </cfRule>
    <cfRule type="containsText" dxfId="739" priority="88" operator="containsText" text=" ">
      <formula>NOT(ISERROR(SEARCH(" ",B320)))</formula>
    </cfRule>
  </conditionalFormatting>
  <conditionalFormatting sqref="G320">
    <cfRule type="containsText" dxfId="738" priority="55" operator="containsText" text=".">
      <formula>NOT(ISERROR(SEARCH(".",G320)))</formula>
    </cfRule>
    <cfRule type="containsText" dxfId="737" priority="56" operator="containsText" text=" ">
      <formula>NOT(ISERROR(SEARCH(" ",G320)))</formula>
    </cfRule>
  </conditionalFormatting>
  <conditionalFormatting sqref="Z320:AA320">
    <cfRule type="containsText" dxfId="736" priority="73" operator="containsText" text=" ">
      <formula>NOT(ISERROR(SEARCH(" ",Z320)))</formula>
    </cfRule>
  </conditionalFormatting>
  <conditionalFormatting sqref="AB320:AC320">
    <cfRule type="containsText" dxfId="735" priority="72" operator="containsText" text=" ">
      <formula>NOT(ISERROR(SEARCH(" ",AB320)))</formula>
    </cfRule>
  </conditionalFormatting>
  <conditionalFormatting sqref="AD320:AE320">
    <cfRule type="containsText" dxfId="734" priority="71" operator="containsText" text=" ">
      <formula>NOT(ISERROR(SEARCH(" ",AD320)))</formula>
    </cfRule>
  </conditionalFormatting>
  <conditionalFormatting sqref="B321">
    <cfRule type="containsText" dxfId="733" priority="83" operator="containsText" text=".">
      <formula>NOT(ISERROR(SEARCH(".",B321)))</formula>
    </cfRule>
    <cfRule type="containsText" dxfId="732" priority="84" operator="containsText" text=" ">
      <formula>NOT(ISERROR(SEARCH(" ",B321)))</formula>
    </cfRule>
  </conditionalFormatting>
  <conditionalFormatting sqref="G321">
    <cfRule type="containsText" dxfId="731" priority="53" operator="containsText" text=".">
      <formula>NOT(ISERROR(SEARCH(".",G321)))</formula>
    </cfRule>
    <cfRule type="containsText" dxfId="730" priority="54" operator="containsText" text=" ">
      <formula>NOT(ISERROR(SEARCH(" ",G321)))</formula>
    </cfRule>
  </conditionalFormatting>
  <conditionalFormatting sqref="B322">
    <cfRule type="containsText" dxfId="729" priority="57" operator="containsText" text=" ">
      <formula>NOT(ISERROR(SEARCH(" ",B322)))</formula>
    </cfRule>
    <cfRule type="containsText" dxfId="728" priority="58" operator="containsText" text=".">
      <formula>NOT(ISERROR(SEARCH(".",B322)))</formula>
    </cfRule>
    <cfRule type="containsText" dxfId="727" priority="59" operator="containsText" text=" ">
      <formula>NOT(ISERROR(SEARCH(" ",B322)))</formula>
    </cfRule>
  </conditionalFormatting>
  <conditionalFormatting sqref="G322">
    <cfRule type="containsText" dxfId="726" priority="51" operator="containsText" text=".">
      <formula>NOT(ISERROR(SEARCH(".",G322)))</formula>
    </cfRule>
    <cfRule type="containsText" dxfId="725" priority="52" operator="containsText" text=" ">
      <formula>NOT(ISERROR(SEARCH(" ",G322)))</formula>
    </cfRule>
  </conditionalFormatting>
  <conditionalFormatting sqref="B329">
    <cfRule type="containsText" dxfId="724" priority="45" operator="containsText" text=".">
      <formula>NOT(ISERROR(SEARCH(".",B329)))</formula>
    </cfRule>
    <cfRule type="containsText" dxfId="723" priority="46" operator="containsText" text=" ">
      <formula>NOT(ISERROR(SEARCH(" ",B329)))</formula>
    </cfRule>
  </conditionalFormatting>
  <conditionalFormatting sqref="A333">
    <cfRule type="containsText" dxfId="722" priority="44" operator="containsText" text=" ">
      <formula>NOT(ISERROR(SEARCH(" ",A333)))</formula>
    </cfRule>
  </conditionalFormatting>
  <conditionalFormatting sqref="AH333">
    <cfRule type="containsText" dxfId="721" priority="42" operator="containsText" text=" ">
      <formula>NOT(ISERROR(SEARCH(" ",AH333)))</formula>
    </cfRule>
  </conditionalFormatting>
  <conditionalFormatting sqref="D340">
    <cfRule type="containsText" dxfId="720" priority="18" operator="containsText" text=" ">
      <formula>NOT(ISERROR(SEARCH(" ",D340)))</formula>
    </cfRule>
  </conditionalFormatting>
  <conditionalFormatting sqref="D341">
    <cfRule type="containsText" dxfId="719" priority="15" operator="containsText" text=" ">
      <formula>NOT(ISERROR(SEARCH(" ",D341)))</formula>
    </cfRule>
  </conditionalFormatting>
  <conditionalFormatting sqref="D342">
    <cfRule type="containsText" dxfId="718" priority="16" operator="containsText" text=" ">
      <formula>NOT(ISERROR(SEARCH(" ",D342)))</formula>
    </cfRule>
  </conditionalFormatting>
  <conditionalFormatting sqref="B347">
    <cfRule type="containsText" dxfId="717" priority="12" operator="containsText" text=".">
      <formula>NOT(ISERROR(SEARCH(".",B347)))</formula>
    </cfRule>
  </conditionalFormatting>
  <conditionalFormatting sqref="C347">
    <cfRule type="containsText" dxfId="716" priority="13" operator="containsText" text=" ">
      <formula>NOT(ISERROR(SEARCH(" ",C347)))</formula>
    </cfRule>
  </conditionalFormatting>
  <conditionalFormatting sqref="J353">
    <cfRule type="containsText" dxfId="715" priority="5" operator="containsText" text=".">
      <formula>NOT(ISERROR(SEARCH(".",J353)))</formula>
    </cfRule>
    <cfRule type="containsText" dxfId="714" priority="6" operator="containsText" text=" ">
      <formula>NOT(ISERROR(SEARCH(" ",J353)))</formula>
    </cfRule>
  </conditionalFormatting>
  <conditionalFormatting sqref="A1:A1048576">
    <cfRule type="duplicateValues" dxfId="713" priority="1"/>
  </conditionalFormatting>
  <conditionalFormatting sqref="A67:A68">
    <cfRule type="containsText" dxfId="712" priority="249" operator="containsText" text=" ">
      <formula>NOT(ISERROR(SEARCH(" ",A67)))</formula>
    </cfRule>
  </conditionalFormatting>
  <conditionalFormatting sqref="A133:A134">
    <cfRule type="containsText" dxfId="711" priority="235" operator="containsText" text=" ">
      <formula>NOT(ISERROR(SEARCH(" ",A133)))</formula>
    </cfRule>
  </conditionalFormatting>
  <conditionalFormatting sqref="A334:A335">
    <cfRule type="containsText" dxfId="710" priority="43" operator="containsText" text=" ">
      <formula>NOT(ISERROR(SEARCH(" ",A334)))</formula>
    </cfRule>
  </conditionalFormatting>
  <conditionalFormatting sqref="B13:B15">
    <cfRule type="containsText" dxfId="709" priority="242" operator="containsText" text=" ">
      <formula>NOT(ISERROR(SEARCH(" ",B13)))</formula>
    </cfRule>
  </conditionalFormatting>
  <conditionalFormatting sqref="B60:B62">
    <cfRule type="containsText" dxfId="708" priority="251" operator="containsText" text=" ">
      <formula>NOT(ISERROR(SEARCH(" ",B60)))</formula>
    </cfRule>
  </conditionalFormatting>
  <conditionalFormatting sqref="B144:B147">
    <cfRule type="containsText" dxfId="707" priority="197" operator="containsText" text=".">
      <formula>NOT(ISERROR(SEARCH(".",B144)))</formula>
    </cfRule>
    <cfRule type="containsText" dxfId="706" priority="198" operator="containsText" text=" ">
      <formula>NOT(ISERROR(SEARCH(" ",B144)))</formula>
    </cfRule>
  </conditionalFormatting>
  <conditionalFormatting sqref="B149:B150">
    <cfRule type="containsText" dxfId="705" priority="199" operator="containsText" text=".">
      <formula>NOT(ISERROR(SEARCH(".",B149)))</formula>
    </cfRule>
    <cfRule type="containsText" dxfId="704" priority="200" operator="containsText" text=" ">
      <formula>NOT(ISERROR(SEARCH(" ",B149)))</formula>
    </cfRule>
  </conditionalFormatting>
  <conditionalFormatting sqref="B202:B203">
    <cfRule type="containsText" dxfId="703" priority="191" operator="containsText" text=".">
      <formula>NOT(ISERROR(SEARCH(".",B202)))</formula>
    </cfRule>
    <cfRule type="containsText" dxfId="702" priority="192" operator="containsText" text=" ">
      <formula>NOT(ISERROR(SEARCH(" ",B202)))</formula>
    </cfRule>
  </conditionalFormatting>
  <conditionalFormatting sqref="B287:B288">
    <cfRule type="containsText" dxfId="701" priority="105" operator="containsText" text=" ">
      <formula>NOT(ISERROR(SEARCH(" ",B287)))</formula>
    </cfRule>
    <cfRule type="containsText" dxfId="700" priority="106" operator="containsText" text=".">
      <formula>NOT(ISERROR(SEARCH(".",B287)))</formula>
    </cfRule>
  </conditionalFormatting>
  <conditionalFormatting sqref="B307:B312">
    <cfRule type="containsText" dxfId="699" priority="93" operator="containsText" text=".">
      <formula>NOT(ISERROR(SEARCH(".",B307)))</formula>
    </cfRule>
  </conditionalFormatting>
  <conditionalFormatting sqref="C14:C15">
    <cfRule type="containsText" dxfId="698" priority="108" operator="containsText" text=" ">
      <formula>NOT(ISERROR(SEARCH(" ",C14)))</formula>
    </cfRule>
  </conditionalFormatting>
  <conditionalFormatting sqref="C132:C154">
    <cfRule type="containsText" dxfId="697" priority="135" operator="containsText" text=" ">
      <formula>NOT(ISERROR(SEARCH(" ",C132)))</formula>
    </cfRule>
  </conditionalFormatting>
  <conditionalFormatting sqref="C167:C170">
    <cfRule type="containsText" dxfId="696" priority="134" operator="containsText" text=" ">
      <formula>NOT(ISERROR(SEARCH(" ",C167)))</formula>
    </cfRule>
  </conditionalFormatting>
  <conditionalFormatting sqref="C178:C185">
    <cfRule type="containsText" dxfId="695" priority="133" operator="containsText" text=" ">
      <formula>NOT(ISERROR(SEARCH(" ",C178)))</formula>
    </cfRule>
  </conditionalFormatting>
  <conditionalFormatting sqref="C188:C189">
    <cfRule type="containsText" dxfId="694" priority="132" operator="containsText" text=" ">
      <formula>NOT(ISERROR(SEARCH(" ",C188)))</formula>
    </cfRule>
  </conditionalFormatting>
  <conditionalFormatting sqref="C202:C203">
    <cfRule type="containsText" dxfId="693" priority="131" operator="containsText" text=" ">
      <formula>NOT(ISERROR(SEARCH(" ",C202)))</formula>
    </cfRule>
  </conditionalFormatting>
  <conditionalFormatting sqref="C223:C234">
    <cfRule type="containsText" dxfId="692" priority="130" operator="containsText" text=" ">
      <formula>NOT(ISERROR(SEARCH(" ",C223)))</formula>
    </cfRule>
  </conditionalFormatting>
  <conditionalFormatting sqref="D122:D123">
    <cfRule type="containsText" dxfId="691" priority="220" operator="containsText" text=" ">
      <formula>NOT(ISERROR(SEARCH(" ",D122)))</formula>
    </cfRule>
  </conditionalFormatting>
  <conditionalFormatting sqref="E97:E122">
    <cfRule type="containsText" dxfId="690" priority="136" operator="containsText" text=" ">
      <formula>NOT(ISERROR(SEARCH(" ",E97)))</formula>
    </cfRule>
  </conditionalFormatting>
  <conditionalFormatting sqref="E124:E129">
    <cfRule type="containsText" dxfId="689" priority="138" operator="containsText" text=" ">
      <formula>NOT(ISERROR(SEARCH(" ",E124)))</formula>
    </cfRule>
  </conditionalFormatting>
  <conditionalFormatting sqref="E133:E154">
    <cfRule type="containsText" dxfId="688" priority="144" operator="containsText" text=" ">
      <formula>NOT(ISERROR(SEARCH(" ",E133)))</formula>
    </cfRule>
  </conditionalFormatting>
  <conditionalFormatting sqref="E167:E170">
    <cfRule type="containsText" dxfId="687" priority="143" operator="containsText" text=" ">
      <formula>NOT(ISERROR(SEARCH(" ",E167)))</formula>
    </cfRule>
  </conditionalFormatting>
  <conditionalFormatting sqref="E178:E185">
    <cfRule type="containsText" dxfId="686" priority="142" operator="containsText" text=" ">
      <formula>NOT(ISERROR(SEARCH(" ",E178)))</formula>
    </cfRule>
  </conditionalFormatting>
  <conditionalFormatting sqref="E202:E203">
    <cfRule type="containsText" dxfId="685" priority="139" operator="containsText" text=" ">
      <formula>NOT(ISERROR(SEARCH(" ",E202)))</formula>
    </cfRule>
  </conditionalFormatting>
  <conditionalFormatting sqref="F374:F375">
    <cfRule type="containsText" dxfId="684" priority="2" operator="containsText" text=".">
      <formula>NOT(ISERROR(SEARCH(".",F374)))</formula>
    </cfRule>
  </conditionalFormatting>
  <conditionalFormatting sqref="K349:K351">
    <cfRule type="containsText" dxfId="683" priority="8" operator="containsText" text=" ">
      <formula>NOT(ISERROR(SEARCH(" ",K349)))</formula>
    </cfRule>
  </conditionalFormatting>
  <conditionalFormatting sqref="P321:P322">
    <cfRule type="containsText" dxfId="682" priority="70" operator="containsText" text=" ">
      <formula>NOT(ISERROR(SEARCH(" ",P321)))</formula>
    </cfRule>
  </conditionalFormatting>
  <conditionalFormatting sqref="Q321:Q322">
    <cfRule type="containsText" dxfId="681" priority="65" operator="containsText" text=" ">
      <formula>NOT(ISERROR(SEARCH(" ",Q321)))</formula>
    </cfRule>
  </conditionalFormatting>
  <conditionalFormatting sqref="R321:R322">
    <cfRule type="containsText" dxfId="680" priority="69" operator="containsText" text=" ">
      <formula>NOT(ISERROR(SEARCH(" ",R321)))</formula>
    </cfRule>
  </conditionalFormatting>
  <conditionalFormatting sqref="S321:S322">
    <cfRule type="containsText" dxfId="679" priority="64" operator="containsText" text=" ">
      <formula>NOT(ISERROR(SEARCH(" ",S321)))</formula>
    </cfRule>
  </conditionalFormatting>
  <conditionalFormatting sqref="Z321:Z322">
    <cfRule type="containsText" dxfId="678" priority="68" operator="containsText" text=" ">
      <formula>NOT(ISERROR(SEARCH(" ",Z321)))</formula>
    </cfRule>
  </conditionalFormatting>
  <conditionalFormatting sqref="AA321:AA322">
    <cfRule type="containsText" dxfId="677" priority="63" operator="containsText" text=" ">
      <formula>NOT(ISERROR(SEARCH(" ",AA321)))</formula>
    </cfRule>
  </conditionalFormatting>
  <conditionalFormatting sqref="AB321:AB322">
    <cfRule type="containsText" dxfId="676" priority="67" operator="containsText" text=" ">
      <formula>NOT(ISERROR(SEARCH(" ",AB321)))</formula>
    </cfRule>
  </conditionalFormatting>
  <conditionalFormatting sqref="AC321:AC322">
    <cfRule type="containsText" dxfId="675" priority="62" operator="containsText" text=" ">
      <formula>NOT(ISERROR(SEARCH(" ",AC321)))</formula>
    </cfRule>
  </conditionalFormatting>
  <conditionalFormatting sqref="AD321:AD322">
    <cfRule type="containsText" dxfId="674" priority="66" operator="containsText" text=" ">
      <formula>NOT(ISERROR(SEARCH(" ",AD321)))</formula>
    </cfRule>
  </conditionalFormatting>
  <conditionalFormatting sqref="AE321:AE322">
    <cfRule type="containsText" dxfId="673" priority="61" operator="containsText" text=" ">
      <formula>NOT(ISERROR(SEARCH(" ",AE321)))</formula>
    </cfRule>
  </conditionalFormatting>
  <conditionalFormatting sqref="D55 A1:XFD9 A11:XFD12 A10:D10 F10:XFD10">
    <cfRule type="containsText" dxfId="672" priority="152" operator="containsText" text=" ">
      <formula>NOT(ISERROR(SEARCH(" ",A1)))</formula>
    </cfRule>
  </conditionalFormatting>
  <conditionalFormatting sqref="B184:B185 B1:B20 B27:B38 B22:B25">
    <cfRule type="containsText" dxfId="671" priority="213" operator="containsText" text=".">
      <formula>NOT(ISERROR(SEARCH(".",B1)))</formula>
    </cfRule>
  </conditionalFormatting>
  <conditionalFormatting sqref="C13 L302:XFD302 K303 F293:XFD295 A300:XFD301 G299:XFD299 C297:XFD298 A297:A299 C302:J302 A302:A303">
    <cfRule type="containsText" dxfId="670" priority="109" operator="containsText" text=" ">
      <formula>NOT(ISERROR(SEARCH(" ",A13)))</formula>
    </cfRule>
  </conditionalFormatting>
  <conditionalFormatting sqref="A51 C51:XFD51 A56:XFD57 I89:XFD90 A89:G90 C91:XFD93 A91:A93 L14:XFD14 A13:A16 D13:XFD13 A38:C38 E38:XFD38 F120:XFD120 O29:XFD37 A60:A65 C60:XFD62 J63:XFD65 B63:H65 D121 A136 A125:B127 A130:H131 I128:XFD136 D151 A95:XFD96 E123:I123 A138:A151 A112 A72:XFD88 E52:XFD52 A113:B118 I138:XFD150 D138:D149 D136 K21:K24 M21:N24 K16:N18 Q26:XFD28 O16:XFD19 D98:D100 D103:D108 A59:XFD59 A58:D58 F58:XFD58 A27:J37 A26 C26:J26 F151:XFD151 F125:XFD127 A129:B129 F129:H129 A132:B132 F132:H132 A97:D97 F97:XFD109 F121:I122 D129 D125:D127 C112:C129 D132 D69 A69:B71 D70:XFD71 B66:XFD68 D14:J15 Q15:XFD15 A17:J20 A22:J25 L19:L24 O20:P25 Q22:Q23 R22:XFD25 Q20:XFD20 A46:XFD46 A50:XFD50 A47:C49 E47:XFD49">
    <cfRule type="containsText" dxfId="669" priority="253" operator="containsText" text=" ">
      <formula>NOT(ISERROR(SEARCH(" ",A13)))</formula>
    </cfRule>
  </conditionalFormatting>
  <conditionalFormatting sqref="C71 C16:E16 K15:P15 G16:J16">
    <cfRule type="containsText" dxfId="668" priority="126" operator="containsText" text=" ">
      <formula>NOT(ISERROR(SEARCH(" ",C15)))</formula>
    </cfRule>
  </conditionalFormatting>
  <conditionalFormatting sqref="B16 A153:B153 A152 A186:XFD187 A201:A203 K205 K207 K209 K211 K213 K215 N203:XFD203 O202:XFD202 M203:M215 N204:N215 A155:XFD166 F152:XFD154 A167:B169 F167:XFD169 A190:XFD200 A188:B189 F188:XFD189 D152:D153 D167:D169 D188:D189">
    <cfRule type="containsText" dxfId="667" priority="238" operator="containsText" text=" ">
      <formula>NOT(ISERROR(SEARCH(" ",A16)))</formula>
    </cfRule>
  </conditionalFormatting>
  <conditionalFormatting sqref="D38 F133:H136 D150 M121:XFD124 H120:L127 D124 F138:H150 F124:I124 M19:N20 K19:K20">
    <cfRule type="containsText" dxfId="666" priority="241" operator="containsText" text=" ">
      <formula>NOT(ISERROR(SEARCH(" ",D19)))</formula>
    </cfRule>
  </conditionalFormatting>
  <conditionalFormatting sqref="Q21:XFD21 A21:J21">
    <cfRule type="containsText" dxfId="665" priority="50" operator="containsText" text=" ">
      <formula>NOT(ISERROR(SEARCH(" ",A21)))</formula>
    </cfRule>
  </conditionalFormatting>
  <conditionalFormatting sqref="B21 B330:B332 B336">
    <cfRule type="containsText" dxfId="664" priority="48" operator="containsText" text=".">
      <formula>NOT(ISERROR(SEARCH(".",B21)))</formula>
    </cfRule>
  </conditionalFormatting>
  <conditionalFormatting sqref="L25 A98:C111 D110:D119 F110:XFD119">
    <cfRule type="containsText" dxfId="663" priority="149" operator="containsText" text=" ">
      <formula>NOT(ISERROR(SEARCH(" ",A25)))</formula>
    </cfRule>
  </conditionalFormatting>
  <conditionalFormatting sqref="K25 M25:N25 G258:XFD258 A269:A270 R270:U270 Y268:XFD270 E272:J272 A273 C273:J273 A255:XFD257 A305:XFD305 E306:E313 E315:E364 A353:D364 L349:XFD354 D243:XFD243 A314:A324 B315 A304 B319:B320 C304:XFD304 C303:J303 L303:XFD303 A282:XFD286 F287:XFD292 A244:XFD251 A243:B243 F322 B323:D324 C321:D322 F325:XFD330 F324:J324 L324:XFD324 D335 AI333:XFD337 AH338:XFD338 F331:F338 AH331:XFD332 A337:B339 D337:D339 B341:C342 B343:D344 C325:C340 A345:D346 F339:H364 I355:XFD364 C352:D352 I339:XFD348 A352 E372:XFD1048576 A365:XFD371 A374:D1048576">
    <cfRule type="containsText" dxfId="662" priority="151" operator="containsText" text=" ">
      <formula>NOT(ISERROR(SEARCH(" ",A25)))</formula>
    </cfRule>
  </conditionalFormatting>
  <conditionalFormatting sqref="B53 A39:D39 A41:D45">
    <cfRule type="containsText" dxfId="661" priority="243" operator="containsText" text=" ">
      <formula>NOT(ISERROR(SEARCH(" ",A39)))</formula>
    </cfRule>
  </conditionalFormatting>
  <conditionalFormatting sqref="B154 B39 B41:B45">
    <cfRule type="containsText" dxfId="660" priority="225" operator="containsText" text=".">
      <formula>NOT(ISERROR(SEARCH(".",B39)))</formula>
    </cfRule>
  </conditionalFormatting>
  <conditionalFormatting sqref="E39:XFD39 E41:XFD45 E40:K40 M40:XFD40">
    <cfRule type="containsText" dxfId="659" priority="190" operator="containsText" text=" ">
      <formula>NOT(ISERROR(SEARCH(" ",E39)))</formula>
    </cfRule>
  </conditionalFormatting>
  <conditionalFormatting sqref="A40 K69:XFD69 E69:I69">
    <cfRule type="containsText" dxfId="658" priority="159" operator="containsText" text=" ">
      <formula>NOT(ISERROR(SEARCH(" ",A40)))</formula>
    </cfRule>
  </conditionalFormatting>
  <conditionalFormatting sqref="B153 B53 B113:B132 B186:B200 B155:B169 B46:B51">
    <cfRule type="containsText" dxfId="657" priority="230" operator="containsText" text=".">
      <formula>NOT(ISERROR(SEARCH(".",B46)))</formula>
    </cfRule>
  </conditionalFormatting>
  <conditionalFormatting sqref="B51 F201:XFD201 B201:D201">
    <cfRule type="containsText" dxfId="656" priority="252" operator="containsText" text=" ">
      <formula>NOT(ISERROR(SEARCH(" ",B51)))</formula>
    </cfRule>
  </conditionalFormatting>
  <conditionalFormatting sqref="A52 C52:D52">
    <cfRule type="containsText" dxfId="655" priority="212" operator="containsText" text=" ">
      <formula>NOT(ISERROR(SEARCH(" ",A52)))</formula>
    </cfRule>
  </conditionalFormatting>
  <conditionalFormatting sqref="A53 C53:XFD53">
    <cfRule type="containsText" dxfId="654" priority="244" operator="containsText" text=" ">
      <formula>NOT(ISERROR(SEARCH(" ",A53)))</formula>
    </cfRule>
  </conditionalFormatting>
  <conditionalFormatting sqref="A54 C54:XFD54">
    <cfRule type="containsText" dxfId="653" priority="158" operator="containsText" text=" ">
      <formula>NOT(ISERROR(SEARCH(" ",A54)))</formula>
    </cfRule>
  </conditionalFormatting>
  <conditionalFormatting sqref="A55 C55 E55:XFD55">
    <cfRule type="containsText" dxfId="652" priority="155" operator="containsText" text=" ">
      <formula>NOT(ISERROR(SEARCH(" ",A55)))</formula>
    </cfRule>
  </conditionalFormatting>
  <conditionalFormatting sqref="B258 B56:B111">
    <cfRule type="containsText" dxfId="651" priority="148" operator="containsText" text=".">
      <formula>NOT(ISERROR(SEARCH(".",B56)))</formula>
    </cfRule>
  </conditionalFormatting>
  <conditionalFormatting sqref="A66 A171:XFD177 A170:B170 F170:XFD170 F178:XFD183 D170 A178:B183 D178:D183">
    <cfRule type="containsText" dxfId="650" priority="250" operator="containsText" text=" ">
      <formula>NOT(ISERROR(SEARCH(" ",A66)))</formula>
    </cfRule>
  </conditionalFormatting>
  <conditionalFormatting sqref="J68 B274:B275 B252:B254 B277:B279 B283:B286 B297 B300:B301 B305 B315 B319:B320 B323:B324 B281 B337:B339 B341:B346 B353:B371 B374:B1048576">
    <cfRule type="containsText" dxfId="649" priority="123" operator="containsText" text=".">
      <formula>NOT(ISERROR(SEARCH(".",B68)))</formula>
    </cfRule>
  </conditionalFormatting>
  <conditionalFormatting sqref="C69 L267:L268 K269:R269 R268 O267:R267 T269:W269 V267:V268 A259:XFD262 A263:J267 K265:X266 X268:X269 Y263:XFD267 W267:X267 C269:D270 E268:J271 A271:D272">
    <cfRule type="containsText" dxfId="648" priority="129" operator="containsText" text=" ">
      <formula>NOT(ISERROR(SEARCH(" ",A69)))</formula>
    </cfRule>
  </conditionalFormatting>
  <conditionalFormatting sqref="C70 A274:J275 A253:J254 L271:XFD279 L252:XFD254 A252:F252 I252:J252 E276:J276 A277:J279 A281:J281 L281:XFD281">
    <cfRule type="containsText" dxfId="647" priority="127" operator="containsText" text=" ">
      <formula>NOT(ISERROR(SEARCH(" ",A70)))</formula>
    </cfRule>
  </conditionalFormatting>
  <conditionalFormatting sqref="B91 B93">
    <cfRule type="containsText" dxfId="646" priority="248" operator="containsText" text=" ">
      <formula>NOT(ISERROR(SEARCH(" ",B91)))</formula>
    </cfRule>
  </conditionalFormatting>
  <conditionalFormatting sqref="B92 C299:F299 C296:XFD296 B297:B298 A296">
    <cfRule type="containsText" dxfId="645" priority="247" operator="containsText" text=" ">
      <formula>NOT(ISERROR(SEARCH(" ",A92)))</formula>
    </cfRule>
  </conditionalFormatting>
  <conditionalFormatting sqref="B94 A237:XFD241 A242:B242 D242:XFD242 C243">
    <cfRule type="containsText" dxfId="644" priority="245" operator="containsText" text=" ">
      <formula>NOT(ISERROR(SEARCH(" ",A94)))</formula>
    </cfRule>
  </conditionalFormatting>
  <conditionalFormatting sqref="C94:XFD94 A94">
    <cfRule type="containsText" dxfId="643" priority="246" operator="containsText" text=" ">
      <formula>NOT(ISERROR(SEARCH(" ",A94)))</formula>
    </cfRule>
  </conditionalFormatting>
  <conditionalFormatting sqref="D101 F306:XFD308 M318 P320:S320 F314:XFD317 F309:U313 X309:XFD313 P318:U318 AA318:AF318 AF320:AF322 N319 P319 R319 T319 V319 X319 Z319 AB319 AH318:XFD318 T320:Y322 AJ319:XFD322 F318:G319 F320:F321">
    <cfRule type="containsText" dxfId="642" priority="240" operator="containsText" text=" ">
      <formula>NOT(ISERROR(SEARCH(" ",D101)))</formula>
    </cfRule>
  </conditionalFormatting>
  <conditionalFormatting sqref="A119:B121 B122:B123">
    <cfRule type="containsText" dxfId="641" priority="239" operator="containsText" text=" ">
      <formula>NOT(ISERROR(SEARCH(" ",A119)))</formula>
    </cfRule>
  </conditionalFormatting>
  <conditionalFormatting sqref="A122 L319 L320:O322 H319:H322 F323:J323 L323:XFD323 K324">
    <cfRule type="containsText" dxfId="640" priority="219" operator="containsText" text=" ">
      <formula>NOT(ISERROR(SEARCH(" ",A122)))</formula>
    </cfRule>
  </conditionalFormatting>
  <conditionalFormatting sqref="A123 A330:B332 A336:B336 D336 D330:D332">
    <cfRule type="containsText" dxfId="639" priority="217" operator="containsText" text=" ">
      <formula>NOT(ISERROR(SEARCH(" ",A123)))</formula>
    </cfRule>
  </conditionalFormatting>
  <conditionalFormatting sqref="A124:B124 A348:D350">
    <cfRule type="containsText" dxfId="638" priority="236" operator="containsText" text=" ">
      <formula>NOT(ISERROR(SEARCH(" ",A124)))</formula>
    </cfRule>
  </conditionalFormatting>
  <conditionalFormatting sqref="B140:B143 B151:B152 B148 B133:B136">
    <cfRule type="containsText" dxfId="637" priority="203" operator="containsText" text=".">
      <formula>NOT(ISERROR(SEARCH(".",B133)))</formula>
    </cfRule>
  </conditionalFormatting>
  <conditionalFormatting sqref="B136 B140:B143 B148">
    <cfRule type="containsText" dxfId="636" priority="206" operator="containsText" text=" ">
      <formula>NOT(ISERROR(SEARCH(" ",B136)))</formula>
    </cfRule>
  </conditionalFormatting>
  <conditionalFormatting sqref="A137 I137:XFD137 D137">
    <cfRule type="containsText" dxfId="635" priority="209" operator="containsText" text=" ">
      <formula>NOT(ISERROR(SEARCH(" ",A137)))</formula>
    </cfRule>
  </conditionalFormatting>
  <conditionalFormatting sqref="B230 B170:B183">
    <cfRule type="containsText" dxfId="634" priority="180" operator="containsText" text=".">
      <formula>NOT(ISERROR(SEARCH(".",B170)))</formula>
    </cfRule>
  </conditionalFormatting>
  <conditionalFormatting sqref="A184:B185 F184:XFD185 D184:D185">
    <cfRule type="containsText" dxfId="633" priority="214" operator="containsText" text=" ">
      <formula>NOT(ISERROR(SEARCH(" ",A184)))</formula>
    </cfRule>
  </conditionalFormatting>
  <conditionalFormatting sqref="L203:L215 L202:M202 K202:K203 O204:XFD215 A213 E216:XFD216 D213 E213:H215 A204:H212 F224:XFD232 B236 A228:B228 E224:E234 D202:D203 F202:H203 A223:B225 D223:XFD223 D228:D229 D225 A217:XFD222 D236:XFD236">
    <cfRule type="containsText" dxfId="632" priority="189" operator="containsText" text=" ">
      <formula>NOT(ISERROR(SEARCH(" ",A202)))</formula>
    </cfRule>
  </conditionalFormatting>
  <conditionalFormatting sqref="B217:B225 B204:B212 B228">
    <cfRule type="containsText" dxfId="631" priority="188" operator="containsText" text=".">
      <formula>NOT(ISERROR(SEARCH(".",B204)))</formula>
    </cfRule>
  </conditionalFormatting>
  <conditionalFormatting sqref="K204 K206 K208 K210 K212 K214">
    <cfRule type="containsText" dxfId="630" priority="187" operator="containsText" text=" ">
      <formula>NOT(ISERROR(SEARCH(" ",K204)))</formula>
    </cfRule>
  </conditionalFormatting>
  <conditionalFormatting sqref="F233:XFD234">
    <cfRule type="containsText" dxfId="629" priority="169" operator="containsText" text=" ">
      <formula>NOT(ISERROR(SEARCH(" ",F233)))</formula>
    </cfRule>
  </conditionalFormatting>
  <conditionalFormatting sqref="B259:B267 B271:B272 B255:B257 B235:B251">
    <cfRule type="containsText" dxfId="628" priority="173" operator="containsText" text=".">
      <formula>NOT(ISERROR(SEARCH(".",B235)))</formula>
    </cfRule>
  </conditionalFormatting>
  <conditionalFormatting sqref="B255 B348:B350">
    <cfRule type="containsText" dxfId="627" priority="124" operator="containsText" text=".">
      <formula>NOT(ISERROR(SEARCH(".",B255)))</formula>
    </cfRule>
  </conditionalFormatting>
  <conditionalFormatting sqref="L280:XFD280 A280:J280">
    <cfRule type="containsText" dxfId="626" priority="81" operator="containsText" text=" ">
      <formula>NOT(ISERROR(SEARCH(" ",A280)))</formula>
    </cfRule>
  </conditionalFormatting>
  <conditionalFormatting sqref="A307:C307 D307:D310 A313 D312:D313 A308:B312 C308:C320">
    <cfRule type="containsText" dxfId="625" priority="94" operator="containsText" text=" ">
      <formula>NOT(ISERROR(SEARCH(" ",A307)))</formula>
    </cfRule>
  </conditionalFormatting>
  <conditionalFormatting sqref="D315:D317 D319:D320">
    <cfRule type="containsText" dxfId="624" priority="82" operator="containsText" text=" ">
      <formula>NOT(ISERROR(SEARCH(" ",D315)))</formula>
    </cfRule>
  </conditionalFormatting>
  <conditionalFormatting sqref="J319 J320:K322">
    <cfRule type="containsText" dxfId="623" priority="60" operator="containsText" text=" ">
      <formula>NOT(ISERROR(SEARCH(" ",J319)))</formula>
    </cfRule>
  </conditionalFormatting>
  <conditionalFormatting sqref="A329 D329">
    <cfRule type="containsText" dxfId="622" priority="47" operator="containsText" text=" ">
      <formula>NOT(ISERROR(SEARCH(" ",A329)))</formula>
    </cfRule>
  </conditionalFormatting>
  <conditionalFormatting sqref="G331:AG338">
    <cfRule type="containsText" dxfId="621" priority="19" operator="containsText" text=" ">
      <formula>NOT(ISERROR(SEARCH(" ",G331)))</formula>
    </cfRule>
  </conditionalFormatting>
  <conditionalFormatting sqref="A347:B347 D347">
    <cfRule type="containsText" dxfId="620" priority="14" operator="containsText" text=" ">
      <formula>NOT(ISERROR(SEARCH(" ",A347)))</formula>
    </cfRule>
  </conditionalFormatting>
  <conditionalFormatting sqref="I349:J352 I354:J354 K352:K354">
    <cfRule type="containsText" dxfId="619" priority="7" operator="containsText" text=" ">
      <formula>NOT(ISERROR(SEARCH(" ",I349)))</formula>
    </cfRule>
  </conditionalFormatting>
  <conditionalFormatting sqref="A372 C372:D372">
    <cfRule type="containsText" dxfId="618" priority="4" operator="containsText" text=" ">
      <formula>NOT(ISERROR(SEARCH(" ",A372)))</formula>
    </cfRule>
  </conditionalFormatting>
  <conditionalFormatting sqref="A373 C373:D373">
    <cfRule type="containsText" dxfId="617" priority="3" operator="containsText" text=" ">
      <formula>NOT(ISERROR(SEARCH(" ",A373)))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CH32"/>
  <sheetViews>
    <sheetView zoomScale="90" zoomScaleNormal="90" workbookViewId="0">
      <pane xSplit="4" ySplit="4" topLeftCell="E5" activePane="bottomRight" state="frozen"/>
      <selection pane="topRight"/>
      <selection pane="bottomLeft"/>
      <selection pane="bottomRight" activeCell="E22" sqref="E22"/>
    </sheetView>
  </sheetViews>
  <sheetFormatPr defaultColWidth="9" defaultRowHeight="15.6" x14ac:dyDescent="0.25"/>
  <cols>
    <col min="1" max="1" width="8" style="2" customWidth="1"/>
    <col min="2" max="2" width="12.21875" style="2" customWidth="1"/>
    <col min="3" max="3" width="24.6640625" style="2" customWidth="1"/>
    <col min="4" max="4" width="12.21875" style="2" customWidth="1"/>
    <col min="5" max="5" width="16.77734375" style="2" customWidth="1"/>
    <col min="6" max="6" width="16.77734375" style="13" customWidth="1"/>
    <col min="7" max="7" width="20" style="2" customWidth="1"/>
    <col min="8" max="9" width="15.77734375" style="2" customWidth="1"/>
    <col min="10" max="10" width="26.33203125" style="2" customWidth="1"/>
    <col min="11" max="11" width="33.109375" style="2" customWidth="1"/>
    <col min="12" max="12" width="53.109375" style="2" customWidth="1"/>
    <col min="13" max="15" width="16.88671875" style="2" customWidth="1"/>
    <col min="16" max="16" width="12.21875" style="2" customWidth="1"/>
    <col min="17" max="17" width="16.33203125" style="2" customWidth="1"/>
    <col min="18" max="18" width="18.6640625" style="2" customWidth="1"/>
    <col min="19" max="19" width="20.33203125" style="2" customWidth="1"/>
    <col min="20" max="20" width="9.77734375" style="2" customWidth="1"/>
    <col min="21" max="21" width="11.21875" style="2" customWidth="1"/>
    <col min="22" max="22" width="16.77734375" style="2" customWidth="1"/>
    <col min="23" max="23" width="11.21875" style="2" customWidth="1"/>
    <col min="24" max="24" width="72.44140625" style="2" customWidth="1"/>
    <col min="25" max="30" width="14.44140625" style="2" customWidth="1"/>
    <col min="31" max="31" width="12.33203125" style="2" customWidth="1"/>
    <col min="32" max="32" width="9.44140625" style="2" customWidth="1"/>
    <col min="33" max="33" width="13.109375" style="2" customWidth="1"/>
    <col min="34" max="34" width="10.44140625" style="2" customWidth="1"/>
    <col min="35" max="35" width="12.6640625" style="2" customWidth="1"/>
    <col min="36" max="36" width="10.44140625" style="2" customWidth="1"/>
    <col min="37" max="37" width="12.6640625" style="2" customWidth="1"/>
    <col min="38" max="38" width="10.44140625" style="2" customWidth="1"/>
    <col min="39" max="39" width="12.6640625" style="2" customWidth="1"/>
    <col min="40" max="40" width="10.44140625" style="2" customWidth="1"/>
    <col min="41" max="44" width="12.6640625" style="2" customWidth="1"/>
    <col min="45" max="45" width="16.21875" style="2" customWidth="1"/>
    <col min="46" max="46" width="15.6640625" style="2" customWidth="1"/>
    <col min="47" max="47" width="24" style="2" customWidth="1"/>
    <col min="48" max="48" width="31.109375" style="2" customWidth="1"/>
    <col min="49" max="49" width="24" style="2" customWidth="1"/>
    <col min="50" max="50" width="17.21875" style="2" customWidth="1"/>
    <col min="51" max="52" width="13.44140625" style="2" customWidth="1"/>
    <col min="53" max="53" width="17.21875" style="2" customWidth="1"/>
    <col min="54" max="55" width="13.44140625" style="2" customWidth="1"/>
    <col min="56" max="56" width="17.44140625" style="2" customWidth="1"/>
    <col min="57" max="59" width="20.44140625" style="2" customWidth="1"/>
    <col min="60" max="60" width="13.44140625" style="2" customWidth="1"/>
    <col min="61" max="61" width="12.6640625" style="2" customWidth="1"/>
    <col min="62" max="62" width="11.44140625" style="2" customWidth="1"/>
    <col min="63" max="64" width="9" style="2"/>
    <col min="71" max="16384" width="9" style="2"/>
  </cols>
  <sheetData>
    <row r="1" spans="1:86" x14ac:dyDescent="0.35">
      <c r="A1" s="3" t="s">
        <v>0</v>
      </c>
      <c r="B1" s="3" t="s">
        <v>0</v>
      </c>
      <c r="C1" s="3" t="s">
        <v>1248</v>
      </c>
      <c r="D1" s="34" t="s">
        <v>1248</v>
      </c>
      <c r="E1" s="3" t="s">
        <v>1248</v>
      </c>
      <c r="F1" s="35" t="s">
        <v>0</v>
      </c>
      <c r="G1" s="3" t="s">
        <v>1248</v>
      </c>
      <c r="H1" s="3" t="s">
        <v>1</v>
      </c>
      <c r="I1" s="3" t="s">
        <v>0</v>
      </c>
      <c r="J1" s="3" t="s">
        <v>0</v>
      </c>
      <c r="K1" s="3" t="s">
        <v>0</v>
      </c>
      <c r="L1" s="3" t="s">
        <v>1</v>
      </c>
      <c r="M1" s="3" t="s">
        <v>1</v>
      </c>
      <c r="N1" s="3" t="s">
        <v>0</v>
      </c>
      <c r="O1" s="3" t="s">
        <v>0</v>
      </c>
      <c r="P1" s="42" t="s">
        <v>0</v>
      </c>
      <c r="Q1" s="47" t="s">
        <v>0</v>
      </c>
      <c r="R1" s="42" t="s">
        <v>0</v>
      </c>
      <c r="S1" s="42" t="s">
        <v>0</v>
      </c>
      <c r="T1" s="47" t="s">
        <v>0</v>
      </c>
      <c r="U1" s="42" t="s">
        <v>0</v>
      </c>
      <c r="V1" s="47" t="s">
        <v>0</v>
      </c>
      <c r="W1" s="42" t="s">
        <v>0</v>
      </c>
      <c r="X1" s="47" t="s">
        <v>1</v>
      </c>
      <c r="Y1" s="47" t="s">
        <v>0</v>
      </c>
      <c r="Z1" s="47" t="s">
        <v>0</v>
      </c>
      <c r="AA1" s="52" t="s">
        <v>0</v>
      </c>
      <c r="AB1" s="47" t="s">
        <v>0</v>
      </c>
      <c r="AC1" s="47" t="s">
        <v>0</v>
      </c>
      <c r="AD1" s="47" t="s">
        <v>0</v>
      </c>
      <c r="AE1" s="53" t="s">
        <v>0</v>
      </c>
      <c r="AF1" s="53" t="s">
        <v>0</v>
      </c>
      <c r="AG1" s="57" t="s">
        <v>0</v>
      </c>
      <c r="AH1" s="53" t="s">
        <v>0</v>
      </c>
      <c r="AI1" s="57" t="s">
        <v>0</v>
      </c>
      <c r="AJ1" s="53" t="s">
        <v>0</v>
      </c>
      <c r="AK1" s="57" t="s">
        <v>0</v>
      </c>
      <c r="AL1" s="53" t="s">
        <v>0</v>
      </c>
      <c r="AM1" s="57" t="s">
        <v>0</v>
      </c>
      <c r="AN1" s="53" t="s">
        <v>0</v>
      </c>
      <c r="AO1" s="57" t="s">
        <v>0</v>
      </c>
      <c r="AP1" s="5" t="s">
        <v>0</v>
      </c>
      <c r="AQ1" s="52" t="s">
        <v>1</v>
      </c>
      <c r="AR1" s="52" t="s">
        <v>1</v>
      </c>
      <c r="AS1" s="52" t="s">
        <v>1</v>
      </c>
      <c r="AT1" s="52" t="s">
        <v>1</v>
      </c>
      <c r="AU1" s="52" t="s">
        <v>1</v>
      </c>
      <c r="AV1" s="52" t="s">
        <v>1</v>
      </c>
      <c r="AW1" s="52" t="s">
        <v>1</v>
      </c>
      <c r="AX1" s="52" t="s">
        <v>1</v>
      </c>
      <c r="AY1" s="52" t="s">
        <v>1</v>
      </c>
      <c r="AZ1" s="52" t="s">
        <v>1</v>
      </c>
      <c r="BA1" s="52" t="s">
        <v>1</v>
      </c>
      <c r="BB1" s="52" t="s">
        <v>1</v>
      </c>
      <c r="BC1" s="52" t="s">
        <v>1</v>
      </c>
      <c r="BD1" s="70" t="s">
        <v>1</v>
      </c>
      <c r="BE1" s="3" t="s">
        <v>0</v>
      </c>
      <c r="BF1" s="3" t="s">
        <v>0</v>
      </c>
      <c r="BG1" s="3" t="s">
        <v>0</v>
      </c>
      <c r="BH1" s="70"/>
      <c r="BI1" s="70"/>
      <c r="BJ1"/>
    </row>
    <row r="2" spans="1:86" x14ac:dyDescent="0.35">
      <c r="A2" s="3" t="s">
        <v>11</v>
      </c>
      <c r="B2" s="3" t="s">
        <v>11</v>
      </c>
      <c r="C2" s="3" t="s">
        <v>1249</v>
      </c>
      <c r="D2" s="34" t="s">
        <v>1249</v>
      </c>
      <c r="E2" s="3" t="s">
        <v>11</v>
      </c>
      <c r="F2" s="35" t="s">
        <v>11</v>
      </c>
      <c r="G2" s="3" t="s">
        <v>14</v>
      </c>
      <c r="H2" s="3" t="s">
        <v>11</v>
      </c>
      <c r="I2" s="3" t="s">
        <v>14</v>
      </c>
      <c r="J2" s="3" t="s">
        <v>14</v>
      </c>
      <c r="K2" s="3" t="s">
        <v>14</v>
      </c>
      <c r="L2" s="3" t="s">
        <v>14</v>
      </c>
      <c r="M2" s="3" t="s">
        <v>14</v>
      </c>
      <c r="N2" s="3" t="s">
        <v>11</v>
      </c>
      <c r="O2" s="3" t="s">
        <v>11</v>
      </c>
      <c r="P2" s="42" t="s">
        <v>11</v>
      </c>
      <c r="Q2" s="47" t="s">
        <v>11</v>
      </c>
      <c r="R2" s="42" t="s">
        <v>11</v>
      </c>
      <c r="S2" s="42" t="s">
        <v>11</v>
      </c>
      <c r="T2" s="47" t="s">
        <v>11</v>
      </c>
      <c r="U2" s="42" t="s">
        <v>11</v>
      </c>
      <c r="V2" s="47" t="s">
        <v>11</v>
      </c>
      <c r="W2" s="42" t="s">
        <v>11</v>
      </c>
      <c r="X2" s="47" t="s">
        <v>14</v>
      </c>
      <c r="Y2" s="47" t="s">
        <v>11</v>
      </c>
      <c r="Z2" s="47" t="s">
        <v>11</v>
      </c>
      <c r="AA2" s="52" t="s">
        <v>11</v>
      </c>
      <c r="AB2" s="47" t="s">
        <v>11</v>
      </c>
      <c r="AC2" s="47" t="s">
        <v>11</v>
      </c>
      <c r="AD2" s="47" t="s">
        <v>11</v>
      </c>
      <c r="AE2" s="53" t="s">
        <v>11</v>
      </c>
      <c r="AF2" s="53" t="s">
        <v>14</v>
      </c>
      <c r="AG2" s="57" t="s">
        <v>14</v>
      </c>
      <c r="AH2" s="53" t="s">
        <v>14</v>
      </c>
      <c r="AI2" s="57" t="s">
        <v>14</v>
      </c>
      <c r="AJ2" s="53" t="s">
        <v>14</v>
      </c>
      <c r="AK2" s="57" t="s">
        <v>14</v>
      </c>
      <c r="AL2" s="53" t="s">
        <v>14</v>
      </c>
      <c r="AM2" s="57" t="s">
        <v>14</v>
      </c>
      <c r="AN2" s="53" t="s">
        <v>14</v>
      </c>
      <c r="AO2" s="57" t="s">
        <v>14</v>
      </c>
      <c r="AP2" s="5" t="s">
        <v>11</v>
      </c>
      <c r="AQ2" s="52" t="s">
        <v>11</v>
      </c>
      <c r="AR2" s="52" t="s">
        <v>13</v>
      </c>
      <c r="AS2" s="52" t="s">
        <v>13</v>
      </c>
      <c r="AT2" s="52" t="s">
        <v>11</v>
      </c>
      <c r="AU2" s="52" t="s">
        <v>14</v>
      </c>
      <c r="AV2" s="52" t="s">
        <v>14</v>
      </c>
      <c r="AW2" s="52" t="s">
        <v>14</v>
      </c>
      <c r="AX2" s="52" t="s">
        <v>13</v>
      </c>
      <c r="AY2" s="52" t="s">
        <v>14</v>
      </c>
      <c r="AZ2" s="52" t="s">
        <v>14</v>
      </c>
      <c r="BA2" s="52" t="s">
        <v>14</v>
      </c>
      <c r="BB2" s="52" t="s">
        <v>14</v>
      </c>
      <c r="BC2" s="52" t="s">
        <v>13</v>
      </c>
      <c r="BD2" s="70" t="s">
        <v>13</v>
      </c>
      <c r="BE2" s="3" t="s">
        <v>11</v>
      </c>
      <c r="BF2" s="3" t="s">
        <v>11</v>
      </c>
      <c r="BG2" s="3" t="s">
        <v>11</v>
      </c>
      <c r="BH2" s="70"/>
      <c r="BI2" s="70"/>
      <c r="BJ2"/>
      <c r="BN2" s="80" t="s">
        <v>1250</v>
      </c>
    </row>
    <row r="3" spans="1:86" x14ac:dyDescent="0.35">
      <c r="A3" s="3" t="s">
        <v>1251</v>
      </c>
      <c r="B3" s="3" t="s">
        <v>1252</v>
      </c>
      <c r="C3" s="3" t="s">
        <v>1253</v>
      </c>
      <c r="D3" s="34" t="s">
        <v>1254</v>
      </c>
      <c r="E3" s="3" t="s">
        <v>1255</v>
      </c>
      <c r="F3" s="35" t="s">
        <v>1256</v>
      </c>
      <c r="G3" s="3" t="s">
        <v>1257</v>
      </c>
      <c r="H3" s="3" t="s">
        <v>1258</v>
      </c>
      <c r="I3" s="3" t="s">
        <v>1259</v>
      </c>
      <c r="J3" s="3" t="s">
        <v>1260</v>
      </c>
      <c r="K3" s="3" t="s">
        <v>1261</v>
      </c>
      <c r="L3" s="3" t="s">
        <v>1262</v>
      </c>
      <c r="M3" s="3" t="s">
        <v>1263</v>
      </c>
      <c r="N3" s="3" t="s">
        <v>1264</v>
      </c>
      <c r="O3" s="3" t="s">
        <v>1265</v>
      </c>
      <c r="P3" s="42" t="s">
        <v>1266</v>
      </c>
      <c r="Q3" s="47" t="s">
        <v>1267</v>
      </c>
      <c r="R3" s="42" t="s">
        <v>1268</v>
      </c>
      <c r="S3" s="42" t="s">
        <v>1269</v>
      </c>
      <c r="T3" s="47" t="s">
        <v>1270</v>
      </c>
      <c r="U3" s="42" t="s">
        <v>1271</v>
      </c>
      <c r="V3" s="47" t="s">
        <v>1272</v>
      </c>
      <c r="W3" s="42" t="s">
        <v>1273</v>
      </c>
      <c r="X3" s="47" t="s">
        <v>1274</v>
      </c>
      <c r="Y3" s="47" t="s">
        <v>1275</v>
      </c>
      <c r="Z3" s="47" t="s">
        <v>1276</v>
      </c>
      <c r="AA3" s="52" t="s">
        <v>1277</v>
      </c>
      <c r="AB3" s="47" t="s">
        <v>1278</v>
      </c>
      <c r="AC3" s="47" t="s">
        <v>1279</v>
      </c>
      <c r="AD3" s="47" t="s">
        <v>1280</v>
      </c>
      <c r="AE3" s="53" t="s">
        <v>1281</v>
      </c>
      <c r="AF3" s="53" t="s">
        <v>1282</v>
      </c>
      <c r="AG3" s="57" t="s">
        <v>1283</v>
      </c>
      <c r="AH3" s="53" t="s">
        <v>1284</v>
      </c>
      <c r="AI3" s="57" t="s">
        <v>1285</v>
      </c>
      <c r="AJ3" s="53" t="s">
        <v>1286</v>
      </c>
      <c r="AK3" s="57" t="s">
        <v>1287</v>
      </c>
      <c r="AL3" s="53" t="s">
        <v>1288</v>
      </c>
      <c r="AM3" s="57" t="s">
        <v>1289</v>
      </c>
      <c r="AN3" s="53" t="s">
        <v>1290</v>
      </c>
      <c r="AO3" s="57" t="s">
        <v>1291</v>
      </c>
      <c r="AP3" s="5" t="s">
        <v>1292</v>
      </c>
      <c r="AQ3" s="52" t="s">
        <v>1293</v>
      </c>
      <c r="AR3" s="52" t="s">
        <v>1294</v>
      </c>
      <c r="AS3" s="52" t="s">
        <v>1295</v>
      </c>
      <c r="AT3" s="52" t="s">
        <v>1296</v>
      </c>
      <c r="AU3" s="52" t="s">
        <v>1297</v>
      </c>
      <c r="AV3" s="52" t="s">
        <v>1298</v>
      </c>
      <c r="AW3" s="52" t="s">
        <v>1299</v>
      </c>
      <c r="AX3" s="52" t="s">
        <v>1300</v>
      </c>
      <c r="AY3" s="52" t="s">
        <v>1301</v>
      </c>
      <c r="AZ3" s="52" t="s">
        <v>1302</v>
      </c>
      <c r="BA3" s="52" t="s">
        <v>1303</v>
      </c>
      <c r="BB3" s="52" t="s">
        <v>1304</v>
      </c>
      <c r="BC3" s="52" t="s">
        <v>1305</v>
      </c>
      <c r="BD3" s="70" t="s">
        <v>1306</v>
      </c>
      <c r="BE3" s="3" t="s">
        <v>1307</v>
      </c>
      <c r="BF3" s="3" t="s">
        <v>1308</v>
      </c>
      <c r="BG3" s="3" t="s">
        <v>1309</v>
      </c>
      <c r="BH3" s="70"/>
      <c r="BI3" s="70"/>
      <c r="BJ3"/>
      <c r="BN3" s="360" t="s">
        <v>1310</v>
      </c>
      <c r="BO3" s="360"/>
      <c r="BP3" s="360"/>
      <c r="BQ3" s="81"/>
      <c r="BR3" s="81"/>
      <c r="BS3" s="361" t="s">
        <v>1311</v>
      </c>
      <c r="BT3" s="361"/>
      <c r="BU3" s="361"/>
      <c r="BV3" s="82"/>
      <c r="BW3" s="82"/>
      <c r="CB3" s="2" t="s">
        <v>1312</v>
      </c>
    </row>
    <row r="4" spans="1:86" ht="75" x14ac:dyDescent="0.35">
      <c r="A4" s="5" t="s">
        <v>1313</v>
      </c>
      <c r="B4" s="5" t="s">
        <v>1314</v>
      </c>
      <c r="C4" s="5" t="s">
        <v>1315</v>
      </c>
      <c r="D4" s="36" t="s">
        <v>1316</v>
      </c>
      <c r="E4" s="5" t="s">
        <v>1317</v>
      </c>
      <c r="F4" s="37" t="s">
        <v>1318</v>
      </c>
      <c r="G4" s="5" t="s">
        <v>1319</v>
      </c>
      <c r="H4" s="5" t="s">
        <v>1320</v>
      </c>
      <c r="I4" s="5" t="s">
        <v>1321</v>
      </c>
      <c r="J4" s="5" t="s">
        <v>1322</v>
      </c>
      <c r="K4" s="5" t="s">
        <v>1323</v>
      </c>
      <c r="L4" s="5" t="s">
        <v>1324</v>
      </c>
      <c r="M4" s="5" t="s">
        <v>1325</v>
      </c>
      <c r="N4" s="5" t="s">
        <v>1326</v>
      </c>
      <c r="O4" s="5" t="s">
        <v>1327</v>
      </c>
      <c r="P4" s="43" t="s">
        <v>1328</v>
      </c>
      <c r="Q4" s="48" t="s">
        <v>1329</v>
      </c>
      <c r="R4" s="43" t="s">
        <v>1330</v>
      </c>
      <c r="S4" s="43" t="s">
        <v>1331</v>
      </c>
      <c r="T4" s="48" t="s">
        <v>1332</v>
      </c>
      <c r="U4" s="43" t="s">
        <v>1333</v>
      </c>
      <c r="V4" s="48" t="s">
        <v>1334</v>
      </c>
      <c r="W4" s="43" t="s">
        <v>1335</v>
      </c>
      <c r="X4" s="48" t="s">
        <v>1336</v>
      </c>
      <c r="Y4" s="48" t="s">
        <v>1337</v>
      </c>
      <c r="Z4" s="48" t="s">
        <v>1338</v>
      </c>
      <c r="AA4" s="54" t="s">
        <v>1339</v>
      </c>
      <c r="AB4" s="48" t="s">
        <v>1340</v>
      </c>
      <c r="AC4" s="48" t="s">
        <v>1340</v>
      </c>
      <c r="AD4" s="48" t="s">
        <v>1340</v>
      </c>
      <c r="AE4" s="55" t="s">
        <v>1341</v>
      </c>
      <c r="AF4" s="56" t="s">
        <v>1342</v>
      </c>
      <c r="AG4" s="58" t="s">
        <v>1343</v>
      </c>
      <c r="AH4" s="56" t="s">
        <v>1344</v>
      </c>
      <c r="AI4" s="58" t="s">
        <v>1345</v>
      </c>
      <c r="AJ4" s="56" t="s">
        <v>1346</v>
      </c>
      <c r="AK4" s="58" t="s">
        <v>1347</v>
      </c>
      <c r="AL4" s="56" t="s">
        <v>1348</v>
      </c>
      <c r="AM4" s="58" t="s">
        <v>1349</v>
      </c>
      <c r="AN4" s="56" t="s">
        <v>1350</v>
      </c>
      <c r="AO4" s="58" t="s">
        <v>1351</v>
      </c>
      <c r="AP4" s="5" t="s">
        <v>1352</v>
      </c>
      <c r="AQ4" s="60" t="s">
        <v>1353</v>
      </c>
      <c r="AR4" s="60" t="s">
        <v>1354</v>
      </c>
      <c r="AS4" s="60" t="s">
        <v>1355</v>
      </c>
      <c r="AT4" s="61" t="s">
        <v>1356</v>
      </c>
      <c r="AU4" s="61" t="s">
        <v>1357</v>
      </c>
      <c r="AV4" s="62" t="s">
        <v>1358</v>
      </c>
      <c r="AW4" s="62" t="s">
        <v>1359</v>
      </c>
      <c r="AX4" s="71" t="s">
        <v>1360</v>
      </c>
      <c r="AY4" s="71" t="s">
        <v>1361</v>
      </c>
      <c r="AZ4" s="71" t="s">
        <v>1362</v>
      </c>
      <c r="BA4" s="362" t="s">
        <v>1363</v>
      </c>
      <c r="BB4" s="362"/>
      <c r="BC4" s="62" t="s">
        <v>1364</v>
      </c>
      <c r="BD4" s="73" t="s">
        <v>1365</v>
      </c>
      <c r="BE4" s="5" t="s">
        <v>1366</v>
      </c>
      <c r="BF4" s="5" t="s">
        <v>1367</v>
      </c>
      <c r="BG4" s="5" t="s">
        <v>1368</v>
      </c>
      <c r="BH4" s="72"/>
      <c r="BI4" s="77"/>
      <c r="BJ4" s="78" t="s">
        <v>1334</v>
      </c>
      <c r="BN4" s="83" t="s">
        <v>910</v>
      </c>
      <c r="BO4" s="84" t="s">
        <v>911</v>
      </c>
      <c r="BP4" s="84" t="s">
        <v>1369</v>
      </c>
      <c r="BQ4" s="84" t="s">
        <v>1370</v>
      </c>
      <c r="BR4" s="85" t="s">
        <v>1371</v>
      </c>
      <c r="BS4" s="83" t="s">
        <v>910</v>
      </c>
      <c r="BT4" s="84" t="s">
        <v>911</v>
      </c>
      <c r="BU4" s="84" t="s">
        <v>1369</v>
      </c>
      <c r="BV4" s="84" t="s">
        <v>1370</v>
      </c>
      <c r="BW4" s="85" t="s">
        <v>1371</v>
      </c>
      <c r="CB4" s="96" t="s">
        <v>1372</v>
      </c>
      <c r="CC4" s="98" t="s">
        <v>1373</v>
      </c>
      <c r="CD4" s="98" t="s">
        <v>1374</v>
      </c>
      <c r="CE4" s="98" t="s">
        <v>141</v>
      </c>
      <c r="CF4" s="98" t="s">
        <v>912</v>
      </c>
      <c r="CG4" s="98"/>
      <c r="CH4" s="98"/>
    </row>
    <row r="5" spans="1:86" ht="16.2" x14ac:dyDescent="0.35">
      <c r="A5" s="2">
        <v>0</v>
      </c>
      <c r="B5" s="2">
        <v>0</v>
      </c>
      <c r="C5" s="38"/>
      <c r="D5" s="38"/>
      <c r="E5" s="38" t="s">
        <v>254</v>
      </c>
      <c r="F5" s="39" t="s">
        <v>383</v>
      </c>
      <c r="H5" s="2">
        <v>1</v>
      </c>
      <c r="K5" s="21" t="s">
        <v>1375</v>
      </c>
      <c r="L5" s="20" t="s">
        <v>1376</v>
      </c>
      <c r="M5" s="20" t="s">
        <v>1377</v>
      </c>
      <c r="N5" s="44">
        <v>999</v>
      </c>
      <c r="O5" s="44">
        <v>999</v>
      </c>
      <c r="P5" s="2">
        <v>0</v>
      </c>
      <c r="Q5" s="49">
        <v>3</v>
      </c>
      <c r="R5" s="50">
        <f>'全局参数|GlobalPar'!L15</f>
        <v>0</v>
      </c>
      <c r="S5" s="49">
        <v>1</v>
      </c>
      <c r="T5" s="2">
        <v>0</v>
      </c>
      <c r="U5" s="2">
        <v>0</v>
      </c>
      <c r="V5" s="2">
        <v>0</v>
      </c>
      <c r="W5" s="45">
        <v>100</v>
      </c>
      <c r="X5" s="21" t="s">
        <v>1378</v>
      </c>
      <c r="Y5" s="21">
        <v>99999</v>
      </c>
      <c r="Z5" s="21">
        <v>0</v>
      </c>
      <c r="AA5" s="21">
        <v>10</v>
      </c>
      <c r="AB5" s="21">
        <v>2</v>
      </c>
      <c r="AC5" s="21">
        <v>2</v>
      </c>
      <c r="AD5" s="21">
        <v>2</v>
      </c>
      <c r="AE5" s="2">
        <v>0</v>
      </c>
      <c r="AG5" s="24"/>
      <c r="AP5" s="15">
        <v>500000</v>
      </c>
      <c r="AQ5" s="2">
        <v>0</v>
      </c>
      <c r="AR5" s="63">
        <f>AS5*1.5</f>
        <v>1.44</v>
      </c>
      <c r="AS5" s="64">
        <v>0.96</v>
      </c>
      <c r="AT5" s="65">
        <v>999999999</v>
      </c>
      <c r="AU5" s="2" t="s">
        <v>1379</v>
      </c>
      <c r="AV5" s="66" t="str">
        <f>"[["&amp;CE5&amp;",["&amp;CC5&amp;","&amp;CD5&amp;"]],["&amp;CE6&amp;",["&amp;CC6&amp;","&amp;CD6&amp;"]],["&amp;CE7&amp;",["&amp;CC7&amp;","&amp;CD7&amp;"]],["&amp;CE8&amp;",["&amp;CC8&amp;","&amp;CD8&amp;"]],["&amp;CE9&amp;",["&amp;CC9&amp;","&amp;CD9&amp;"]],["&amp;CE10&amp;",["&amp;CC10&amp;","&amp;CD10&amp;"]],["&amp;CE11&amp;",["&amp;CC11&amp;","&amp;CD11&amp;"]],["&amp;CE12&amp;",["&amp;CC12&amp;","&amp;CD12&amp;"]]]"</f>
        <v>[[2,[0.4,0.8]],[4,[0.7,0.95]],[10,[0.85,0.95]],[34,[0.92,1]],[34,[1,1.08]],[10,[1.05,1.15]],[4,[1.05,1.3]],[2,[1.2,1.6]]]</v>
      </c>
      <c r="AW5" s="2" t="s">
        <v>1380</v>
      </c>
      <c r="AX5" s="2">
        <v>0</v>
      </c>
      <c r="AY5" s="74" t="s">
        <v>1381</v>
      </c>
      <c r="AZ5" s="2" t="s">
        <v>1382</v>
      </c>
      <c r="BA5" s="38" t="s">
        <v>1383</v>
      </c>
      <c r="BB5" s="38" t="s">
        <v>1384</v>
      </c>
      <c r="BC5" s="75">
        <f>10000*BM5</f>
        <v>10000</v>
      </c>
      <c r="BD5" s="76">
        <v>0</v>
      </c>
      <c r="BE5" s="79">
        <v>0</v>
      </c>
      <c r="BF5" s="79">
        <v>0</v>
      </c>
      <c r="BG5" s="79">
        <v>0</v>
      </c>
      <c r="BH5" s="38"/>
      <c r="BI5" s="2">
        <v>6.4999999999999997E-3</v>
      </c>
      <c r="BJ5" s="2">
        <v>0</v>
      </c>
      <c r="BK5" s="2" t="s">
        <v>1385</v>
      </c>
      <c r="BM5">
        <v>1</v>
      </c>
      <c r="BN5" s="86">
        <v>10000</v>
      </c>
      <c r="BO5" s="87">
        <v>20000</v>
      </c>
      <c r="BP5" s="87">
        <f>(BN5+BO5)/2</f>
        <v>15000</v>
      </c>
      <c r="BQ5" s="87">
        <v>12</v>
      </c>
      <c r="BR5" s="88">
        <f>24/BQ5*BP5</f>
        <v>30000</v>
      </c>
      <c r="BS5" s="89">
        <v>1</v>
      </c>
      <c r="BT5" s="90">
        <v>1</v>
      </c>
      <c r="BU5" s="97">
        <f>(BS5+BT5)/2</f>
        <v>1</v>
      </c>
      <c r="BV5" s="87">
        <v>12</v>
      </c>
      <c r="BW5" s="88">
        <f>24/BV5*BU5</f>
        <v>2</v>
      </c>
      <c r="CB5" s="98">
        <v>0</v>
      </c>
      <c r="CC5" s="98">
        <v>0.4</v>
      </c>
      <c r="CD5" s="98">
        <v>0.8</v>
      </c>
      <c r="CE5" s="98">
        <v>2</v>
      </c>
      <c r="CF5" s="98">
        <f t="shared" ref="CF5:CF12" si="0">(CC5+CD5)/2*CE5/100</f>
        <v>1.2000000000000002E-2</v>
      </c>
      <c r="CG5" s="98" t="s">
        <v>1386</v>
      </c>
      <c r="CH5" s="98">
        <f>SUM(CF5:CF12)</f>
        <v>1</v>
      </c>
    </row>
    <row r="6" spans="1:86" ht="16.2" x14ac:dyDescent="0.35">
      <c r="A6" s="2">
        <v>1</v>
      </c>
      <c r="B6" s="2">
        <v>6</v>
      </c>
      <c r="C6" s="40" t="s">
        <v>1387</v>
      </c>
      <c r="D6" s="38" t="s">
        <v>1388</v>
      </c>
      <c r="E6" s="38" t="s">
        <v>1142</v>
      </c>
      <c r="F6" s="39" t="s">
        <v>528</v>
      </c>
      <c r="G6" s="38"/>
      <c r="H6" s="38" t="s">
        <v>383</v>
      </c>
      <c r="I6" s="2">
        <v>1401</v>
      </c>
      <c r="J6" s="38" t="s">
        <v>1389</v>
      </c>
      <c r="K6" s="21" t="s">
        <v>1375</v>
      </c>
      <c r="L6" s="20" t="s">
        <v>1390</v>
      </c>
      <c r="M6" s="20" t="s">
        <v>1391</v>
      </c>
      <c r="N6" s="44">
        <v>999</v>
      </c>
      <c r="O6" s="44">
        <v>999</v>
      </c>
      <c r="P6" s="2">
        <v>0</v>
      </c>
      <c r="Q6" s="46">
        <v>3</v>
      </c>
      <c r="R6" s="50">
        <f>'全局参数|GlobalPar'!L16</f>
        <v>0</v>
      </c>
      <c r="S6" s="49">
        <v>1</v>
      </c>
      <c r="T6" s="2">
        <v>0</v>
      </c>
      <c r="U6" s="2">
        <v>0</v>
      </c>
      <c r="V6" s="2">
        <v>0</v>
      </c>
      <c r="W6" s="45">
        <v>100</v>
      </c>
      <c r="X6" s="21" t="s">
        <v>1378</v>
      </c>
      <c r="Y6" s="21">
        <v>99999</v>
      </c>
      <c r="Z6" s="21">
        <v>1</v>
      </c>
      <c r="AA6" s="21">
        <v>15</v>
      </c>
      <c r="AB6" s="21">
        <v>2</v>
      </c>
      <c r="AC6" s="21">
        <v>2</v>
      </c>
      <c r="AD6" s="21">
        <v>2</v>
      </c>
      <c r="AE6" s="2">
        <v>0</v>
      </c>
      <c r="AG6" s="24"/>
      <c r="AP6" s="15">
        <v>1000000</v>
      </c>
      <c r="AQ6" s="2">
        <v>0</v>
      </c>
      <c r="AR6" s="63">
        <f>AS6*1.5</f>
        <v>1.44</v>
      </c>
      <c r="AS6" s="64">
        <f>AS5</f>
        <v>0.96</v>
      </c>
      <c r="AT6" s="65">
        <v>999999999</v>
      </c>
      <c r="AU6" s="2" t="s">
        <v>1379</v>
      </c>
      <c r="AV6" s="66" t="str">
        <f>AV5</f>
        <v>[[2,[0.4,0.8]],[4,[0.7,0.95]],[10,[0.85,0.95]],[34,[0.92,1]],[34,[1,1.08]],[10,[1.05,1.15]],[4,[1.05,1.3]],[2,[1.2,1.6]]]</v>
      </c>
      <c r="AW6" s="2" t="s">
        <v>1392</v>
      </c>
      <c r="AX6" s="2">
        <v>0.02</v>
      </c>
      <c r="AY6" s="74" t="s">
        <v>1393</v>
      </c>
      <c r="AZ6" s="2" t="s">
        <v>1394</v>
      </c>
      <c r="BA6" s="38" t="s">
        <v>1383</v>
      </c>
      <c r="BB6" s="38" t="s">
        <v>1384</v>
      </c>
      <c r="BC6" s="75">
        <f t="shared" ref="BC6:BC15" si="1">10000*BM6</f>
        <v>10000</v>
      </c>
      <c r="BD6" s="76">
        <v>0.05</v>
      </c>
      <c r="BE6" s="79">
        <v>0</v>
      </c>
      <c r="BF6" s="79">
        <v>10</v>
      </c>
      <c r="BG6" s="79">
        <v>10</v>
      </c>
      <c r="BH6" s="38"/>
      <c r="BI6" s="2">
        <v>6.0000000000000001E-3</v>
      </c>
      <c r="BJ6" s="2">
        <v>0</v>
      </c>
      <c r="BK6" s="2" t="s">
        <v>1395</v>
      </c>
      <c r="BM6">
        <v>1</v>
      </c>
      <c r="BN6" s="86">
        <v>20000</v>
      </c>
      <c r="BO6" s="87">
        <v>40000</v>
      </c>
      <c r="BP6" s="87">
        <f t="shared" ref="BP6:BP15" si="2">(BN6+BO6)/2</f>
        <v>30000</v>
      </c>
      <c r="BQ6" s="87">
        <v>12</v>
      </c>
      <c r="BR6" s="88">
        <f t="shared" ref="BR6:BR15" si="3">24/BQ6*BP6</f>
        <v>60000</v>
      </c>
      <c r="BS6" s="89">
        <v>1</v>
      </c>
      <c r="BT6" s="90">
        <v>2</v>
      </c>
      <c r="BU6" s="97">
        <f t="shared" ref="BU6:BU15" si="4">(BS6+BT6)/2</f>
        <v>1.5</v>
      </c>
      <c r="BV6" s="87">
        <v>12</v>
      </c>
      <c r="BW6" s="88">
        <f t="shared" ref="BW6:BW15" si="5">24/BV6*BU6</f>
        <v>3</v>
      </c>
      <c r="CB6" s="98">
        <v>3</v>
      </c>
      <c r="CC6" s="98">
        <v>0.7</v>
      </c>
      <c r="CD6" s="98">
        <v>0.95</v>
      </c>
      <c r="CE6" s="98">
        <v>4</v>
      </c>
      <c r="CF6" s="98">
        <f t="shared" si="0"/>
        <v>3.3000000000000002E-2</v>
      </c>
      <c r="CG6" s="98"/>
      <c r="CH6" s="98"/>
    </row>
    <row r="7" spans="1:86" ht="16.2" x14ac:dyDescent="0.35">
      <c r="A7" s="2">
        <v>2</v>
      </c>
      <c r="B7" s="2">
        <v>200</v>
      </c>
      <c r="C7" s="40" t="s">
        <v>1396</v>
      </c>
      <c r="D7" s="38" t="s">
        <v>1397</v>
      </c>
      <c r="E7" s="38" t="s">
        <v>502</v>
      </c>
      <c r="F7" s="39" t="s">
        <v>528</v>
      </c>
      <c r="G7" s="38"/>
      <c r="H7" s="38" t="s">
        <v>528</v>
      </c>
      <c r="I7" s="2">
        <v>1402</v>
      </c>
      <c r="J7" s="38" t="s">
        <v>1398</v>
      </c>
      <c r="K7" s="21" t="s">
        <v>1399</v>
      </c>
      <c r="L7" s="20" t="s">
        <v>1390</v>
      </c>
      <c r="M7" s="20" t="s">
        <v>1391</v>
      </c>
      <c r="N7" s="44">
        <v>999</v>
      </c>
      <c r="O7" s="44">
        <v>999</v>
      </c>
      <c r="P7" s="2">
        <v>0</v>
      </c>
      <c r="Q7" s="49">
        <v>4</v>
      </c>
      <c r="R7" s="50">
        <f>'全局参数|GlobalPar'!L17</f>
        <v>0</v>
      </c>
      <c r="S7" s="49">
        <v>1</v>
      </c>
      <c r="T7" s="2">
        <v>0</v>
      </c>
      <c r="U7" s="2">
        <v>0</v>
      </c>
      <c r="V7" s="2">
        <v>0</v>
      </c>
      <c r="W7" s="45">
        <v>100</v>
      </c>
      <c r="X7" s="21" t="s">
        <v>1400</v>
      </c>
      <c r="Y7" s="21">
        <v>99999</v>
      </c>
      <c r="Z7" s="21">
        <v>2</v>
      </c>
      <c r="AA7" s="21">
        <v>20</v>
      </c>
      <c r="AB7" s="21">
        <v>2</v>
      </c>
      <c r="AC7" s="21">
        <v>2</v>
      </c>
      <c r="AD7" s="21">
        <v>2</v>
      </c>
      <c r="AE7" s="2">
        <v>0</v>
      </c>
      <c r="AG7" s="24"/>
      <c r="AP7" s="15">
        <v>2000000</v>
      </c>
      <c r="AQ7" s="2">
        <v>0</v>
      </c>
      <c r="AR7" s="63">
        <f t="shared" ref="AR7:AR15" si="6">AS7*1.5</f>
        <v>1.44</v>
      </c>
      <c r="AS7" s="64">
        <f t="shared" ref="AS7:AS15" si="7">AS6</f>
        <v>0.96</v>
      </c>
      <c r="AT7" s="65">
        <v>999999999</v>
      </c>
      <c r="AU7" s="2" t="s">
        <v>1379</v>
      </c>
      <c r="AV7" s="66" t="str">
        <f>AV6</f>
        <v>[[2,[0.4,0.8]],[4,[0.7,0.95]],[10,[0.85,0.95]],[34,[0.92,1]],[34,[1,1.08]],[10,[1.05,1.15]],[4,[1.05,1.3]],[2,[1.2,1.6]]]</v>
      </c>
      <c r="AW7" s="2" t="s">
        <v>1401</v>
      </c>
      <c r="AX7" s="2">
        <v>0.04</v>
      </c>
      <c r="AY7" s="74" t="s">
        <v>1402</v>
      </c>
      <c r="AZ7" s="2" t="s">
        <v>1403</v>
      </c>
      <c r="BA7" s="38" t="s">
        <v>1383</v>
      </c>
      <c r="BB7" s="38" t="s">
        <v>1384</v>
      </c>
      <c r="BC7" s="75">
        <f t="shared" si="1"/>
        <v>10000</v>
      </c>
      <c r="BD7" s="76">
        <v>0.1</v>
      </c>
      <c r="BE7" s="79">
        <v>0</v>
      </c>
      <c r="BF7" s="79">
        <v>15</v>
      </c>
      <c r="BG7" s="79">
        <v>15</v>
      </c>
      <c r="BH7" s="38"/>
      <c r="BI7" s="2">
        <v>5.4999999999999997E-3</v>
      </c>
      <c r="BJ7" s="2">
        <v>0</v>
      </c>
      <c r="BK7" s="2" t="s">
        <v>1404</v>
      </c>
      <c r="BM7">
        <v>1</v>
      </c>
      <c r="BN7" s="86">
        <v>20000</v>
      </c>
      <c r="BO7" s="87">
        <v>40000</v>
      </c>
      <c r="BP7" s="87">
        <f t="shared" si="2"/>
        <v>30000</v>
      </c>
      <c r="BQ7" s="87">
        <v>12</v>
      </c>
      <c r="BR7" s="88">
        <f t="shared" si="3"/>
        <v>60000</v>
      </c>
      <c r="BS7" s="89">
        <v>1</v>
      </c>
      <c r="BT7" s="90">
        <v>2</v>
      </c>
      <c r="BU7" s="97">
        <f t="shared" si="4"/>
        <v>1.5</v>
      </c>
      <c r="BV7" s="87">
        <v>12</v>
      </c>
      <c r="BW7" s="88">
        <f t="shared" si="5"/>
        <v>3</v>
      </c>
      <c r="CB7" s="98"/>
      <c r="CC7" s="98">
        <v>0.85</v>
      </c>
      <c r="CD7" s="98">
        <v>0.95</v>
      </c>
      <c r="CE7" s="98">
        <v>10</v>
      </c>
      <c r="CF7" s="98">
        <f t="shared" si="0"/>
        <v>0.09</v>
      </c>
      <c r="CG7" s="98"/>
      <c r="CH7" s="98"/>
    </row>
    <row r="8" spans="1:86" ht="16.2" x14ac:dyDescent="0.35">
      <c r="A8" s="2">
        <v>3</v>
      </c>
      <c r="B8" s="2">
        <v>500</v>
      </c>
      <c r="C8" s="40" t="s">
        <v>1405</v>
      </c>
      <c r="D8" s="38" t="s">
        <v>1406</v>
      </c>
      <c r="E8" s="38" t="s">
        <v>651</v>
      </c>
      <c r="F8" s="39" t="s">
        <v>528</v>
      </c>
      <c r="G8" s="38"/>
      <c r="H8" s="38" t="s">
        <v>528</v>
      </c>
      <c r="I8" s="2">
        <v>1403</v>
      </c>
      <c r="J8" s="38" t="s">
        <v>1407</v>
      </c>
      <c r="K8" s="21" t="s">
        <v>1408</v>
      </c>
      <c r="L8" s="20" t="s">
        <v>1390</v>
      </c>
      <c r="M8" s="20" t="s">
        <v>1391</v>
      </c>
      <c r="N8" s="44">
        <v>999</v>
      </c>
      <c r="O8" s="44">
        <v>999</v>
      </c>
      <c r="P8" s="2">
        <v>0</v>
      </c>
      <c r="Q8" s="49">
        <v>4</v>
      </c>
      <c r="R8" s="50">
        <f>'全局参数|GlobalPar'!L18</f>
        <v>4000</v>
      </c>
      <c r="S8" s="51">
        <v>3</v>
      </c>
      <c r="T8" s="2">
        <v>1</v>
      </c>
      <c r="U8" s="2">
        <v>1</v>
      </c>
      <c r="V8" s="45">
        <v>10</v>
      </c>
      <c r="W8" s="45">
        <v>100</v>
      </c>
      <c r="X8" s="21" t="s">
        <v>1400</v>
      </c>
      <c r="Y8" s="21">
        <v>99999</v>
      </c>
      <c r="Z8" s="21">
        <v>3</v>
      </c>
      <c r="AA8" s="21">
        <v>25</v>
      </c>
      <c r="AB8" s="21">
        <v>2</v>
      </c>
      <c r="AC8" s="21">
        <v>2</v>
      </c>
      <c r="AD8" s="21">
        <v>2</v>
      </c>
      <c r="AE8" s="45">
        <v>2</v>
      </c>
      <c r="AF8" s="2" t="s">
        <v>685</v>
      </c>
      <c r="AG8" s="59" t="s">
        <v>1389</v>
      </c>
      <c r="AH8" s="2" t="s">
        <v>1409</v>
      </c>
      <c r="AI8" s="59" t="s">
        <v>1410</v>
      </c>
      <c r="AP8" s="15">
        <v>3000000</v>
      </c>
      <c r="AQ8" s="2">
        <v>0</v>
      </c>
      <c r="AR8" s="63">
        <f t="shared" si="6"/>
        <v>1.44</v>
      </c>
      <c r="AS8" s="64">
        <f t="shared" si="7"/>
        <v>0.96</v>
      </c>
      <c r="AT8" s="65">
        <v>999999999</v>
      </c>
      <c r="AU8" s="2" t="s">
        <v>1379</v>
      </c>
      <c r="AV8" s="66" t="str">
        <f>AV7</f>
        <v>[[2,[0.4,0.8]],[4,[0.7,0.95]],[10,[0.85,0.95]],[34,[0.92,1]],[34,[1,1.08]],[10,[1.05,1.15]],[4,[1.05,1.3]],[2,[1.2,1.6]]]</v>
      </c>
      <c r="AW8" s="2" t="s">
        <v>1411</v>
      </c>
      <c r="AX8" s="2">
        <v>0.06</v>
      </c>
      <c r="AY8" s="74" t="s">
        <v>1412</v>
      </c>
      <c r="AZ8" s="2" t="s">
        <v>1413</v>
      </c>
      <c r="BA8" s="38" t="s">
        <v>1383</v>
      </c>
      <c r="BB8" s="38" t="s">
        <v>1384</v>
      </c>
      <c r="BC8" s="75">
        <f t="shared" si="1"/>
        <v>10000</v>
      </c>
      <c r="BD8" s="76">
        <v>0.15</v>
      </c>
      <c r="BE8" s="79">
        <v>0</v>
      </c>
      <c r="BF8" s="79">
        <v>30</v>
      </c>
      <c r="BG8" s="79">
        <v>30</v>
      </c>
      <c r="BH8" s="38"/>
      <c r="BI8" s="2">
        <v>5.0000000000000001E-3</v>
      </c>
      <c r="BJ8" s="2">
        <v>0</v>
      </c>
      <c r="BK8" s="2" t="s">
        <v>1414</v>
      </c>
      <c r="BM8">
        <v>1</v>
      </c>
      <c r="BN8" s="86">
        <v>20000</v>
      </c>
      <c r="BO8" s="87">
        <v>40000</v>
      </c>
      <c r="BP8" s="87">
        <f t="shared" si="2"/>
        <v>30000</v>
      </c>
      <c r="BQ8" s="87">
        <v>12</v>
      </c>
      <c r="BR8" s="88">
        <f t="shared" si="3"/>
        <v>60000</v>
      </c>
      <c r="BS8" s="89">
        <v>1</v>
      </c>
      <c r="BT8" s="90">
        <v>2</v>
      </c>
      <c r="BU8" s="97">
        <f t="shared" si="4"/>
        <v>1.5</v>
      </c>
      <c r="BV8" s="87">
        <v>12</v>
      </c>
      <c r="BW8" s="88">
        <f t="shared" si="5"/>
        <v>3</v>
      </c>
      <c r="CB8" s="98"/>
      <c r="CC8" s="98">
        <v>0.92</v>
      </c>
      <c r="CD8" s="98">
        <v>1</v>
      </c>
      <c r="CE8" s="98">
        <v>34</v>
      </c>
      <c r="CF8" s="98">
        <f t="shared" si="0"/>
        <v>0.32640000000000002</v>
      </c>
      <c r="CG8" s="98"/>
      <c r="CH8" s="98"/>
    </row>
    <row r="9" spans="1:86" ht="16.2" x14ac:dyDescent="0.35">
      <c r="A9" s="2">
        <v>4</v>
      </c>
      <c r="B9" s="2">
        <v>1000</v>
      </c>
      <c r="C9" s="40" t="s">
        <v>1415</v>
      </c>
      <c r="D9" s="38" t="s">
        <v>1397</v>
      </c>
      <c r="E9" s="38" t="s">
        <v>471</v>
      </c>
      <c r="F9" s="39" t="s">
        <v>362</v>
      </c>
      <c r="G9" s="38"/>
      <c r="H9" s="38" t="s">
        <v>362</v>
      </c>
      <c r="I9" s="2">
        <v>1404</v>
      </c>
      <c r="J9" s="38" t="s">
        <v>1416</v>
      </c>
      <c r="K9" s="21" t="s">
        <v>1417</v>
      </c>
      <c r="L9" s="20" t="s">
        <v>1390</v>
      </c>
      <c r="M9" s="20" t="s">
        <v>1391</v>
      </c>
      <c r="N9" s="44">
        <v>999</v>
      </c>
      <c r="O9" s="44">
        <v>999</v>
      </c>
      <c r="P9" s="2">
        <v>0</v>
      </c>
      <c r="Q9" s="49">
        <v>4</v>
      </c>
      <c r="R9" s="50">
        <f>'全局参数|GlobalPar'!L19</f>
        <v>4000</v>
      </c>
      <c r="S9" s="49">
        <f t="shared" ref="S9:S14" si="8">S8</f>
        <v>3</v>
      </c>
      <c r="T9" s="2">
        <v>1</v>
      </c>
      <c r="U9" s="2">
        <v>1</v>
      </c>
      <c r="V9" s="45">
        <v>10</v>
      </c>
      <c r="W9" s="45">
        <v>100</v>
      </c>
      <c r="X9" s="21" t="s">
        <v>1418</v>
      </c>
      <c r="Y9" s="21">
        <v>99999</v>
      </c>
      <c r="Z9" s="21">
        <v>4</v>
      </c>
      <c r="AA9" s="21">
        <v>30</v>
      </c>
      <c r="AB9" s="21">
        <v>2</v>
      </c>
      <c r="AC9" s="21">
        <v>2</v>
      </c>
      <c r="AD9" s="21">
        <v>2</v>
      </c>
      <c r="AE9" s="45">
        <v>4</v>
      </c>
      <c r="AF9" s="2" t="s">
        <v>685</v>
      </c>
      <c r="AG9" s="59" t="s">
        <v>1419</v>
      </c>
      <c r="AH9" s="2" t="s">
        <v>1409</v>
      </c>
      <c r="AI9" s="59" t="s">
        <v>1420</v>
      </c>
      <c r="AP9" s="15">
        <v>5000000</v>
      </c>
      <c r="AQ9" s="2">
        <v>0</v>
      </c>
      <c r="AR9" s="63">
        <f t="shared" si="6"/>
        <v>1.44</v>
      </c>
      <c r="AS9" s="64">
        <f t="shared" si="7"/>
        <v>0.96</v>
      </c>
      <c r="AT9" s="65">
        <v>999999999</v>
      </c>
      <c r="AU9" s="2" t="s">
        <v>1379</v>
      </c>
      <c r="AV9" s="67" t="str">
        <f>"[["&amp;CE15&amp;",["&amp;CC15&amp;","&amp;CD15&amp;"]],["&amp;CE16&amp;",["&amp;CC16&amp;","&amp;CD16&amp;"]],["&amp;CE17&amp;",["&amp;CC17&amp;","&amp;CD17&amp;"]],["&amp;CE18&amp;",["&amp;CC18&amp;","&amp;CD18&amp;"]],["&amp;CE19&amp;",["&amp;CC19&amp;","&amp;CD19&amp;"]],["&amp;CE20&amp;",["&amp;CC20&amp;","&amp;CD20&amp;"]],["&amp;CE21&amp;",["&amp;CC21&amp;","&amp;CD21&amp;"]],["&amp;CE22&amp;",["&amp;CC22&amp;","&amp;CD22&amp;"]]]"</f>
        <v>[[2,[0.4,0.8]],[7,[0.8,0.95]],[9,[0.9,0.95]],[32,[0.95,1]],[32,[1,1.05]],[9,[1.05,1.1]],[7,[1.05,1.2]],[2,[1.2,1.6]]]</v>
      </c>
      <c r="AW9" s="2" t="s">
        <v>1421</v>
      </c>
      <c r="AX9" s="2">
        <v>0.08</v>
      </c>
      <c r="AY9" s="74" t="s">
        <v>1422</v>
      </c>
      <c r="AZ9" s="2" t="s">
        <v>1423</v>
      </c>
      <c r="BA9" s="38" t="s">
        <v>1383</v>
      </c>
      <c r="BB9" s="38" t="s">
        <v>1384</v>
      </c>
      <c r="BC9" s="75">
        <f t="shared" si="1"/>
        <v>10100</v>
      </c>
      <c r="BD9" s="76">
        <v>0.2</v>
      </c>
      <c r="BE9" s="79">
        <v>0</v>
      </c>
      <c r="BF9" s="79">
        <v>50</v>
      </c>
      <c r="BG9" s="79">
        <v>50</v>
      </c>
      <c r="BH9" s="38"/>
      <c r="BI9" s="2">
        <v>4.4999999999999997E-3</v>
      </c>
      <c r="BJ9" s="2">
        <v>5</v>
      </c>
      <c r="BK9" s="2" t="s">
        <v>1424</v>
      </c>
      <c r="BM9">
        <v>1.01</v>
      </c>
      <c r="BN9" s="86">
        <v>20000</v>
      </c>
      <c r="BO9" s="87">
        <v>40000</v>
      </c>
      <c r="BP9" s="87">
        <f t="shared" si="2"/>
        <v>30000</v>
      </c>
      <c r="BQ9" s="87">
        <v>12</v>
      </c>
      <c r="BR9" s="88">
        <f t="shared" si="3"/>
        <v>60000</v>
      </c>
      <c r="BS9" s="89">
        <v>1</v>
      </c>
      <c r="BT9" s="90">
        <v>2</v>
      </c>
      <c r="BU9" s="97">
        <f t="shared" si="4"/>
        <v>1.5</v>
      </c>
      <c r="BV9" s="87">
        <v>12</v>
      </c>
      <c r="BW9" s="88">
        <f t="shared" si="5"/>
        <v>3</v>
      </c>
      <c r="CB9" s="98"/>
      <c r="CC9" s="98">
        <v>1</v>
      </c>
      <c r="CD9" s="98">
        <v>1.08</v>
      </c>
      <c r="CE9" s="98">
        <v>34</v>
      </c>
      <c r="CF9" s="98">
        <f t="shared" si="0"/>
        <v>0.35359999999999997</v>
      </c>
      <c r="CG9" s="98"/>
      <c r="CH9" s="98"/>
    </row>
    <row r="10" spans="1:86" ht="16.2" x14ac:dyDescent="0.35">
      <c r="A10" s="2">
        <v>5</v>
      </c>
      <c r="B10" s="2">
        <v>2000</v>
      </c>
      <c r="C10" s="40" t="s">
        <v>1425</v>
      </c>
      <c r="D10" s="38" t="s">
        <v>1406</v>
      </c>
      <c r="E10" s="38" t="s">
        <v>644</v>
      </c>
      <c r="F10" s="39" t="s">
        <v>362</v>
      </c>
      <c r="G10" s="38"/>
      <c r="H10" s="38" t="s">
        <v>362</v>
      </c>
      <c r="I10" s="2">
        <v>1405</v>
      </c>
      <c r="J10" s="38" t="s">
        <v>1426</v>
      </c>
      <c r="K10" s="21" t="s">
        <v>1427</v>
      </c>
      <c r="L10" s="20" t="s">
        <v>1428</v>
      </c>
      <c r="M10" s="20" t="s">
        <v>1429</v>
      </c>
      <c r="N10" s="44">
        <v>999</v>
      </c>
      <c r="O10" s="44">
        <v>999</v>
      </c>
      <c r="P10" s="45">
        <v>1000000</v>
      </c>
      <c r="Q10" s="46">
        <v>4</v>
      </c>
      <c r="R10" s="50">
        <f>'全局参数|GlobalPar'!L20</f>
        <v>6000</v>
      </c>
      <c r="S10" s="51">
        <v>4</v>
      </c>
      <c r="T10" s="2">
        <v>1</v>
      </c>
      <c r="U10" s="2">
        <v>2</v>
      </c>
      <c r="V10" s="45">
        <v>15</v>
      </c>
      <c r="W10" s="45">
        <v>100</v>
      </c>
      <c r="X10" s="21" t="s">
        <v>1418</v>
      </c>
      <c r="Y10" s="21">
        <v>99999</v>
      </c>
      <c r="Z10" s="21">
        <v>5</v>
      </c>
      <c r="AA10" s="21">
        <v>35</v>
      </c>
      <c r="AB10" s="21">
        <v>2</v>
      </c>
      <c r="AC10" s="21">
        <v>2</v>
      </c>
      <c r="AD10" s="21">
        <v>2</v>
      </c>
      <c r="AE10" s="45">
        <v>6</v>
      </c>
      <c r="AF10" s="2" t="s">
        <v>685</v>
      </c>
      <c r="AG10" s="59" t="s">
        <v>1430</v>
      </c>
      <c r="AH10" s="2" t="s">
        <v>1409</v>
      </c>
      <c r="AI10" s="59" t="s">
        <v>1419</v>
      </c>
      <c r="AP10" s="15">
        <v>8000000</v>
      </c>
      <c r="AQ10" s="2">
        <v>0</v>
      </c>
      <c r="AR10" s="63">
        <f t="shared" si="6"/>
        <v>1.44</v>
      </c>
      <c r="AS10" s="64">
        <f t="shared" si="7"/>
        <v>0.96</v>
      </c>
      <c r="AT10" s="65">
        <v>999999999</v>
      </c>
      <c r="AU10" s="2" t="s">
        <v>1379</v>
      </c>
      <c r="AV10" s="67" t="str">
        <f>AV9</f>
        <v>[[2,[0.4,0.8]],[7,[0.8,0.95]],[9,[0.9,0.95]],[32,[0.95,1]],[32,[1,1.05]],[9,[1.05,1.1]],[7,[1.05,1.2]],[2,[1.2,1.6]]]</v>
      </c>
      <c r="AW10" s="2" t="s">
        <v>1421</v>
      </c>
      <c r="AX10" s="2">
        <v>0.1</v>
      </c>
      <c r="AY10" s="74" t="s">
        <v>1431</v>
      </c>
      <c r="AZ10" s="2" t="s">
        <v>1432</v>
      </c>
      <c r="BA10" s="38" t="s">
        <v>1383</v>
      </c>
      <c r="BB10" s="38" t="s">
        <v>1433</v>
      </c>
      <c r="BC10" s="75">
        <f t="shared" si="1"/>
        <v>10200</v>
      </c>
      <c r="BD10" s="76">
        <v>0.25</v>
      </c>
      <c r="BE10" s="79">
        <v>0</v>
      </c>
      <c r="BF10" s="79">
        <v>70</v>
      </c>
      <c r="BG10" s="79">
        <v>70</v>
      </c>
      <c r="BH10" s="38"/>
      <c r="BI10" s="2">
        <v>4.0000000000000001E-3</v>
      </c>
      <c r="BJ10" s="2">
        <v>5</v>
      </c>
      <c r="BK10" s="2" t="s">
        <v>1434</v>
      </c>
      <c r="BM10">
        <v>1.02</v>
      </c>
      <c r="BN10" s="86">
        <v>40000</v>
      </c>
      <c r="BO10" s="87">
        <v>80000</v>
      </c>
      <c r="BP10" s="87">
        <f t="shared" si="2"/>
        <v>60000</v>
      </c>
      <c r="BQ10" s="87">
        <v>12</v>
      </c>
      <c r="BR10" s="88">
        <f t="shared" si="3"/>
        <v>120000</v>
      </c>
      <c r="BS10" s="89">
        <v>2</v>
      </c>
      <c r="BT10" s="90">
        <v>4</v>
      </c>
      <c r="BU10" s="97">
        <f t="shared" si="4"/>
        <v>3</v>
      </c>
      <c r="BV10" s="87">
        <v>12</v>
      </c>
      <c r="BW10" s="88">
        <f t="shared" si="5"/>
        <v>6</v>
      </c>
      <c r="CB10" s="98"/>
      <c r="CC10" s="98">
        <v>1.05</v>
      </c>
      <c r="CD10" s="98">
        <v>1.1499999999999999</v>
      </c>
      <c r="CE10" s="98">
        <v>10</v>
      </c>
      <c r="CF10" s="98">
        <f t="shared" si="0"/>
        <v>0.11</v>
      </c>
      <c r="CG10" s="98"/>
      <c r="CH10" s="98"/>
    </row>
    <row r="11" spans="1:86" ht="16.2" x14ac:dyDescent="0.35">
      <c r="A11" s="2">
        <v>6</v>
      </c>
      <c r="B11" s="2">
        <v>5000</v>
      </c>
      <c r="C11" s="40" t="s">
        <v>1805</v>
      </c>
      <c r="D11" s="38" t="s">
        <v>1435</v>
      </c>
      <c r="E11" s="38" t="s">
        <v>362</v>
      </c>
      <c r="F11" s="39" t="s">
        <v>362</v>
      </c>
      <c r="G11" s="38"/>
      <c r="H11" s="38" t="s">
        <v>644</v>
      </c>
      <c r="I11" s="2">
        <v>1406</v>
      </c>
      <c r="J11" s="38" t="s">
        <v>1436</v>
      </c>
      <c r="K11" s="21" t="s">
        <v>1437</v>
      </c>
      <c r="L11" s="20" t="s">
        <v>1428</v>
      </c>
      <c r="M11" s="20" t="s">
        <v>1429</v>
      </c>
      <c r="N11" s="44">
        <v>999</v>
      </c>
      <c r="O11" s="44">
        <v>999</v>
      </c>
      <c r="P11" s="45">
        <v>2000000</v>
      </c>
      <c r="Q11" s="49">
        <v>5</v>
      </c>
      <c r="R11" s="50">
        <f>'全局参数|GlobalPar'!L21</f>
        <v>6000</v>
      </c>
      <c r="S11" s="49">
        <f t="shared" si="8"/>
        <v>4</v>
      </c>
      <c r="T11" s="2">
        <v>1</v>
      </c>
      <c r="U11" s="2">
        <v>2</v>
      </c>
      <c r="V11" s="45">
        <v>20</v>
      </c>
      <c r="W11" s="45">
        <v>100</v>
      </c>
      <c r="X11" s="21" t="s">
        <v>1438</v>
      </c>
      <c r="Y11" s="21">
        <v>99999</v>
      </c>
      <c r="Z11" s="21">
        <v>6</v>
      </c>
      <c r="AA11" s="21">
        <v>40</v>
      </c>
      <c r="AB11" s="21">
        <v>2</v>
      </c>
      <c r="AC11" s="21">
        <v>2</v>
      </c>
      <c r="AD11" s="21">
        <v>2</v>
      </c>
      <c r="AE11" s="45">
        <v>8</v>
      </c>
      <c r="AF11" s="2" t="s">
        <v>685</v>
      </c>
      <c r="AG11" s="59" t="s">
        <v>1439</v>
      </c>
      <c r="AH11" s="2" t="s">
        <v>1409</v>
      </c>
      <c r="AI11" s="59" t="s">
        <v>1398</v>
      </c>
      <c r="AP11" s="15">
        <v>10000000</v>
      </c>
      <c r="AQ11" s="2">
        <v>0</v>
      </c>
      <c r="AR11" s="63">
        <f t="shared" si="6"/>
        <v>1.44</v>
      </c>
      <c r="AS11" s="64">
        <f t="shared" si="7"/>
        <v>0.96</v>
      </c>
      <c r="AT11" s="65">
        <v>999999999</v>
      </c>
      <c r="AU11" s="2" t="s">
        <v>1379</v>
      </c>
      <c r="AV11" s="67" t="str">
        <f>AV10</f>
        <v>[[2,[0.4,0.8]],[7,[0.8,0.95]],[9,[0.9,0.95]],[32,[0.95,1]],[32,[1,1.05]],[9,[1.05,1.1]],[7,[1.05,1.2]],[2,[1.2,1.6]]]</v>
      </c>
      <c r="AW11" s="2" t="s">
        <v>1440</v>
      </c>
      <c r="AX11" s="2">
        <v>0.12</v>
      </c>
      <c r="AY11" s="74" t="s">
        <v>1441</v>
      </c>
      <c r="AZ11" s="2" t="s">
        <v>1442</v>
      </c>
      <c r="BA11" s="38" t="s">
        <v>1383</v>
      </c>
      <c r="BB11" s="38" t="s">
        <v>1443</v>
      </c>
      <c r="BC11" s="75">
        <f t="shared" si="1"/>
        <v>10250</v>
      </c>
      <c r="BD11" s="76">
        <v>0.3</v>
      </c>
      <c r="BE11" s="79">
        <v>0</v>
      </c>
      <c r="BF11" s="79">
        <v>100</v>
      </c>
      <c r="BG11" s="79">
        <v>100</v>
      </c>
      <c r="BH11" s="38"/>
      <c r="BI11" s="2">
        <v>3.5000000000000001E-3</v>
      </c>
      <c r="BJ11" s="2">
        <v>10</v>
      </c>
      <c r="BK11" s="2" t="s">
        <v>1444</v>
      </c>
      <c r="BM11">
        <v>1.0249999999999999</v>
      </c>
      <c r="BN11" s="86">
        <v>40000</v>
      </c>
      <c r="BO11" s="87">
        <v>80000</v>
      </c>
      <c r="BP11" s="87">
        <f t="shared" si="2"/>
        <v>60000</v>
      </c>
      <c r="BQ11" s="87">
        <v>12</v>
      </c>
      <c r="BR11" s="88">
        <f t="shared" si="3"/>
        <v>120000</v>
      </c>
      <c r="BS11" s="89">
        <v>2</v>
      </c>
      <c r="BT11" s="90">
        <v>4</v>
      </c>
      <c r="BU11" s="97">
        <f t="shared" si="4"/>
        <v>3</v>
      </c>
      <c r="BV11" s="87">
        <v>12</v>
      </c>
      <c r="BW11" s="88">
        <f t="shared" si="5"/>
        <v>6</v>
      </c>
      <c r="CB11" s="98"/>
      <c r="CC11" s="98">
        <v>1.05</v>
      </c>
      <c r="CD11" s="98">
        <v>1.3</v>
      </c>
      <c r="CE11" s="98">
        <v>4</v>
      </c>
      <c r="CF11" s="98">
        <f t="shared" si="0"/>
        <v>4.7E-2</v>
      </c>
      <c r="CG11" s="98"/>
      <c r="CH11" s="98"/>
    </row>
    <row r="12" spans="1:86" ht="16.2" x14ac:dyDescent="0.35">
      <c r="A12" s="2">
        <v>7</v>
      </c>
      <c r="B12" s="2">
        <v>10000</v>
      </c>
      <c r="C12" s="40" t="s">
        <v>1806</v>
      </c>
      <c r="D12" s="38" t="s">
        <v>1445</v>
      </c>
      <c r="E12" s="38" t="s">
        <v>528</v>
      </c>
      <c r="F12" s="39" t="s">
        <v>644</v>
      </c>
      <c r="G12" s="38"/>
      <c r="H12" s="38" t="s">
        <v>644</v>
      </c>
      <c r="I12" s="2">
        <v>1407</v>
      </c>
      <c r="J12" s="38" t="s">
        <v>1446</v>
      </c>
      <c r="K12" s="21" t="s">
        <v>1447</v>
      </c>
      <c r="L12" s="20" t="s">
        <v>1428</v>
      </c>
      <c r="M12" s="20" t="s">
        <v>1429</v>
      </c>
      <c r="N12" s="44">
        <v>999</v>
      </c>
      <c r="O12" s="44">
        <v>999</v>
      </c>
      <c r="P12" s="46">
        <v>10000000</v>
      </c>
      <c r="Q12" s="49">
        <v>5</v>
      </c>
      <c r="R12" s="50">
        <f>'全局参数|GlobalPar'!L22</f>
        <v>8000</v>
      </c>
      <c r="S12" s="51">
        <v>5</v>
      </c>
      <c r="T12" s="2">
        <v>1</v>
      </c>
      <c r="U12" s="2">
        <v>3</v>
      </c>
      <c r="V12" s="45">
        <v>20</v>
      </c>
      <c r="W12" s="45">
        <v>100</v>
      </c>
      <c r="X12" s="21" t="s">
        <v>1448</v>
      </c>
      <c r="Y12" s="21">
        <v>99999</v>
      </c>
      <c r="Z12" s="21">
        <v>7</v>
      </c>
      <c r="AA12" s="21">
        <v>45</v>
      </c>
      <c r="AB12" s="21">
        <v>2</v>
      </c>
      <c r="AC12" s="21">
        <v>2</v>
      </c>
      <c r="AD12" s="21">
        <v>2</v>
      </c>
      <c r="AE12" s="45">
        <v>10</v>
      </c>
      <c r="AF12" s="2" t="s">
        <v>1449</v>
      </c>
      <c r="AG12" s="59" t="s">
        <v>1420</v>
      </c>
      <c r="AH12" s="2" t="s">
        <v>1450</v>
      </c>
      <c r="AI12" s="59" t="s">
        <v>1407</v>
      </c>
      <c r="AJ12" s="2" t="s">
        <v>1451</v>
      </c>
      <c r="AK12" s="59" t="s">
        <v>1439</v>
      </c>
      <c r="AP12" s="15">
        <v>12000000</v>
      </c>
      <c r="AQ12" s="2">
        <v>0</v>
      </c>
      <c r="AR12" s="63">
        <f t="shared" si="6"/>
        <v>1.44</v>
      </c>
      <c r="AS12" s="64">
        <f t="shared" si="7"/>
        <v>0.96</v>
      </c>
      <c r="AT12" s="65">
        <v>999999999</v>
      </c>
      <c r="AU12" s="2" t="s">
        <v>1379</v>
      </c>
      <c r="AV12" s="67" t="str">
        <f>AV11</f>
        <v>[[2,[0.4,0.8]],[7,[0.8,0.95]],[9,[0.9,0.95]],[32,[0.95,1]],[32,[1,1.05]],[9,[1.05,1.1]],[7,[1.05,1.2]],[2,[1.2,1.6]]]</v>
      </c>
      <c r="AW12" s="2" t="s">
        <v>1440</v>
      </c>
      <c r="AX12" s="2">
        <v>0.14000000000000001</v>
      </c>
      <c r="AY12" s="74" t="s">
        <v>1441</v>
      </c>
      <c r="AZ12" s="2" t="s">
        <v>1452</v>
      </c>
      <c r="BA12" s="38" t="s">
        <v>1383</v>
      </c>
      <c r="BB12" s="38" t="s">
        <v>1453</v>
      </c>
      <c r="BC12" s="75">
        <f t="shared" si="1"/>
        <v>10300</v>
      </c>
      <c r="BD12" s="76">
        <v>0.35</v>
      </c>
      <c r="BE12" s="79">
        <v>0</v>
      </c>
      <c r="BF12" s="79">
        <v>150</v>
      </c>
      <c r="BG12" s="79">
        <v>150</v>
      </c>
      <c r="BH12" s="38"/>
      <c r="BI12" s="2">
        <v>3.0000000000000001E-3</v>
      </c>
      <c r="BJ12" s="2">
        <v>10</v>
      </c>
      <c r="BK12" s="2" t="s">
        <v>1454</v>
      </c>
      <c r="BM12">
        <v>1.03</v>
      </c>
      <c r="BN12" s="86">
        <v>40000</v>
      </c>
      <c r="BO12" s="87">
        <v>80000</v>
      </c>
      <c r="BP12" s="87">
        <f t="shared" si="2"/>
        <v>60000</v>
      </c>
      <c r="BQ12" s="87">
        <v>12</v>
      </c>
      <c r="BR12" s="88">
        <f t="shared" si="3"/>
        <v>120000</v>
      </c>
      <c r="BS12" s="89">
        <v>2</v>
      </c>
      <c r="BT12" s="90">
        <v>4</v>
      </c>
      <c r="BU12" s="97">
        <f t="shared" si="4"/>
        <v>3</v>
      </c>
      <c r="BV12" s="87">
        <v>12</v>
      </c>
      <c r="BW12" s="88">
        <f t="shared" si="5"/>
        <v>6</v>
      </c>
      <c r="CB12" s="98"/>
      <c r="CC12" s="98">
        <v>1.2</v>
      </c>
      <c r="CD12" s="98">
        <v>1.6</v>
      </c>
      <c r="CE12" s="98">
        <v>2</v>
      </c>
      <c r="CF12" s="98">
        <f t="shared" si="0"/>
        <v>2.7999999999999997E-2</v>
      </c>
      <c r="CG12" s="98"/>
      <c r="CH12" s="98"/>
    </row>
    <row r="13" spans="1:86" ht="16.2" x14ac:dyDescent="0.35">
      <c r="A13" s="2">
        <v>8</v>
      </c>
      <c r="B13" s="41">
        <v>20000</v>
      </c>
      <c r="C13" s="40" t="s">
        <v>1455</v>
      </c>
      <c r="D13" s="38" t="s">
        <v>1456</v>
      </c>
      <c r="E13" s="38" t="s">
        <v>383</v>
      </c>
      <c r="F13" s="39" t="s">
        <v>644</v>
      </c>
      <c r="G13" s="38"/>
      <c r="H13" s="38" t="s">
        <v>471</v>
      </c>
      <c r="I13" s="2">
        <v>1408</v>
      </c>
      <c r="J13" s="38" t="s">
        <v>1457</v>
      </c>
      <c r="K13" s="21" t="s">
        <v>1458</v>
      </c>
      <c r="L13" s="20" t="s">
        <v>1428</v>
      </c>
      <c r="M13" s="20" t="s">
        <v>1429</v>
      </c>
      <c r="N13" s="44">
        <v>999</v>
      </c>
      <c r="O13" s="44">
        <v>999</v>
      </c>
      <c r="P13" s="46">
        <v>20000000</v>
      </c>
      <c r="Q13" s="49">
        <v>5</v>
      </c>
      <c r="R13" s="50">
        <f>'全局参数|GlobalPar'!L23</f>
        <v>8000</v>
      </c>
      <c r="S13" s="49">
        <f t="shared" si="8"/>
        <v>5</v>
      </c>
      <c r="T13" s="2">
        <v>1</v>
      </c>
      <c r="U13" s="2">
        <v>3</v>
      </c>
      <c r="V13" s="45">
        <v>20</v>
      </c>
      <c r="W13" s="45">
        <v>100</v>
      </c>
      <c r="X13" s="21" t="s">
        <v>1459</v>
      </c>
      <c r="Y13" s="21">
        <v>99999</v>
      </c>
      <c r="Z13" s="21">
        <v>8</v>
      </c>
      <c r="AA13" s="21">
        <v>50</v>
      </c>
      <c r="AB13" s="21">
        <v>2</v>
      </c>
      <c r="AC13" s="21">
        <v>2</v>
      </c>
      <c r="AD13" s="21">
        <v>2</v>
      </c>
      <c r="AE13" s="45">
        <v>12</v>
      </c>
      <c r="AF13" s="2" t="s">
        <v>1449</v>
      </c>
      <c r="AG13" s="59" t="s">
        <v>1416</v>
      </c>
      <c r="AH13" s="2" t="s">
        <v>1450</v>
      </c>
      <c r="AI13" s="59" t="s">
        <v>1420</v>
      </c>
      <c r="AJ13" s="2" t="s">
        <v>1451</v>
      </c>
      <c r="AK13" s="59" t="s">
        <v>1407</v>
      </c>
      <c r="AL13" s="2" t="s">
        <v>1460</v>
      </c>
      <c r="AM13" s="59" t="s">
        <v>1439</v>
      </c>
      <c r="AP13" s="15">
        <v>15000000</v>
      </c>
      <c r="AQ13" s="2">
        <v>0</v>
      </c>
      <c r="AR13" s="63">
        <f t="shared" si="6"/>
        <v>1.44</v>
      </c>
      <c r="AS13" s="64">
        <f t="shared" si="7"/>
        <v>0.96</v>
      </c>
      <c r="AT13" s="65">
        <v>999999999</v>
      </c>
      <c r="AU13" s="2" t="s">
        <v>1379</v>
      </c>
      <c r="AV13" s="68" t="str">
        <f>"[["&amp;CE25&amp;",["&amp;CC25&amp;","&amp;CD25&amp;"]],["&amp;CE26&amp;",["&amp;CC26&amp;","&amp;CD26&amp;"]],["&amp;CE27&amp;",["&amp;CC27&amp;","&amp;CD27&amp;"]],["&amp;CE28&amp;",["&amp;CC28&amp;","&amp;CD28&amp;"]],["&amp;CE29&amp;",["&amp;CC29&amp;","&amp;CD29&amp;"]],["&amp;CE30&amp;",["&amp;CC30&amp;","&amp;CD30&amp;"]],["&amp;CE31&amp;",["&amp;CC31&amp;","&amp;CD31&amp;"]],["&amp;CE32&amp;",["&amp;CC32&amp;","&amp;CD32&amp;"]]]"</f>
        <v>[[4,[0.3,0.8]],[8,[0.7,0.95]],[8,[0.8,0.95]],[30,[0.95,1]],[30,[1,1.05]],[8,[1.05,1.2]],[8,[1.05,1.3]],[4,[1.2,1.7]]]</v>
      </c>
      <c r="AW13" s="2" t="s">
        <v>1461</v>
      </c>
      <c r="AX13" s="2">
        <v>0.16</v>
      </c>
      <c r="AY13" s="74" t="s">
        <v>1441</v>
      </c>
      <c r="AZ13" s="2" t="s">
        <v>1462</v>
      </c>
      <c r="BA13" s="38" t="s">
        <v>1383</v>
      </c>
      <c r="BB13" s="38" t="s">
        <v>1463</v>
      </c>
      <c r="BC13" s="75">
        <f t="shared" si="1"/>
        <v>10350</v>
      </c>
      <c r="BD13" s="76">
        <v>0.4</v>
      </c>
      <c r="BE13" s="79">
        <v>0</v>
      </c>
      <c r="BF13" s="79">
        <v>200</v>
      </c>
      <c r="BG13" s="79">
        <v>200</v>
      </c>
      <c r="BH13" s="38"/>
      <c r="BI13" s="2">
        <v>2.5000000000000001E-3</v>
      </c>
      <c r="BJ13" s="2">
        <v>20</v>
      </c>
      <c r="BK13" s="2" t="s">
        <v>1464</v>
      </c>
      <c r="BM13">
        <v>1.0349999999999999</v>
      </c>
      <c r="BN13" s="86">
        <v>40000</v>
      </c>
      <c r="BO13" s="87">
        <v>80000</v>
      </c>
      <c r="BP13" s="87">
        <f t="shared" si="2"/>
        <v>60000</v>
      </c>
      <c r="BQ13" s="87">
        <v>12</v>
      </c>
      <c r="BR13" s="88">
        <f t="shared" si="3"/>
        <v>120000</v>
      </c>
      <c r="BS13" s="89">
        <v>2</v>
      </c>
      <c r="BT13" s="90">
        <v>4</v>
      </c>
      <c r="BU13" s="97">
        <f t="shared" si="4"/>
        <v>3</v>
      </c>
      <c r="BV13" s="87">
        <v>12</v>
      </c>
      <c r="BW13" s="88">
        <f t="shared" si="5"/>
        <v>6</v>
      </c>
    </row>
    <row r="14" spans="1:86" ht="16.2" x14ac:dyDescent="0.35">
      <c r="A14" s="2">
        <v>9</v>
      </c>
      <c r="B14" s="41">
        <v>50000</v>
      </c>
      <c r="C14" s="40" t="s">
        <v>1455</v>
      </c>
      <c r="D14" s="38" t="s">
        <v>1465</v>
      </c>
      <c r="E14" s="38" t="s">
        <v>383</v>
      </c>
      <c r="F14" s="39" t="s">
        <v>644</v>
      </c>
      <c r="G14" s="38"/>
      <c r="H14" s="38" t="s">
        <v>471</v>
      </c>
      <c r="I14" s="2">
        <v>1409</v>
      </c>
      <c r="J14" s="38" t="s">
        <v>1466</v>
      </c>
      <c r="K14" s="21" t="s">
        <v>1467</v>
      </c>
      <c r="L14" s="20" t="s">
        <v>1468</v>
      </c>
      <c r="M14" s="20" t="s">
        <v>1469</v>
      </c>
      <c r="N14" s="44">
        <v>999</v>
      </c>
      <c r="O14" s="44">
        <v>999</v>
      </c>
      <c r="P14" s="46">
        <v>40000000</v>
      </c>
      <c r="Q14" s="49">
        <v>5</v>
      </c>
      <c r="R14" s="50">
        <f>'全局参数|GlobalPar'!L24</f>
        <v>8000</v>
      </c>
      <c r="S14" s="49">
        <f t="shared" si="8"/>
        <v>5</v>
      </c>
      <c r="T14" s="2">
        <v>1</v>
      </c>
      <c r="U14" s="2">
        <v>3</v>
      </c>
      <c r="V14" s="45">
        <v>20</v>
      </c>
      <c r="W14" s="45">
        <v>100</v>
      </c>
      <c r="X14" s="21" t="s">
        <v>1470</v>
      </c>
      <c r="Y14" s="21">
        <v>99999</v>
      </c>
      <c r="Z14" s="21">
        <v>9</v>
      </c>
      <c r="AA14" s="21">
        <v>55</v>
      </c>
      <c r="AB14" s="21">
        <v>2</v>
      </c>
      <c r="AC14" s="21">
        <v>2</v>
      </c>
      <c r="AD14" s="21">
        <v>2</v>
      </c>
      <c r="AE14" s="45">
        <v>15</v>
      </c>
      <c r="AF14" s="2" t="s">
        <v>1449</v>
      </c>
      <c r="AG14" s="59" t="s">
        <v>1426</v>
      </c>
      <c r="AH14" s="2" t="s">
        <v>1450</v>
      </c>
      <c r="AI14" s="59" t="s">
        <v>1416</v>
      </c>
      <c r="AJ14" s="2" t="s">
        <v>1451</v>
      </c>
      <c r="AK14" s="59" t="s">
        <v>1420</v>
      </c>
      <c r="AL14" s="2" t="s">
        <v>1460</v>
      </c>
      <c r="AM14" s="59" t="s">
        <v>1407</v>
      </c>
      <c r="AN14" s="2" t="s">
        <v>1471</v>
      </c>
      <c r="AO14" s="59" t="s">
        <v>1439</v>
      </c>
      <c r="AP14" s="15">
        <v>30000000</v>
      </c>
      <c r="AQ14" s="2">
        <v>0</v>
      </c>
      <c r="AR14" s="63">
        <f t="shared" si="6"/>
        <v>1.44</v>
      </c>
      <c r="AS14" s="64">
        <f t="shared" si="7"/>
        <v>0.96</v>
      </c>
      <c r="AT14" s="65">
        <v>999999999</v>
      </c>
      <c r="AU14" s="2" t="s">
        <v>1379</v>
      </c>
      <c r="AV14" s="68" t="str">
        <f>AV13</f>
        <v>[[4,[0.3,0.8]],[8,[0.7,0.95]],[8,[0.8,0.95]],[30,[0.95,1]],[30,[1,1.05]],[8,[1.05,1.2]],[8,[1.05,1.3]],[4,[1.2,1.7]]]</v>
      </c>
      <c r="AW14" s="2" t="s">
        <v>1461</v>
      </c>
      <c r="AX14" s="2">
        <v>0.18</v>
      </c>
      <c r="AY14" s="74" t="s">
        <v>1441</v>
      </c>
      <c r="AZ14" s="2" t="s">
        <v>1472</v>
      </c>
      <c r="BA14" s="38" t="s">
        <v>1383</v>
      </c>
      <c r="BB14" s="38" t="s">
        <v>1473</v>
      </c>
      <c r="BC14" s="75">
        <f t="shared" si="1"/>
        <v>10400</v>
      </c>
      <c r="BD14" s="76">
        <v>0.45</v>
      </c>
      <c r="BE14" s="79">
        <v>0</v>
      </c>
      <c r="BF14" s="79">
        <v>300</v>
      </c>
      <c r="BG14" s="79">
        <v>300</v>
      </c>
      <c r="BH14" s="38"/>
      <c r="BI14" s="24"/>
      <c r="BJ14" s="2">
        <v>20</v>
      </c>
      <c r="BK14" s="2" t="s">
        <v>1474</v>
      </c>
      <c r="BM14">
        <v>1.04</v>
      </c>
      <c r="BN14" s="86">
        <v>80000</v>
      </c>
      <c r="BO14" s="87">
        <v>120000</v>
      </c>
      <c r="BP14" s="87">
        <f t="shared" si="2"/>
        <v>100000</v>
      </c>
      <c r="BQ14" s="87">
        <v>12</v>
      </c>
      <c r="BR14" s="88">
        <f t="shared" si="3"/>
        <v>200000</v>
      </c>
      <c r="BS14" s="89">
        <v>4</v>
      </c>
      <c r="BT14" s="90">
        <v>6</v>
      </c>
      <c r="BU14" s="97">
        <f t="shared" si="4"/>
        <v>5</v>
      </c>
      <c r="BV14" s="87">
        <v>12</v>
      </c>
      <c r="BW14" s="88">
        <f t="shared" si="5"/>
        <v>10</v>
      </c>
      <c r="CB14" s="96" t="s">
        <v>1475</v>
      </c>
      <c r="CC14" s="98" t="s">
        <v>1373</v>
      </c>
      <c r="CD14" s="98" t="s">
        <v>1374</v>
      </c>
      <c r="CE14" s="98" t="s">
        <v>141</v>
      </c>
      <c r="CF14" s="98" t="s">
        <v>912</v>
      </c>
      <c r="CG14" s="98"/>
      <c r="CH14" s="98"/>
    </row>
    <row r="15" spans="1:86" ht="16.2" x14ac:dyDescent="0.35">
      <c r="A15" s="2">
        <v>10</v>
      </c>
      <c r="B15" s="41">
        <v>100000</v>
      </c>
      <c r="C15" s="40" t="s">
        <v>1476</v>
      </c>
      <c r="D15" s="38" t="s">
        <v>1465</v>
      </c>
      <c r="E15" s="38" t="s">
        <v>383</v>
      </c>
      <c r="F15" s="39" t="s">
        <v>471</v>
      </c>
      <c r="G15" s="38"/>
      <c r="H15" s="38" t="s">
        <v>471</v>
      </c>
      <c r="I15" s="2">
        <v>1410</v>
      </c>
      <c r="J15" s="38" t="s">
        <v>1477</v>
      </c>
      <c r="K15" s="21" t="s">
        <v>1478</v>
      </c>
      <c r="L15" s="20" t="s">
        <v>1468</v>
      </c>
      <c r="M15" s="20" t="s">
        <v>1469</v>
      </c>
      <c r="N15" s="44">
        <v>999</v>
      </c>
      <c r="O15" s="44">
        <v>999</v>
      </c>
      <c r="P15" s="46">
        <v>50000000</v>
      </c>
      <c r="Q15" s="49">
        <v>5</v>
      </c>
      <c r="R15" s="50">
        <f>'全局参数|GlobalPar'!L25</f>
        <v>8000</v>
      </c>
      <c r="S15" s="46">
        <v>10</v>
      </c>
      <c r="T15" s="2">
        <v>1</v>
      </c>
      <c r="U15" s="2">
        <v>3</v>
      </c>
      <c r="V15" s="45">
        <v>25</v>
      </c>
      <c r="W15" s="45">
        <v>100</v>
      </c>
      <c r="X15" s="21" t="s">
        <v>1479</v>
      </c>
      <c r="Y15" s="21">
        <v>99999</v>
      </c>
      <c r="Z15" s="21">
        <v>10</v>
      </c>
      <c r="AA15" s="21">
        <v>60</v>
      </c>
      <c r="AB15" s="21">
        <v>2</v>
      </c>
      <c r="AC15" s="21">
        <v>2</v>
      </c>
      <c r="AD15" s="21">
        <v>2</v>
      </c>
      <c r="AE15" s="45">
        <v>18</v>
      </c>
      <c r="AF15" s="2" t="s">
        <v>1449</v>
      </c>
      <c r="AG15" s="59" t="s">
        <v>1480</v>
      </c>
      <c r="AH15" s="2" t="s">
        <v>1450</v>
      </c>
      <c r="AI15" s="59" t="s">
        <v>1426</v>
      </c>
      <c r="AJ15" s="2" t="s">
        <v>1451</v>
      </c>
      <c r="AK15" s="59" t="s">
        <v>1416</v>
      </c>
      <c r="AL15" s="2" t="s">
        <v>1460</v>
      </c>
      <c r="AM15" s="59" t="s">
        <v>1420</v>
      </c>
      <c r="AN15" s="2" t="s">
        <v>1471</v>
      </c>
      <c r="AO15" s="59" t="s">
        <v>1407</v>
      </c>
      <c r="AP15" s="69">
        <v>50000000</v>
      </c>
      <c r="AQ15" s="2">
        <v>0</v>
      </c>
      <c r="AR15" s="63">
        <f t="shared" si="6"/>
        <v>1.44</v>
      </c>
      <c r="AS15" s="64">
        <f t="shared" si="7"/>
        <v>0.96</v>
      </c>
      <c r="AT15" s="65">
        <v>999999999</v>
      </c>
      <c r="AU15" s="2" t="s">
        <v>1379</v>
      </c>
      <c r="AV15" s="68" t="str">
        <f>AV14</f>
        <v>[[4,[0.3,0.8]],[8,[0.7,0.95]],[8,[0.8,0.95]],[30,[0.95,1]],[30,[1,1.05]],[8,[1.05,1.2]],[8,[1.05,1.3]],[4,[1.2,1.7]]]</v>
      </c>
      <c r="AW15" s="2" t="s">
        <v>1461</v>
      </c>
      <c r="AX15" s="2">
        <v>0.2</v>
      </c>
      <c r="AY15" s="74" t="s">
        <v>1441</v>
      </c>
      <c r="AZ15" s="2" t="s">
        <v>1481</v>
      </c>
      <c r="BA15" s="38" t="s">
        <v>1383</v>
      </c>
      <c r="BB15" s="38" t="s">
        <v>1482</v>
      </c>
      <c r="BC15" s="75">
        <f t="shared" si="1"/>
        <v>10400</v>
      </c>
      <c r="BD15" s="76">
        <v>0.5</v>
      </c>
      <c r="BE15" s="79">
        <v>0</v>
      </c>
      <c r="BF15" s="79">
        <v>350</v>
      </c>
      <c r="BG15" s="79">
        <v>350</v>
      </c>
      <c r="BH15" s="38"/>
      <c r="BM15">
        <v>1.04</v>
      </c>
      <c r="BN15" s="91">
        <v>80000</v>
      </c>
      <c r="BO15" s="92">
        <v>120000</v>
      </c>
      <c r="BP15" s="92">
        <f t="shared" si="2"/>
        <v>100000</v>
      </c>
      <c r="BQ15" s="92">
        <v>12</v>
      </c>
      <c r="BR15" s="93">
        <f t="shared" si="3"/>
        <v>200000</v>
      </c>
      <c r="BS15" s="94">
        <v>4</v>
      </c>
      <c r="BT15" s="95">
        <v>6</v>
      </c>
      <c r="BU15" s="99">
        <f t="shared" si="4"/>
        <v>5</v>
      </c>
      <c r="BV15" s="92">
        <v>12</v>
      </c>
      <c r="BW15" s="93">
        <f t="shared" si="5"/>
        <v>10</v>
      </c>
      <c r="CB15" s="98">
        <v>4</v>
      </c>
      <c r="CC15" s="98">
        <v>0.4</v>
      </c>
      <c r="CD15" s="98">
        <v>0.8</v>
      </c>
      <c r="CE15" s="98">
        <v>2</v>
      </c>
      <c r="CF15" s="98">
        <f t="shared" ref="CF15:CF22" si="9">(CC15+CD15)/2*CE15/100</f>
        <v>1.2000000000000002E-2</v>
      </c>
      <c r="CG15" s="98" t="s">
        <v>1386</v>
      </c>
      <c r="CH15" s="98">
        <f>SUM(CF15:CF22)</f>
        <v>1</v>
      </c>
    </row>
    <row r="16" spans="1:86" x14ac:dyDescent="0.25">
      <c r="CB16" s="98">
        <v>7</v>
      </c>
      <c r="CC16" s="98">
        <v>0.8</v>
      </c>
      <c r="CD16" s="98">
        <v>0.95</v>
      </c>
      <c r="CE16" s="98">
        <v>7</v>
      </c>
      <c r="CF16" s="98">
        <f t="shared" si="9"/>
        <v>6.1249999999999999E-2</v>
      </c>
      <c r="CG16" s="98"/>
      <c r="CH16" s="98"/>
    </row>
    <row r="17" spans="15:86" x14ac:dyDescent="0.25">
      <c r="CB17" s="98"/>
      <c r="CC17" s="98">
        <v>0.9</v>
      </c>
      <c r="CD17" s="98">
        <v>0.95</v>
      </c>
      <c r="CE17" s="98">
        <v>9</v>
      </c>
      <c r="CF17" s="98">
        <f t="shared" si="9"/>
        <v>8.3250000000000005E-2</v>
      </c>
      <c r="CG17" s="98"/>
      <c r="CH17" s="98"/>
    </row>
    <row r="18" spans="15:86" x14ac:dyDescent="0.25">
      <c r="CB18" s="98"/>
      <c r="CC18" s="98">
        <v>0.95</v>
      </c>
      <c r="CD18" s="98">
        <v>1</v>
      </c>
      <c r="CE18" s="98">
        <v>32</v>
      </c>
      <c r="CF18" s="98">
        <f t="shared" si="9"/>
        <v>0.312</v>
      </c>
      <c r="CG18" s="98"/>
      <c r="CH18" s="98"/>
    </row>
    <row r="19" spans="15:86" x14ac:dyDescent="0.25">
      <c r="CB19" s="98"/>
      <c r="CC19" s="98">
        <v>1</v>
      </c>
      <c r="CD19" s="98">
        <v>1.05</v>
      </c>
      <c r="CE19" s="98">
        <v>32</v>
      </c>
      <c r="CF19" s="98">
        <f t="shared" si="9"/>
        <v>0.32799999999999996</v>
      </c>
      <c r="CG19" s="98"/>
      <c r="CH19" s="98"/>
    </row>
    <row r="20" spans="15:86" x14ac:dyDescent="0.25">
      <c r="CB20" s="98"/>
      <c r="CC20" s="98">
        <v>1.05</v>
      </c>
      <c r="CD20" s="98">
        <v>1.1000000000000001</v>
      </c>
      <c r="CE20" s="98">
        <v>9</v>
      </c>
      <c r="CF20" s="98">
        <f t="shared" si="9"/>
        <v>9.6750000000000003E-2</v>
      </c>
      <c r="CG20" s="98"/>
      <c r="CH20" s="98"/>
    </row>
    <row r="21" spans="15:86" x14ac:dyDescent="0.25">
      <c r="CB21" s="98"/>
      <c r="CC21" s="98">
        <v>1.05</v>
      </c>
      <c r="CD21" s="98">
        <v>1.2</v>
      </c>
      <c r="CE21" s="98">
        <v>7</v>
      </c>
      <c r="CF21" s="98">
        <f t="shared" si="9"/>
        <v>7.8750000000000001E-2</v>
      </c>
      <c r="CG21" s="98"/>
      <c r="CH21" s="98"/>
    </row>
    <row r="22" spans="15:86" x14ac:dyDescent="0.25">
      <c r="CB22" s="98"/>
      <c r="CC22" s="98">
        <v>1.2</v>
      </c>
      <c r="CD22" s="98">
        <v>1.6</v>
      </c>
      <c r="CE22" s="98">
        <v>2</v>
      </c>
      <c r="CF22" s="98">
        <f t="shared" si="9"/>
        <v>2.7999999999999997E-2</v>
      </c>
      <c r="CG22" s="98"/>
      <c r="CH22" s="98"/>
    </row>
    <row r="24" spans="15:86" x14ac:dyDescent="0.25">
      <c r="BH24"/>
      <c r="CB24" s="96" t="s">
        <v>1483</v>
      </c>
      <c r="CC24" s="98" t="s">
        <v>1373</v>
      </c>
      <c r="CD24" s="98" t="s">
        <v>1374</v>
      </c>
      <c r="CE24" s="98" t="s">
        <v>141</v>
      </c>
      <c r="CF24" s="98" t="s">
        <v>912</v>
      </c>
      <c r="CG24" s="98"/>
      <c r="CH24" s="98"/>
    </row>
    <row r="25" spans="15:86" x14ac:dyDescent="0.25">
      <c r="CB25" s="98">
        <v>8</v>
      </c>
      <c r="CC25" s="98">
        <v>0.3</v>
      </c>
      <c r="CD25" s="98">
        <v>0.8</v>
      </c>
      <c r="CE25" s="98">
        <v>4</v>
      </c>
      <c r="CF25" s="98">
        <f t="shared" ref="CF25:CF32" si="10">(CC25+CD25)/2*CE25/100</f>
        <v>2.2000000000000002E-2</v>
      </c>
      <c r="CG25" s="98" t="s">
        <v>1386</v>
      </c>
      <c r="CH25" s="98">
        <f>SUM(CF25:CF32)</f>
        <v>1</v>
      </c>
    </row>
    <row r="26" spans="15:86" x14ac:dyDescent="0.25">
      <c r="O26"/>
      <c r="CB26" s="98">
        <v>10</v>
      </c>
      <c r="CC26" s="98">
        <v>0.7</v>
      </c>
      <c r="CD26" s="98">
        <v>0.95</v>
      </c>
      <c r="CE26" s="98">
        <v>8</v>
      </c>
      <c r="CF26" s="98">
        <f t="shared" si="10"/>
        <v>6.6000000000000003E-2</v>
      </c>
      <c r="CG26" s="98"/>
      <c r="CH26" s="98"/>
    </row>
    <row r="27" spans="15:86" x14ac:dyDescent="0.25">
      <c r="CB27" s="98"/>
      <c r="CC27" s="98">
        <v>0.8</v>
      </c>
      <c r="CD27" s="98">
        <v>0.95</v>
      </c>
      <c r="CE27" s="98">
        <v>8</v>
      </c>
      <c r="CF27" s="98">
        <f t="shared" si="10"/>
        <v>7.0000000000000007E-2</v>
      </c>
      <c r="CG27" s="98"/>
      <c r="CH27" s="98"/>
    </row>
    <row r="28" spans="15:86" x14ac:dyDescent="0.25">
      <c r="CB28" s="98"/>
      <c r="CC28" s="98">
        <v>0.95</v>
      </c>
      <c r="CD28" s="98">
        <v>1</v>
      </c>
      <c r="CE28" s="98">
        <v>30</v>
      </c>
      <c r="CF28" s="98">
        <f t="shared" si="10"/>
        <v>0.29249999999999998</v>
      </c>
      <c r="CG28" s="98"/>
      <c r="CH28" s="98"/>
    </row>
    <row r="29" spans="15:86" x14ac:dyDescent="0.25">
      <c r="CB29" s="98"/>
      <c r="CC29" s="98">
        <v>1</v>
      </c>
      <c r="CD29" s="98">
        <v>1.05</v>
      </c>
      <c r="CE29" s="98">
        <v>30</v>
      </c>
      <c r="CF29" s="98">
        <f t="shared" si="10"/>
        <v>0.30749999999999994</v>
      </c>
      <c r="CG29" s="98"/>
      <c r="CH29" s="98"/>
    </row>
    <row r="30" spans="15:86" x14ac:dyDescent="0.25">
      <c r="CB30" s="98"/>
      <c r="CC30" s="98">
        <v>1.05</v>
      </c>
      <c r="CD30" s="98">
        <v>1.2</v>
      </c>
      <c r="CE30" s="98">
        <v>8</v>
      </c>
      <c r="CF30" s="98">
        <f t="shared" si="10"/>
        <v>0.09</v>
      </c>
      <c r="CG30" s="98"/>
      <c r="CH30" s="98"/>
    </row>
    <row r="31" spans="15:86" x14ac:dyDescent="0.25">
      <c r="CB31" s="98"/>
      <c r="CC31" s="98">
        <v>1.05</v>
      </c>
      <c r="CD31" s="98">
        <v>1.3</v>
      </c>
      <c r="CE31" s="98">
        <v>8</v>
      </c>
      <c r="CF31" s="98">
        <f t="shared" si="10"/>
        <v>9.4E-2</v>
      </c>
      <c r="CG31" s="98"/>
      <c r="CH31" s="98"/>
    </row>
    <row r="32" spans="15:86" x14ac:dyDescent="0.25">
      <c r="CB32" s="98"/>
      <c r="CC32" s="98">
        <v>1.2</v>
      </c>
      <c r="CD32" s="98">
        <v>1.7</v>
      </c>
      <c r="CE32" s="98">
        <v>4</v>
      </c>
      <c r="CF32" s="98">
        <f t="shared" si="10"/>
        <v>5.7999999999999996E-2</v>
      </c>
      <c r="CG32" s="98"/>
      <c r="CH32" s="98"/>
    </row>
  </sheetData>
  <mergeCells count="3">
    <mergeCell ref="BN3:BP3"/>
    <mergeCell ref="BS3:BU3"/>
    <mergeCell ref="BA4:BB4"/>
  </mergeCells>
  <phoneticPr fontId="55" type="noConversion"/>
  <conditionalFormatting sqref="AT6">
    <cfRule type="containsText" dxfId="616" priority="55" operator="containsText" text=" ">
      <formula>NOT(ISERROR(SEARCH(" ",AT6)))</formula>
    </cfRule>
  </conditionalFormatting>
  <conditionalFormatting sqref="AH8">
    <cfRule type="containsText" dxfId="615" priority="118" operator="containsText" text=" ">
      <formula>NOT(ISERROR(SEARCH(" ",AH8)))</formula>
    </cfRule>
  </conditionalFormatting>
  <conditionalFormatting sqref="AI8">
    <cfRule type="containsText" dxfId="614" priority="42" operator="containsText" text=" ">
      <formula>NOT(ISERROR(SEARCH(" ",AI8)))</formula>
    </cfRule>
  </conditionalFormatting>
  <conditionalFormatting sqref="AH9">
    <cfRule type="containsText" dxfId="613" priority="117" operator="containsText" text=" ">
      <formula>NOT(ISERROR(SEARCH(" ",AH9)))</formula>
    </cfRule>
  </conditionalFormatting>
  <conditionalFormatting sqref="AH10">
    <cfRule type="containsText" dxfId="612" priority="116" operator="containsText" text=" ">
      <formula>NOT(ISERROR(SEARCH(" ",AH10)))</formula>
    </cfRule>
  </conditionalFormatting>
  <conditionalFormatting sqref="AH11">
    <cfRule type="containsText" dxfId="611" priority="95" operator="containsText" text=" ">
      <formula>NOT(ISERROR(SEARCH(" ",AH11)))</formula>
    </cfRule>
  </conditionalFormatting>
  <conditionalFormatting sqref="AH12">
    <cfRule type="containsText" dxfId="610" priority="103" operator="containsText" text=" ">
      <formula>NOT(ISERROR(SEARCH(" ",AH12)))</formula>
    </cfRule>
  </conditionalFormatting>
  <conditionalFormatting sqref="AJ12">
    <cfRule type="containsText" dxfId="609" priority="101" operator="containsText" text=" ">
      <formula>NOT(ISERROR(SEARCH(" ",AJ12)))</formula>
    </cfRule>
  </conditionalFormatting>
  <conditionalFormatting sqref="AK12">
    <cfRule type="containsText" dxfId="608" priority="39" operator="containsText" text=" ">
      <formula>NOT(ISERROR(SEARCH(" ",AK12)))</formula>
    </cfRule>
  </conditionalFormatting>
  <conditionalFormatting sqref="AH13">
    <cfRule type="containsText" dxfId="607" priority="109" operator="containsText" text=" ">
      <formula>NOT(ISERROR(SEARCH(" ",AH13)))</formula>
    </cfRule>
  </conditionalFormatting>
  <conditionalFormatting sqref="AJ13">
    <cfRule type="containsText" dxfId="606" priority="107" operator="containsText" text=" ">
      <formula>NOT(ISERROR(SEARCH(" ",AJ13)))</formula>
    </cfRule>
  </conditionalFormatting>
  <conditionalFormatting sqref="AL13">
    <cfRule type="containsText" dxfId="605" priority="105" operator="containsText" text=" ">
      <formula>NOT(ISERROR(SEARCH(" ",AL13)))</formula>
    </cfRule>
  </conditionalFormatting>
  <conditionalFormatting sqref="AM13">
    <cfRule type="containsText" dxfId="604" priority="37" operator="containsText" text=" ">
      <formula>NOT(ISERROR(SEARCH(" ",AM13)))</formula>
    </cfRule>
  </conditionalFormatting>
  <conditionalFormatting sqref="AH14">
    <cfRule type="containsText" dxfId="603" priority="122" operator="containsText" text=" ">
      <formula>NOT(ISERROR(SEARCH(" ",AH14)))</formula>
    </cfRule>
  </conditionalFormatting>
  <conditionalFormatting sqref="AJ14">
    <cfRule type="containsText" dxfId="602" priority="115" operator="containsText" text=" ">
      <formula>NOT(ISERROR(SEARCH(" ",AJ14)))</formula>
    </cfRule>
  </conditionalFormatting>
  <conditionalFormatting sqref="AL14">
    <cfRule type="containsText" dxfId="601" priority="113" operator="containsText" text=" ">
      <formula>NOT(ISERROR(SEARCH(" ",AL14)))</formula>
    </cfRule>
  </conditionalFormatting>
  <conditionalFormatting sqref="AN14">
    <cfRule type="containsText" dxfId="600" priority="111" operator="containsText" text=" ">
      <formula>NOT(ISERROR(SEARCH(" ",AN14)))</formula>
    </cfRule>
  </conditionalFormatting>
  <conditionalFormatting sqref="AO14">
    <cfRule type="containsText" dxfId="599" priority="35" operator="containsText" text=" ">
      <formula>NOT(ISERROR(SEARCH(" ",AO14)))</formula>
    </cfRule>
  </conditionalFormatting>
  <conditionalFormatting sqref="AP14">
    <cfRule type="containsText" dxfId="598" priority="110" operator="containsText" text=" ">
      <formula>NOT(ISERROR(SEARCH(" ",AP14)))</formula>
    </cfRule>
  </conditionalFormatting>
  <conditionalFormatting sqref="D15">
    <cfRule type="containsText" dxfId="597" priority="58" operator="containsText" text=" ">
      <formula>NOT(ISERROR(SEARCH(" ",D15)))</formula>
    </cfRule>
  </conditionalFormatting>
  <conditionalFormatting sqref="P15">
    <cfRule type="containsText" dxfId="596" priority="13" operator="containsText" text=" ">
      <formula>NOT(ISERROR(SEARCH(" ",P15)))</formula>
    </cfRule>
  </conditionalFormatting>
  <conditionalFormatting sqref="Q15">
    <cfRule type="containsText" dxfId="595" priority="14" operator="containsText" text=" ">
      <formula>NOT(ISERROR(SEARCH(" ",Q15)))</formula>
    </cfRule>
  </conditionalFormatting>
  <conditionalFormatting sqref="V15">
    <cfRule type="containsText" dxfId="594" priority="18" operator="containsText" text=" ">
      <formula>NOT(ISERROR(SEARCH(" ",V15)))</formula>
    </cfRule>
  </conditionalFormatting>
  <conditionalFormatting sqref="X15">
    <cfRule type="containsText" dxfId="593" priority="1" operator="containsText" text=" ">
      <formula>NOT(ISERROR(SEARCH(" ",X15)))</formula>
    </cfRule>
  </conditionalFormatting>
  <conditionalFormatting sqref="AE15">
    <cfRule type="containsText" dxfId="592" priority="20" operator="containsText" text=" ">
      <formula>NOT(ISERROR(SEARCH(" ",AE15)))</formula>
    </cfRule>
  </conditionalFormatting>
  <conditionalFormatting sqref="AG15">
    <cfRule type="containsText" dxfId="591" priority="70" operator="containsText" text=" ">
      <formula>NOT(ISERROR(SEARCH(" ",AG15)))</formula>
    </cfRule>
  </conditionalFormatting>
  <conditionalFormatting sqref="AH15">
    <cfRule type="containsText" dxfId="590" priority="69" operator="containsText" text=" ">
      <formula>NOT(ISERROR(SEARCH(" ",AH15)))</formula>
    </cfRule>
  </conditionalFormatting>
  <conditionalFormatting sqref="AI15">
    <cfRule type="containsText" dxfId="589" priority="41" operator="containsText" text=" ">
      <formula>NOT(ISERROR(SEARCH(" ",AI15)))</formula>
    </cfRule>
  </conditionalFormatting>
  <conditionalFormatting sqref="AJ15">
    <cfRule type="containsText" dxfId="588" priority="66" operator="containsText" text=" ">
      <formula>NOT(ISERROR(SEARCH(" ",AJ15)))</formula>
    </cfRule>
  </conditionalFormatting>
  <conditionalFormatting sqref="AL15">
    <cfRule type="containsText" dxfId="587" priority="64" operator="containsText" text=" ">
      <formula>NOT(ISERROR(SEARCH(" ",AL15)))</formula>
    </cfRule>
  </conditionalFormatting>
  <conditionalFormatting sqref="AN15">
    <cfRule type="containsText" dxfId="586" priority="62" operator="containsText" text=" ">
      <formula>NOT(ISERROR(SEARCH(" ",AN15)))</formula>
    </cfRule>
  </conditionalFormatting>
  <conditionalFormatting sqref="AO15">
    <cfRule type="containsText" dxfId="585" priority="36" operator="containsText" text=" ">
      <formula>NOT(ISERROR(SEARCH(" ",AO15)))</formula>
    </cfRule>
  </conditionalFormatting>
  <conditionalFormatting sqref="AP15">
    <cfRule type="containsText" dxfId="584" priority="56" operator="containsText" text=" ">
      <formula>NOT(ISERROR(SEARCH(" ",AP15)))</formula>
    </cfRule>
    <cfRule type="containsText" dxfId="583" priority="61" operator="containsText" text=" ">
      <formula>NOT(ISERROR(SEARCH(" ",AP15)))</formula>
    </cfRule>
  </conditionalFormatting>
  <conditionalFormatting sqref="AT15">
    <cfRule type="containsText" dxfId="582" priority="59" operator="containsText" text=" ">
      <formula>NOT(ISERROR(SEARCH(" ",AT15)))</formula>
    </cfRule>
  </conditionalFormatting>
  <conditionalFormatting sqref="C6:C7">
    <cfRule type="containsText" dxfId="581" priority="11" operator="containsText" text=" ">
      <formula>NOT(ISERROR(SEARCH(" ",C6)))</formula>
    </cfRule>
  </conditionalFormatting>
  <conditionalFormatting sqref="C8:C15">
    <cfRule type="containsText" dxfId="580" priority="3" operator="containsText" text=" ">
      <formula>NOT(ISERROR(SEARCH(" ",C8)))</formula>
    </cfRule>
  </conditionalFormatting>
  <conditionalFormatting sqref="D6:D14">
    <cfRule type="containsText" dxfId="579" priority="87" operator="containsText" text=" ">
      <formula>NOT(ISERROR(SEARCH(" ",D6)))</formula>
    </cfRule>
  </conditionalFormatting>
  <conditionalFormatting sqref="I6:I15">
    <cfRule type="containsText" dxfId="578" priority="24" operator="containsText" text=" ">
      <formula>NOT(ISERROR(SEARCH(" ",I6)))</formula>
    </cfRule>
  </conditionalFormatting>
  <conditionalFormatting sqref="J6:J15">
    <cfRule type="containsText" dxfId="577" priority="28" operator="containsText" text=" ">
      <formula>NOT(ISERROR(SEARCH(" ",J6)))</formula>
    </cfRule>
  </conditionalFormatting>
  <conditionalFormatting sqref="S5:S15">
    <cfRule type="containsText" dxfId="576" priority="17" operator="containsText" text=" ">
      <formula>NOT(ISERROR(SEARCH(" ",S5)))</formula>
    </cfRule>
  </conditionalFormatting>
  <conditionalFormatting sqref="X5:X14">
    <cfRule type="containsText" dxfId="575" priority="2" operator="containsText" text=" ">
      <formula>NOT(ISERROR(SEARCH(" ",X5)))</formula>
    </cfRule>
  </conditionalFormatting>
  <conditionalFormatting sqref="AA5:AA1048576">
    <cfRule type="containsText" dxfId="574" priority="25" operator="containsText" text=" ">
      <formula>NOT(ISERROR(SEARCH(" ",AA5)))</formula>
    </cfRule>
  </conditionalFormatting>
  <conditionalFormatting sqref="AB5:AB15">
    <cfRule type="containsText" dxfId="573" priority="8" operator="containsText" text=" ">
      <formula>NOT(ISERROR(SEARCH(" ",AB5)))</formula>
    </cfRule>
  </conditionalFormatting>
  <conditionalFormatting sqref="AC5:AC15">
    <cfRule type="containsText" dxfId="572" priority="7" operator="containsText" text=" ">
      <formula>NOT(ISERROR(SEARCH(" ",AC5)))</formula>
    </cfRule>
  </conditionalFormatting>
  <conditionalFormatting sqref="AD5:AD15">
    <cfRule type="containsText" dxfId="571" priority="6" operator="containsText" text=" ">
      <formula>NOT(ISERROR(SEARCH(" ",AD5)))</formula>
    </cfRule>
  </conditionalFormatting>
  <conditionalFormatting sqref="AE5:AE14">
    <cfRule type="containsText" dxfId="570" priority="21" operator="containsText" text=" ">
      <formula>NOT(ISERROR(SEARCH(" ",AE5)))</formula>
    </cfRule>
  </conditionalFormatting>
  <conditionalFormatting sqref="AI9:AI14">
    <cfRule type="containsText" dxfId="569" priority="43" operator="containsText" text=" ">
      <formula>NOT(ISERROR(SEARCH(" ",AI9)))</formula>
    </cfRule>
  </conditionalFormatting>
  <conditionalFormatting sqref="AK13:AK15">
    <cfRule type="containsText" dxfId="568" priority="40" operator="containsText" text=" ">
      <formula>NOT(ISERROR(SEARCH(" ",AK13)))</formula>
    </cfRule>
  </conditionalFormatting>
  <conditionalFormatting sqref="AM14:AM15">
    <cfRule type="containsText" dxfId="567" priority="38" operator="containsText" text=" ">
      <formula>NOT(ISERROR(SEARCH(" ",AM14)))</formula>
    </cfRule>
  </conditionalFormatting>
  <conditionalFormatting sqref="AS5:AS15">
    <cfRule type="containsText" dxfId="566" priority="92" operator="containsText" text=" ">
      <formula>NOT(ISERROR(SEARCH(" ",AS5)))</formula>
    </cfRule>
  </conditionalFormatting>
  <conditionalFormatting sqref="AT7:AT14">
    <cfRule type="containsText" dxfId="565" priority="89" operator="containsText" text=" ">
      <formula>NOT(ISERROR(SEARCH(" ",AT7)))</formula>
    </cfRule>
  </conditionalFormatting>
  <conditionalFormatting sqref="BJ5:BJ14">
    <cfRule type="containsText" dxfId="564" priority="96" operator="containsText" text=" ">
      <formula>NOT(ISERROR(SEARCH(" ",BJ5)))</formula>
    </cfRule>
  </conditionalFormatting>
  <conditionalFormatting sqref="A16:Z25 AT5 Y27:Z36 H27:W36 H37:Z1048576 H26:N26 H9">
    <cfRule type="containsText" dxfId="563" priority="54" operator="containsText" text=" ">
      <formula>NOT(ISERROR(SEARCH(" ",A5)))</formula>
    </cfRule>
  </conditionalFormatting>
  <conditionalFormatting sqref="E5:F13 A5:B5 AF8 T5:U5 R5">
    <cfRule type="containsText" dxfId="562" priority="120" operator="containsText" text=" ">
      <formula>NOT(ISERROR(SEARCH(" ",A5)))</formula>
    </cfRule>
  </conditionalFormatting>
  <conditionalFormatting sqref="A6:B14 A26:G1048576 E14:F14 G6:G14 Y26:Z26 BS5:BS15 BK5:BL1048576 BI15:BJ15 BH5:BH15 R6:R15 Y5:Z15 AG8 P26:W26 AU5:BB5 AU6:AV14 AW6:BA15 BB6:BB14 T6:U14 H10:H14 H6:H8">
    <cfRule type="containsText" dxfId="561" priority="119" operator="containsText" text=" ">
      <formula>NOT(ISERROR(SEARCH(" ",A5)))</formula>
    </cfRule>
  </conditionalFormatting>
  <conditionalFormatting sqref="C5 CB25:CH32 CY5:XFD12 CQ5:CQ12 CI24:XFD32 BS24:CA32 BS33:XFD1048576 CB15:CH22 BX5:CI12 BX13:XFD13 CI14:XFD22 BX14:CA15 BS16:CA22 BS23:XFD23">
    <cfRule type="containsText" dxfId="560" priority="12" operator="containsText" text=" ">
      <formula>NOT(ISERROR(SEARCH(" ",C5)))</formula>
    </cfRule>
  </conditionalFormatting>
  <conditionalFormatting sqref="D5 AI5:AO5 AP6 AQ5:AR5">
    <cfRule type="containsText" dxfId="559" priority="88" operator="containsText" text=" ">
      <formula>NOT(ISERROR(SEARCH(" ",D5)))</formula>
    </cfRule>
  </conditionalFormatting>
  <conditionalFormatting sqref="P5:Q5 BI24:BJ24 AE24:BG24 AE25:BJ1048576 AE16:BJ23">
    <cfRule type="containsText" dxfId="558" priority="16" operator="containsText" text=" ">
      <formula>NOT(ISERROR(SEARCH(" ",P5)))</formula>
    </cfRule>
  </conditionalFormatting>
  <conditionalFormatting sqref="V5:W15">
    <cfRule type="containsText" dxfId="557" priority="19" operator="containsText" text=" ">
      <formula>NOT(ISERROR(SEARCH(" ",V5)))</formula>
    </cfRule>
  </conditionalFormatting>
  <conditionalFormatting sqref="AF5:AF7 BI5:BI14 AI6:AO6 AR5:AR14 AQ6:AQ14 AP8:AP14 AN13:AO13 AL12:AO12 AI7:AP7 AJ8:AO11 AF9:AF14">
    <cfRule type="containsText" dxfId="556" priority="125" operator="containsText" text=" ">
      <formula>NOT(ISERROR(SEARCH(" ",AF5)))</formula>
    </cfRule>
  </conditionalFormatting>
  <conditionalFormatting sqref="AG5:AG7 AG9:AG14">
    <cfRule type="containsText" dxfId="555" priority="123" operator="containsText" text=" ">
      <formula>NOT(ISERROR(SEARCH(" ",AG5)))</formula>
    </cfRule>
  </conditionalFormatting>
  <conditionalFormatting sqref="BC5:BG15">
    <cfRule type="containsText" dxfId="554" priority="5" operator="containsText" text=" ">
      <formula>NOT(ISERROR(SEARCH(" ",BC5)))</formula>
    </cfRule>
  </conditionalFormatting>
  <conditionalFormatting sqref="P6:Q14">
    <cfRule type="containsText" dxfId="553" priority="15" operator="containsText" text=" ">
      <formula>NOT(ISERROR(SEARCH(" ",P6)))</formula>
    </cfRule>
  </conditionalFormatting>
  <conditionalFormatting sqref="E15:H15 A15:B15 AU15:AV15 T15:U15 BB15">
    <cfRule type="containsText" dxfId="552" priority="67" operator="containsText" text=" ">
      <formula>NOT(ISERROR(SEARCH(" ",A15)))</formula>
    </cfRule>
  </conditionalFormatting>
  <conditionalFormatting sqref="AF15 AQ15:AR15">
    <cfRule type="containsText" dxfId="551" priority="71" operator="containsText" text=" ">
      <formula>NOT(ISERROR(SEARCH(" ",AF15)))</formula>
    </cfRule>
  </conditionalFormatting>
  <conditionalFormatting sqref="AB16:AD1048576">
    <cfRule type="containsText" dxfId="550" priority="9" operator="containsText" text=" ">
      <formula>NOT(ISERROR(SEARCH(" ",AB16)))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8"/>
  <sheetViews>
    <sheetView workbookViewId="0">
      <selection activeCell="B7" sqref="B7"/>
    </sheetView>
  </sheetViews>
  <sheetFormatPr defaultColWidth="9" defaultRowHeight="15.6" x14ac:dyDescent="0.35"/>
  <cols>
    <col min="1" max="1" width="9" style="31"/>
    <col min="2" max="2" width="12.21875" style="31" customWidth="1"/>
    <col min="3" max="3" width="25.109375" style="31" customWidth="1"/>
    <col min="4" max="4" width="12.88671875" style="31" customWidth="1"/>
  </cols>
  <sheetData>
    <row r="1" spans="1:8" x14ac:dyDescent="0.35">
      <c r="A1" s="3" t="s">
        <v>1</v>
      </c>
      <c r="B1" s="3" t="s">
        <v>1</v>
      </c>
      <c r="C1" s="3" t="s">
        <v>1</v>
      </c>
    </row>
    <row r="2" spans="1:8" x14ac:dyDescent="0.35">
      <c r="A2" s="3" t="s">
        <v>11</v>
      </c>
      <c r="B2" s="3" t="s">
        <v>11</v>
      </c>
      <c r="C2" s="3" t="s">
        <v>11</v>
      </c>
    </row>
    <row r="3" spans="1:8" x14ac:dyDescent="0.35">
      <c r="A3" s="3" t="s">
        <v>139</v>
      </c>
      <c r="B3" s="3" t="s">
        <v>238</v>
      </c>
      <c r="C3" s="3" t="s">
        <v>1484</v>
      </c>
    </row>
    <row r="4" spans="1:8" ht="39.6" x14ac:dyDescent="0.35">
      <c r="A4" s="32" t="s">
        <v>172</v>
      </c>
      <c r="B4" s="32" t="s">
        <v>1485</v>
      </c>
      <c r="C4" s="32" t="s">
        <v>1486</v>
      </c>
      <c r="G4">
        <v>1000</v>
      </c>
      <c r="H4">
        <v>10000</v>
      </c>
    </row>
    <row r="5" spans="1:8" x14ac:dyDescent="0.35">
      <c r="A5" s="2">
        <v>1005</v>
      </c>
      <c r="B5" s="31" t="str">
        <f>RIGHT('道具|Item'!X18,LEN('道具|Item'!X18)-4)</f>
        <v>1000000</v>
      </c>
      <c r="C5" s="31" t="str">
        <f>B5</f>
        <v>1000000</v>
      </c>
      <c r="D5" s="31">
        <f>B5*5</f>
        <v>5000000</v>
      </c>
      <c r="F5" s="33" t="str">
        <f>C5</f>
        <v>1000000</v>
      </c>
      <c r="G5">
        <f>150*1000</f>
        <v>150000</v>
      </c>
    </row>
    <row r="6" spans="1:8" x14ac:dyDescent="0.35">
      <c r="A6" s="2">
        <v>1006</v>
      </c>
      <c r="B6" s="31" t="str">
        <f>RIGHT('道具|Item'!X19,LEN('道具|Item'!X19)-4)</f>
        <v>2000000</v>
      </c>
      <c r="C6" s="24">
        <f>D5</f>
        <v>5000000</v>
      </c>
      <c r="D6" s="31">
        <f>B6*5</f>
        <v>10000000</v>
      </c>
      <c r="F6" s="33">
        <f>B5*5</f>
        <v>5000000</v>
      </c>
    </row>
    <row r="7" spans="1:8" x14ac:dyDescent="0.35">
      <c r="A7" s="2">
        <v>1007</v>
      </c>
      <c r="B7" s="31" t="str">
        <f>RIGHT('道具|Item'!X20,LEN('道具|Item'!X20)-4)</f>
        <v>5000000</v>
      </c>
      <c r="C7" s="24">
        <f>D6</f>
        <v>10000000</v>
      </c>
      <c r="D7" s="31">
        <f>B7*5</f>
        <v>25000000</v>
      </c>
      <c r="F7" s="33">
        <f>B6*5</f>
        <v>10000000</v>
      </c>
      <c r="H7">
        <f>150*10000</f>
        <v>1500000</v>
      </c>
    </row>
    <row r="8" spans="1:8" x14ac:dyDescent="0.35">
      <c r="A8" s="2">
        <v>1008</v>
      </c>
      <c r="B8" s="31" t="str">
        <f>RIGHT('道具|Item'!X21,LEN('道具|Item'!X21)-4)</f>
        <v>10000000</v>
      </c>
      <c r="C8" s="24">
        <f>D7</f>
        <v>25000000</v>
      </c>
      <c r="F8" s="33">
        <f>B7*5</f>
        <v>25000000</v>
      </c>
    </row>
  </sheetData>
  <phoneticPr fontId="55" type="noConversion"/>
  <conditionalFormatting sqref="A5:A8">
    <cfRule type="containsText" dxfId="549" priority="1" operator="containsText" text=" ">
      <formula>NOT(ISERROR(SEARCH(" ",A5)))</formula>
    </cfRule>
  </conditionalFormatting>
  <pageMargins left="0.69930555555555596" right="0.69930555555555596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72"/>
  <sheetViews>
    <sheetView workbookViewId="0">
      <pane xSplit="3" ySplit="4" topLeftCell="D23" activePane="bottomRight" state="frozen"/>
      <selection pane="topRight"/>
      <selection pane="bottomLeft"/>
      <selection pane="bottomRight" activeCell="A12" sqref="A12"/>
    </sheetView>
  </sheetViews>
  <sheetFormatPr defaultColWidth="9" defaultRowHeight="15.6" x14ac:dyDescent="0.25"/>
  <cols>
    <col min="1" max="1" width="9.88671875" style="2" customWidth="1"/>
    <col min="2" max="2" width="25.21875" style="2" customWidth="1"/>
    <col min="3" max="3" width="20.77734375" style="2" customWidth="1"/>
    <col min="4" max="4" width="20" style="2" customWidth="1"/>
    <col min="5" max="7" width="14.77734375" style="2" customWidth="1"/>
    <col min="8" max="8" width="20.44140625" style="2" customWidth="1"/>
    <col min="9" max="9" width="26.44140625" style="2" customWidth="1"/>
    <col min="10" max="10" width="20.44140625" style="2" customWidth="1"/>
    <col min="11" max="12" width="17.44140625" style="2" customWidth="1"/>
    <col min="13" max="13" width="25.77734375" style="2" customWidth="1"/>
    <col min="14" max="14" width="20.44140625" style="2" customWidth="1"/>
    <col min="15" max="15" width="11.88671875" style="2" customWidth="1"/>
    <col min="16" max="16" width="13.44140625" style="2" customWidth="1"/>
    <col min="17" max="17" width="15.88671875" style="2" customWidth="1"/>
    <col min="18" max="18" width="10.44140625" style="2" customWidth="1"/>
    <col min="19" max="21" width="14.6640625" style="2" customWidth="1"/>
    <col min="22" max="22" width="9" style="2"/>
    <col min="23" max="23" width="14" style="2" customWidth="1"/>
    <col min="24" max="24" width="19.88671875" style="2" customWidth="1"/>
    <col min="25" max="25" width="14" style="2" customWidth="1"/>
    <col min="26" max="27" width="11.21875" style="2" customWidth="1"/>
    <col min="28" max="28" width="12" style="2" customWidth="1"/>
    <col min="29" max="16384" width="9" style="2"/>
  </cols>
  <sheetData>
    <row r="1" spans="1:29" x14ac:dyDescent="0.4">
      <c r="A1" s="3" t="s">
        <v>0</v>
      </c>
      <c r="B1" s="3" t="s">
        <v>1248</v>
      </c>
      <c r="C1" s="3" t="s">
        <v>0</v>
      </c>
      <c r="D1" s="17" t="s">
        <v>1</v>
      </c>
      <c r="E1" s="17" t="s">
        <v>1</v>
      </c>
      <c r="F1" s="17" t="s">
        <v>1</v>
      </c>
      <c r="G1" s="17" t="s">
        <v>1</v>
      </c>
      <c r="H1" s="3" t="s">
        <v>1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4" t="s">
        <v>0</v>
      </c>
      <c r="Q1" s="4" t="s">
        <v>1248</v>
      </c>
      <c r="R1" s="4" t="s">
        <v>0</v>
      </c>
      <c r="S1" s="4" t="s">
        <v>0</v>
      </c>
      <c r="T1" s="25" t="s">
        <v>0</v>
      </c>
      <c r="U1" s="25" t="s">
        <v>0</v>
      </c>
      <c r="V1" s="8" t="s">
        <v>0</v>
      </c>
      <c r="W1" s="8" t="s">
        <v>0</v>
      </c>
      <c r="X1" s="9" t="s">
        <v>0</v>
      </c>
      <c r="Y1" s="9" t="s">
        <v>0</v>
      </c>
      <c r="Z1" s="3" t="s">
        <v>0</v>
      </c>
      <c r="AA1" s="3" t="s">
        <v>0</v>
      </c>
      <c r="AB1" s="3" t="s">
        <v>0</v>
      </c>
    </row>
    <row r="2" spans="1:29" x14ac:dyDescent="0.4">
      <c r="A2" s="3" t="s">
        <v>11</v>
      </c>
      <c r="B2" s="3" t="s">
        <v>12</v>
      </c>
      <c r="C2" s="3" t="s">
        <v>14</v>
      </c>
      <c r="D2" s="17" t="s">
        <v>14</v>
      </c>
      <c r="E2" s="17" t="s">
        <v>11</v>
      </c>
      <c r="F2" s="17" t="s">
        <v>11</v>
      </c>
      <c r="G2" s="17" t="s">
        <v>11</v>
      </c>
      <c r="H2" s="3" t="s">
        <v>11</v>
      </c>
      <c r="I2" s="3" t="s">
        <v>14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14</v>
      </c>
      <c r="P2" s="4" t="s">
        <v>11</v>
      </c>
      <c r="Q2" s="4" t="s">
        <v>11</v>
      </c>
      <c r="R2" s="4" t="s">
        <v>11</v>
      </c>
      <c r="S2" s="4" t="s">
        <v>11</v>
      </c>
      <c r="T2" s="25" t="s">
        <v>11</v>
      </c>
      <c r="U2" s="25" t="s">
        <v>11</v>
      </c>
      <c r="V2" s="8" t="s">
        <v>11</v>
      </c>
      <c r="W2" s="8" t="s">
        <v>11</v>
      </c>
      <c r="X2" s="9" t="s">
        <v>14</v>
      </c>
      <c r="Y2" s="9" t="s">
        <v>11</v>
      </c>
      <c r="Z2" s="3" t="s">
        <v>11</v>
      </c>
      <c r="AA2" s="3" t="s">
        <v>11</v>
      </c>
      <c r="AB2" s="3" t="s">
        <v>11</v>
      </c>
      <c r="AC2" s="2" t="s">
        <v>1487</v>
      </c>
    </row>
    <row r="3" spans="1:29" x14ac:dyDescent="0.4">
      <c r="A3" s="3" t="s">
        <v>1488</v>
      </c>
      <c r="B3" s="3" t="s">
        <v>1489</v>
      </c>
      <c r="C3" s="3" t="s">
        <v>1490</v>
      </c>
      <c r="D3" s="17" t="s">
        <v>1491</v>
      </c>
      <c r="E3" s="17" t="s">
        <v>1492</v>
      </c>
      <c r="F3" s="17" t="s">
        <v>1493</v>
      </c>
      <c r="G3" s="17" t="s">
        <v>1494</v>
      </c>
      <c r="H3" s="3" t="s">
        <v>1495</v>
      </c>
      <c r="I3" s="3" t="s">
        <v>1496</v>
      </c>
      <c r="J3" s="3" t="s">
        <v>1497</v>
      </c>
      <c r="K3" s="3" t="s">
        <v>1498</v>
      </c>
      <c r="L3" s="3" t="s">
        <v>1499</v>
      </c>
      <c r="M3" s="3" t="s">
        <v>1500</v>
      </c>
      <c r="N3" s="3" t="s">
        <v>1501</v>
      </c>
      <c r="O3" s="3" t="s">
        <v>1502</v>
      </c>
      <c r="P3" s="4" t="s">
        <v>1503</v>
      </c>
      <c r="Q3" s="4" t="s">
        <v>1504</v>
      </c>
      <c r="R3" s="4" t="s">
        <v>1505</v>
      </c>
      <c r="S3" s="4" t="s">
        <v>1506</v>
      </c>
      <c r="T3" s="25" t="s">
        <v>1507</v>
      </c>
      <c r="U3" s="25" t="s">
        <v>1508</v>
      </c>
      <c r="V3" s="8" t="s">
        <v>1509</v>
      </c>
      <c r="W3" s="8" t="s">
        <v>1510</v>
      </c>
      <c r="X3" s="9" t="s">
        <v>1511</v>
      </c>
      <c r="Y3" s="9" t="s">
        <v>1512</v>
      </c>
      <c r="Z3" s="3" t="s">
        <v>1513</v>
      </c>
      <c r="AA3" s="3" t="s">
        <v>1514</v>
      </c>
      <c r="AB3" s="3" t="s">
        <v>1515</v>
      </c>
    </row>
    <row r="4" spans="1:29" s="1" customFormat="1" ht="158.4" x14ac:dyDescent="0.25">
      <c r="A4" s="5" t="s">
        <v>1516</v>
      </c>
      <c r="B4" s="6" t="s">
        <v>1517</v>
      </c>
      <c r="C4" s="5" t="s">
        <v>1518</v>
      </c>
      <c r="D4" s="18" t="s">
        <v>1519</v>
      </c>
      <c r="E4" s="18" t="s">
        <v>1520</v>
      </c>
      <c r="F4" s="18" t="s">
        <v>138</v>
      </c>
      <c r="G4" s="18" t="s">
        <v>1521</v>
      </c>
      <c r="H4" s="5" t="s">
        <v>1522</v>
      </c>
      <c r="I4" s="5" t="s">
        <v>1523</v>
      </c>
      <c r="J4" s="5" t="s">
        <v>1524</v>
      </c>
      <c r="K4" s="5" t="s">
        <v>1525</v>
      </c>
      <c r="L4" s="5" t="s">
        <v>1526</v>
      </c>
      <c r="M4" s="5" t="s">
        <v>1527</v>
      </c>
      <c r="N4" s="5" t="s">
        <v>1528</v>
      </c>
      <c r="O4" s="6" t="s">
        <v>1529</v>
      </c>
      <c r="P4" s="7" t="s">
        <v>1530</v>
      </c>
      <c r="Q4" s="7" t="s">
        <v>1531</v>
      </c>
      <c r="R4" s="7" t="s">
        <v>1532</v>
      </c>
      <c r="S4" s="7" t="s">
        <v>1533</v>
      </c>
      <c r="T4" s="26" t="s">
        <v>1534</v>
      </c>
      <c r="U4" s="26" t="s">
        <v>1535</v>
      </c>
      <c r="V4" s="10" t="s">
        <v>1536</v>
      </c>
      <c r="W4" s="10" t="s">
        <v>1537</v>
      </c>
      <c r="X4" s="11" t="s">
        <v>1538</v>
      </c>
      <c r="Y4" s="11" t="s">
        <v>1539</v>
      </c>
      <c r="Z4" s="5" t="s">
        <v>1540</v>
      </c>
      <c r="AA4" s="29" t="s">
        <v>1541</v>
      </c>
      <c r="AB4" s="5" t="s">
        <v>1542</v>
      </c>
      <c r="AC4" s="12" t="s">
        <v>1543</v>
      </c>
    </row>
    <row r="5" spans="1:29" x14ac:dyDescent="0.25">
      <c r="A5" s="2">
        <v>1</v>
      </c>
      <c r="B5" s="2" t="s">
        <v>1544</v>
      </c>
      <c r="C5" s="2" t="s">
        <v>1545</v>
      </c>
      <c r="D5" s="2" t="s">
        <v>231</v>
      </c>
      <c r="E5" s="2">
        <v>10000</v>
      </c>
      <c r="F5" s="2">
        <v>0</v>
      </c>
      <c r="G5" s="2">
        <v>1</v>
      </c>
      <c r="I5" s="2" t="s">
        <v>1546</v>
      </c>
      <c r="J5" s="2">
        <v>0</v>
      </c>
      <c r="M5" s="2">
        <v>0</v>
      </c>
      <c r="O5" s="2">
        <v>-1</v>
      </c>
      <c r="P5" s="2">
        <v>-1</v>
      </c>
      <c r="Q5" s="2">
        <v>0</v>
      </c>
      <c r="R5" s="2">
        <v>0</v>
      </c>
      <c r="S5" s="2">
        <v>-1</v>
      </c>
      <c r="T5" s="2">
        <v>-1</v>
      </c>
      <c r="U5" s="2">
        <v>-1</v>
      </c>
      <c r="V5" s="2">
        <v>0</v>
      </c>
      <c r="W5" s="2">
        <v>-1</v>
      </c>
      <c r="Y5" s="2">
        <v>-1</v>
      </c>
      <c r="Z5" s="2">
        <v>0</v>
      </c>
      <c r="AA5" s="2">
        <v>1</v>
      </c>
      <c r="AB5" s="2">
        <v>-1</v>
      </c>
    </row>
    <row r="6" spans="1:29" x14ac:dyDescent="0.25">
      <c r="A6" s="2">
        <v>2</v>
      </c>
      <c r="B6" s="2" t="s">
        <v>1547</v>
      </c>
      <c r="C6" s="2" t="s">
        <v>1548</v>
      </c>
      <c r="D6" s="2" t="s">
        <v>273</v>
      </c>
      <c r="E6" s="2">
        <v>1</v>
      </c>
      <c r="F6" s="2">
        <v>1</v>
      </c>
      <c r="G6" s="2">
        <v>0</v>
      </c>
      <c r="I6" s="2" t="s">
        <v>1549</v>
      </c>
      <c r="J6" s="2">
        <v>0</v>
      </c>
      <c r="M6" s="2">
        <v>0</v>
      </c>
      <c r="O6" s="2">
        <v>-1</v>
      </c>
      <c r="P6" s="2">
        <v>-1</v>
      </c>
      <c r="Q6" s="2">
        <v>0</v>
      </c>
      <c r="R6" s="2">
        <v>0</v>
      </c>
      <c r="S6" s="2">
        <v>-1</v>
      </c>
      <c r="T6" s="2">
        <v>-1</v>
      </c>
      <c r="U6" s="2">
        <v>-1</v>
      </c>
      <c r="V6" s="2">
        <v>0</v>
      </c>
      <c r="W6" s="2">
        <v>-1</v>
      </c>
      <c r="Y6" s="2">
        <v>-1</v>
      </c>
      <c r="Z6" s="2">
        <v>0</v>
      </c>
      <c r="AA6" s="2">
        <v>1</v>
      </c>
      <c r="AB6" s="2">
        <v>-1</v>
      </c>
    </row>
    <row r="7" spans="1:29" x14ac:dyDescent="0.25">
      <c r="A7" s="2">
        <v>3</v>
      </c>
      <c r="B7" s="2" t="s">
        <v>1550</v>
      </c>
      <c r="C7" s="2" t="s">
        <v>1551</v>
      </c>
      <c r="D7" s="2" t="s">
        <v>1552</v>
      </c>
      <c r="E7" s="2">
        <v>0</v>
      </c>
      <c r="F7" s="2">
        <v>0</v>
      </c>
      <c r="G7" s="2">
        <v>0</v>
      </c>
      <c r="J7" s="2">
        <v>0</v>
      </c>
      <c r="M7" s="2">
        <v>0</v>
      </c>
      <c r="O7" s="2">
        <v>-1</v>
      </c>
      <c r="P7" s="2">
        <v>-1</v>
      </c>
      <c r="Q7" s="2">
        <v>0</v>
      </c>
      <c r="R7" s="2">
        <v>0</v>
      </c>
      <c r="S7" s="2">
        <v>-1</v>
      </c>
      <c r="T7" s="2">
        <v>-1</v>
      </c>
      <c r="U7" s="2">
        <v>-1</v>
      </c>
      <c r="V7" s="2">
        <v>0</v>
      </c>
      <c r="W7" s="2">
        <v>-1</v>
      </c>
      <c r="Y7" s="2">
        <v>-1</v>
      </c>
      <c r="Z7" s="2">
        <v>0</v>
      </c>
      <c r="AA7" s="2">
        <v>1</v>
      </c>
      <c r="AB7" s="2">
        <v>-1</v>
      </c>
    </row>
    <row r="8" spans="1:29" x14ac:dyDescent="0.25">
      <c r="A8" s="2">
        <v>4</v>
      </c>
      <c r="B8" s="2" t="s">
        <v>1553</v>
      </c>
      <c r="C8" s="2" t="s">
        <v>1554</v>
      </c>
      <c r="D8" s="2" t="s">
        <v>1555</v>
      </c>
      <c r="E8" s="2">
        <v>0</v>
      </c>
      <c r="F8" s="2">
        <v>0</v>
      </c>
      <c r="G8" s="2">
        <v>0</v>
      </c>
      <c r="I8" s="2" t="s">
        <v>1556</v>
      </c>
      <c r="J8" s="2">
        <v>0</v>
      </c>
      <c r="M8" s="2">
        <v>0</v>
      </c>
      <c r="O8" s="2">
        <v>-1</v>
      </c>
      <c r="P8" s="2">
        <v>-1</v>
      </c>
      <c r="Q8" s="2">
        <v>0</v>
      </c>
      <c r="R8" s="2">
        <v>0</v>
      </c>
      <c r="S8" s="2">
        <v>-1</v>
      </c>
      <c r="T8" s="2">
        <v>-1</v>
      </c>
      <c r="U8" s="2">
        <v>-1</v>
      </c>
      <c r="V8" s="2">
        <v>0</v>
      </c>
      <c r="W8" s="2">
        <v>-1</v>
      </c>
      <c r="Y8" s="2">
        <v>-1</v>
      </c>
      <c r="Z8" s="2">
        <v>0</v>
      </c>
      <c r="AA8" s="2">
        <v>1</v>
      </c>
      <c r="AB8" s="2">
        <v>-1</v>
      </c>
    </row>
    <row r="9" spans="1:29" x14ac:dyDescent="0.25">
      <c r="A9" s="2">
        <v>5</v>
      </c>
      <c r="B9" s="2" t="s">
        <v>1557</v>
      </c>
      <c r="C9" s="2" t="s">
        <v>1551</v>
      </c>
      <c r="D9" s="2" t="s">
        <v>1558</v>
      </c>
      <c r="E9" s="2">
        <v>0</v>
      </c>
      <c r="F9" s="2">
        <v>0</v>
      </c>
      <c r="G9" s="2">
        <v>0</v>
      </c>
      <c r="J9" s="2">
        <v>0</v>
      </c>
      <c r="M9" s="2">
        <v>0</v>
      </c>
      <c r="O9" s="2">
        <v>-1</v>
      </c>
      <c r="P9" s="2">
        <v>-1</v>
      </c>
      <c r="Q9" s="2">
        <v>0</v>
      </c>
      <c r="R9" s="2">
        <v>0</v>
      </c>
      <c r="S9" s="2">
        <v>-1</v>
      </c>
      <c r="T9" s="2">
        <v>-1</v>
      </c>
      <c r="U9" s="2">
        <v>-1</v>
      </c>
      <c r="V9" s="2">
        <v>0</v>
      </c>
      <c r="W9" s="2">
        <v>-1</v>
      </c>
      <c r="Y9" s="2">
        <v>-1</v>
      </c>
      <c r="Z9" s="2">
        <v>0</v>
      </c>
      <c r="AA9" s="2">
        <v>1</v>
      </c>
      <c r="AB9" s="2">
        <v>-1</v>
      </c>
    </row>
    <row r="10" spans="1:29" x14ac:dyDescent="0.25">
      <c r="A10" s="2">
        <v>6</v>
      </c>
      <c r="B10" s="2" t="s">
        <v>1559</v>
      </c>
      <c r="C10" s="2" t="s">
        <v>1560</v>
      </c>
      <c r="D10" s="2" t="s">
        <v>1561</v>
      </c>
      <c r="E10" s="2">
        <v>0</v>
      </c>
      <c r="F10" s="2">
        <v>0</v>
      </c>
      <c r="G10" s="2">
        <v>0</v>
      </c>
      <c r="I10" s="2" t="s">
        <v>1562</v>
      </c>
      <c r="J10" s="2">
        <v>0</v>
      </c>
      <c r="M10" s="2">
        <v>0</v>
      </c>
      <c r="O10" s="2">
        <v>-1</v>
      </c>
      <c r="P10" s="2">
        <v>-1</v>
      </c>
      <c r="Q10" s="2">
        <v>0</v>
      </c>
      <c r="R10" s="2">
        <v>0</v>
      </c>
      <c r="S10" s="2">
        <v>-1</v>
      </c>
      <c r="T10" s="2">
        <v>-1</v>
      </c>
      <c r="U10" s="2">
        <v>-1</v>
      </c>
      <c r="V10" s="2">
        <v>0</v>
      </c>
      <c r="W10" s="2">
        <v>-1</v>
      </c>
      <c r="Y10" s="2">
        <v>-1</v>
      </c>
      <c r="Z10" s="2">
        <v>0</v>
      </c>
      <c r="AA10" s="2">
        <v>1</v>
      </c>
      <c r="AB10" s="2">
        <v>-1</v>
      </c>
    </row>
    <row r="11" spans="1:29" x14ac:dyDescent="0.25">
      <c r="A11" s="2">
        <v>7</v>
      </c>
      <c r="B11" s="2" t="s">
        <v>1563</v>
      </c>
      <c r="C11" s="2" t="s">
        <v>1564</v>
      </c>
      <c r="D11" s="2" t="s">
        <v>1565</v>
      </c>
      <c r="E11" s="2">
        <v>1</v>
      </c>
      <c r="F11" s="2">
        <v>1</v>
      </c>
      <c r="G11" s="2">
        <v>0</v>
      </c>
      <c r="I11" s="2" t="s">
        <v>1566</v>
      </c>
      <c r="J11" s="2">
        <v>0</v>
      </c>
      <c r="M11" s="2">
        <v>0</v>
      </c>
      <c r="O11" s="2">
        <v>-1</v>
      </c>
      <c r="P11" s="2">
        <v>-1</v>
      </c>
      <c r="Q11" s="2">
        <v>0</v>
      </c>
      <c r="R11" s="2">
        <v>0</v>
      </c>
      <c r="S11" s="2">
        <v>-1</v>
      </c>
      <c r="T11" s="2">
        <v>-1</v>
      </c>
      <c r="U11" s="2">
        <v>-1</v>
      </c>
      <c r="V11" s="2">
        <v>0</v>
      </c>
      <c r="W11" s="2">
        <v>-1</v>
      </c>
      <c r="Y11" s="2">
        <v>-1</v>
      </c>
      <c r="Z11" s="2">
        <v>0</v>
      </c>
      <c r="AA11" s="2">
        <v>1</v>
      </c>
      <c r="AB11" s="2">
        <v>-1</v>
      </c>
    </row>
    <row r="12" spans="1:29" x14ac:dyDescent="0.25">
      <c r="A12" s="2">
        <v>8</v>
      </c>
      <c r="B12" t="s">
        <v>1567</v>
      </c>
      <c r="C12" s="2" t="s">
        <v>1568</v>
      </c>
      <c r="D12" s="2" t="s">
        <v>1569</v>
      </c>
      <c r="E12" s="2">
        <v>0</v>
      </c>
      <c r="F12" s="2">
        <v>0</v>
      </c>
      <c r="G12" s="2">
        <v>0</v>
      </c>
      <c r="I12" s="2" t="s">
        <v>1570</v>
      </c>
      <c r="J12" s="2">
        <v>0</v>
      </c>
      <c r="M12" s="2">
        <v>0</v>
      </c>
      <c r="O12" s="2">
        <v>-1</v>
      </c>
      <c r="P12" s="2">
        <v>-1</v>
      </c>
      <c r="Q12" s="2">
        <v>0</v>
      </c>
      <c r="R12" s="2">
        <v>0</v>
      </c>
      <c r="S12" s="2">
        <v>-1</v>
      </c>
      <c r="T12" s="2">
        <v>-1</v>
      </c>
      <c r="U12" s="2">
        <v>-1</v>
      </c>
      <c r="V12" s="2">
        <v>0</v>
      </c>
      <c r="W12" s="2">
        <v>-1</v>
      </c>
      <c r="Y12" s="2">
        <v>-1</v>
      </c>
      <c r="Z12" s="2">
        <v>0</v>
      </c>
      <c r="AA12" s="2">
        <v>0</v>
      </c>
      <c r="AB12" s="2">
        <v>-1</v>
      </c>
    </row>
    <row r="13" spans="1:29" x14ac:dyDescent="0.35">
      <c r="A13" s="2">
        <v>1001</v>
      </c>
      <c r="B13" s="2" t="s">
        <v>1571</v>
      </c>
      <c r="C13" s="19" t="s">
        <v>1572</v>
      </c>
      <c r="D13" s="2" t="s">
        <v>1573</v>
      </c>
      <c r="E13" s="2">
        <v>20000</v>
      </c>
      <c r="F13" s="2">
        <v>0</v>
      </c>
      <c r="G13" s="2">
        <f>V13</f>
        <v>2</v>
      </c>
      <c r="I13" s="19" t="s">
        <v>1574</v>
      </c>
      <c r="J13" s="2">
        <v>1</v>
      </c>
      <c r="M13" s="2">
        <v>0</v>
      </c>
      <c r="O13" s="2" t="s">
        <v>1575</v>
      </c>
      <c r="P13" s="2">
        <v>30</v>
      </c>
      <c r="Q13" s="2">
        <v>10</v>
      </c>
      <c r="R13" s="2">
        <v>2</v>
      </c>
      <c r="S13" s="2">
        <v>30</v>
      </c>
      <c r="T13" s="2">
        <v>3000</v>
      </c>
      <c r="U13" s="2">
        <v>1000</v>
      </c>
      <c r="V13" s="2">
        <v>2</v>
      </c>
      <c r="W13" s="2">
        <v>100</v>
      </c>
      <c r="Y13" s="2">
        <v>-1</v>
      </c>
      <c r="Z13" s="2">
        <v>1</v>
      </c>
      <c r="AA13" s="2">
        <v>1</v>
      </c>
      <c r="AB13" s="2">
        <v>999</v>
      </c>
    </row>
    <row r="14" spans="1:29" x14ac:dyDescent="0.35">
      <c r="A14" s="2">
        <v>1002</v>
      </c>
      <c r="B14" s="2" t="s">
        <v>1576</v>
      </c>
      <c r="C14" s="19" t="s">
        <v>1577</v>
      </c>
      <c r="D14" s="2" t="s">
        <v>1578</v>
      </c>
      <c r="E14" s="2">
        <v>50000</v>
      </c>
      <c r="F14" s="2">
        <v>0</v>
      </c>
      <c r="G14" s="2">
        <f>V14</f>
        <v>5</v>
      </c>
      <c r="I14" s="19" t="s">
        <v>1579</v>
      </c>
      <c r="J14" s="2">
        <v>2</v>
      </c>
      <c r="M14" s="2">
        <v>0</v>
      </c>
      <c r="O14" s="2" t="s">
        <v>1575</v>
      </c>
      <c r="P14" s="2">
        <v>30</v>
      </c>
      <c r="Q14" s="2">
        <v>10</v>
      </c>
      <c r="R14" s="2">
        <v>2</v>
      </c>
      <c r="S14" s="2">
        <v>30</v>
      </c>
      <c r="T14" s="2">
        <v>3000</v>
      </c>
      <c r="U14" s="2">
        <v>1000</v>
      </c>
      <c r="V14" s="2">
        <v>5</v>
      </c>
      <c r="W14" s="2">
        <v>50</v>
      </c>
      <c r="Y14" s="2">
        <v>-1</v>
      </c>
      <c r="Z14" s="2">
        <v>1</v>
      </c>
      <c r="AA14" s="2">
        <v>1</v>
      </c>
      <c r="AB14" s="2">
        <v>999</v>
      </c>
    </row>
    <row r="15" spans="1:29" x14ac:dyDescent="0.35">
      <c r="A15" s="2">
        <v>1003</v>
      </c>
      <c r="B15" s="2" t="s">
        <v>1580</v>
      </c>
      <c r="C15" s="19" t="s">
        <v>1581</v>
      </c>
      <c r="D15" s="2" t="s">
        <v>1582</v>
      </c>
      <c r="E15" s="2">
        <v>200000</v>
      </c>
      <c r="F15" s="2">
        <v>0</v>
      </c>
      <c r="G15" s="2">
        <f>V15</f>
        <v>20</v>
      </c>
      <c r="I15" s="19" t="s">
        <v>1583</v>
      </c>
      <c r="J15" s="2">
        <v>3</v>
      </c>
      <c r="M15" s="2">
        <v>0</v>
      </c>
      <c r="O15" s="2">
        <v>2</v>
      </c>
      <c r="P15" s="2">
        <v>-1</v>
      </c>
      <c r="Q15" s="2">
        <v>0</v>
      </c>
      <c r="R15" s="2">
        <v>0</v>
      </c>
      <c r="S15" s="2">
        <v>-1</v>
      </c>
      <c r="T15" s="2">
        <v>-1</v>
      </c>
      <c r="U15" s="2">
        <v>-1</v>
      </c>
      <c r="V15" s="2">
        <v>20</v>
      </c>
      <c r="W15" s="2">
        <v>10</v>
      </c>
      <c r="Y15" s="2">
        <v>-1</v>
      </c>
      <c r="Z15" s="2">
        <v>1</v>
      </c>
      <c r="AA15" s="2">
        <v>1</v>
      </c>
      <c r="AB15" s="2">
        <v>999</v>
      </c>
    </row>
    <row r="16" spans="1:29" x14ac:dyDescent="0.35">
      <c r="A16" s="2">
        <v>1004</v>
      </c>
      <c r="B16" s="2" t="s">
        <v>1584</v>
      </c>
      <c r="C16" s="19" t="s">
        <v>1585</v>
      </c>
      <c r="D16" s="2" t="s">
        <v>1586</v>
      </c>
      <c r="E16" s="2">
        <v>20000</v>
      </c>
      <c r="F16" s="2">
        <v>0</v>
      </c>
      <c r="G16" s="2">
        <f>V16</f>
        <v>2</v>
      </c>
      <c r="I16" s="19" t="s">
        <v>1587</v>
      </c>
      <c r="J16" s="2">
        <v>4</v>
      </c>
      <c r="M16" s="2">
        <v>0</v>
      </c>
      <c r="O16" s="2" t="s">
        <v>1575</v>
      </c>
      <c r="P16" s="2">
        <v>30</v>
      </c>
      <c r="Q16" s="2">
        <v>10</v>
      </c>
      <c r="R16" s="2">
        <v>2</v>
      </c>
      <c r="S16" s="2">
        <v>30</v>
      </c>
      <c r="T16" s="2">
        <v>3000</v>
      </c>
      <c r="U16" s="2">
        <v>1000</v>
      </c>
      <c r="V16" s="2">
        <v>2</v>
      </c>
      <c r="W16" s="2">
        <v>100</v>
      </c>
      <c r="Y16" s="2">
        <v>-1</v>
      </c>
      <c r="Z16" s="2">
        <v>1</v>
      </c>
      <c r="AA16" s="2">
        <v>1</v>
      </c>
      <c r="AB16" s="2">
        <v>999</v>
      </c>
    </row>
    <row r="17" spans="1:28" x14ac:dyDescent="0.35">
      <c r="A17" s="2">
        <v>1009</v>
      </c>
      <c r="B17" s="2" t="s">
        <v>1588</v>
      </c>
      <c r="C17" s="19" t="s">
        <v>1589</v>
      </c>
      <c r="D17" s="2" t="s">
        <v>1590</v>
      </c>
      <c r="E17" s="2">
        <v>20000</v>
      </c>
      <c r="F17" s="2">
        <v>0</v>
      </c>
      <c r="G17" s="2">
        <f>V17</f>
        <v>20</v>
      </c>
      <c r="I17" t="s">
        <v>1591</v>
      </c>
      <c r="J17" s="2">
        <v>4</v>
      </c>
      <c r="M17" s="2">
        <v>1</v>
      </c>
      <c r="O17" s="2">
        <v>2</v>
      </c>
      <c r="P17" s="2">
        <v>-1</v>
      </c>
      <c r="Q17" s="2">
        <v>0</v>
      </c>
      <c r="R17" s="2">
        <v>0</v>
      </c>
      <c r="S17" s="2">
        <v>0</v>
      </c>
      <c r="T17" s="2">
        <v>-1</v>
      </c>
      <c r="U17" s="2">
        <v>-1</v>
      </c>
      <c r="V17" s="2">
        <v>20</v>
      </c>
      <c r="W17" s="2">
        <v>10</v>
      </c>
      <c r="Y17" s="2">
        <v>-1</v>
      </c>
      <c r="Z17" s="2">
        <v>1</v>
      </c>
      <c r="AA17" s="2">
        <v>1</v>
      </c>
      <c r="AB17" s="2">
        <v>999</v>
      </c>
    </row>
    <row r="18" spans="1:28" x14ac:dyDescent="0.35">
      <c r="A18" s="2">
        <v>1005</v>
      </c>
      <c r="B18" s="2" t="s">
        <v>1592</v>
      </c>
      <c r="C18" s="19" t="s">
        <v>1593</v>
      </c>
      <c r="D18" s="2" t="s">
        <v>1594</v>
      </c>
      <c r="E18" s="20">
        <v>1000000</v>
      </c>
      <c r="F18" s="2">
        <f>E18</f>
        <v>1000000</v>
      </c>
      <c r="G18" s="2">
        <v>0</v>
      </c>
      <c r="I18" s="19" t="s">
        <v>1595</v>
      </c>
      <c r="J18" s="2">
        <v>10</v>
      </c>
      <c r="M18" s="2">
        <v>150</v>
      </c>
      <c r="O18" s="2" t="s">
        <v>1596</v>
      </c>
      <c r="P18" s="2">
        <v>5</v>
      </c>
      <c r="Q18" s="2">
        <v>1</v>
      </c>
      <c r="R18" s="2">
        <v>2</v>
      </c>
      <c r="S18" s="2">
        <v>5</v>
      </c>
      <c r="T18" s="2">
        <v>100</v>
      </c>
      <c r="U18" s="2">
        <v>30</v>
      </c>
      <c r="V18" s="2">
        <v>0</v>
      </c>
      <c r="W18" s="2">
        <v>-1</v>
      </c>
      <c r="X18" s="20" t="s">
        <v>1419</v>
      </c>
      <c r="Y18" s="2">
        <v>1</v>
      </c>
      <c r="Z18" s="2">
        <v>1</v>
      </c>
      <c r="AA18" s="2">
        <v>1</v>
      </c>
      <c r="AB18" s="2">
        <v>999</v>
      </c>
    </row>
    <row r="19" spans="1:28" x14ac:dyDescent="0.35">
      <c r="A19" s="2">
        <v>1006</v>
      </c>
      <c r="B19" s="2" t="s">
        <v>1597</v>
      </c>
      <c r="C19" s="19" t="s">
        <v>1598</v>
      </c>
      <c r="D19" s="2" t="s">
        <v>1599</v>
      </c>
      <c r="E19" s="20">
        <v>2000000</v>
      </c>
      <c r="F19" s="2">
        <f t="shared" ref="F19:F44" si="0">E19</f>
        <v>2000000</v>
      </c>
      <c r="G19" s="2">
        <v>0</v>
      </c>
      <c r="I19" s="19" t="s">
        <v>1600</v>
      </c>
      <c r="J19" s="2">
        <v>10</v>
      </c>
      <c r="M19" s="2">
        <v>200</v>
      </c>
      <c r="O19" s="2" t="s">
        <v>1596</v>
      </c>
      <c r="P19" s="2">
        <v>5</v>
      </c>
      <c r="Q19" s="2">
        <v>1</v>
      </c>
      <c r="R19" s="2">
        <v>2</v>
      </c>
      <c r="S19" s="2">
        <v>5</v>
      </c>
      <c r="T19" s="2">
        <v>100</v>
      </c>
      <c r="U19" s="2">
        <v>30</v>
      </c>
      <c r="V19" s="2">
        <v>0</v>
      </c>
      <c r="W19" s="2">
        <v>-1</v>
      </c>
      <c r="X19" s="20" t="s">
        <v>1398</v>
      </c>
      <c r="Y19" s="2">
        <v>1</v>
      </c>
      <c r="Z19" s="2">
        <v>1</v>
      </c>
      <c r="AA19" s="2">
        <v>1</v>
      </c>
      <c r="AB19" s="2">
        <v>999</v>
      </c>
    </row>
    <row r="20" spans="1:28" x14ac:dyDescent="0.35">
      <c r="A20" s="2">
        <v>1007</v>
      </c>
      <c r="B20" s="2" t="s">
        <v>1601</v>
      </c>
      <c r="C20" s="19" t="s">
        <v>1602</v>
      </c>
      <c r="D20" s="2" t="s">
        <v>1603</v>
      </c>
      <c r="E20" s="20">
        <v>5000000</v>
      </c>
      <c r="F20" s="2">
        <f t="shared" si="0"/>
        <v>5000000</v>
      </c>
      <c r="G20" s="2">
        <v>0</v>
      </c>
      <c r="I20" s="19" t="s">
        <v>1604</v>
      </c>
      <c r="J20" s="2">
        <v>10</v>
      </c>
      <c r="M20" s="2">
        <v>250</v>
      </c>
      <c r="O20" s="2" t="s">
        <v>1596</v>
      </c>
      <c r="P20" s="2">
        <v>5</v>
      </c>
      <c r="Q20" s="2">
        <v>1</v>
      </c>
      <c r="R20" s="2">
        <v>2</v>
      </c>
      <c r="S20" s="2">
        <v>5</v>
      </c>
      <c r="T20" s="2">
        <v>100</v>
      </c>
      <c r="U20" s="2">
        <v>30</v>
      </c>
      <c r="V20" s="2">
        <v>0</v>
      </c>
      <c r="W20" s="2">
        <v>-1</v>
      </c>
      <c r="X20" s="20" t="s">
        <v>1407</v>
      </c>
      <c r="Y20" s="2">
        <v>1</v>
      </c>
      <c r="Z20" s="2">
        <v>1</v>
      </c>
      <c r="AA20" s="2">
        <v>1</v>
      </c>
      <c r="AB20" s="2">
        <v>999</v>
      </c>
    </row>
    <row r="21" spans="1:28" x14ac:dyDescent="0.35">
      <c r="A21" s="2">
        <v>1008</v>
      </c>
      <c r="B21" s="2" t="s">
        <v>1605</v>
      </c>
      <c r="C21" s="19" t="s">
        <v>1606</v>
      </c>
      <c r="D21" s="2" t="s">
        <v>1607</v>
      </c>
      <c r="E21" s="20">
        <v>10000000</v>
      </c>
      <c r="F21" s="2">
        <f t="shared" si="0"/>
        <v>10000000</v>
      </c>
      <c r="G21" s="2">
        <v>0</v>
      </c>
      <c r="I21" s="19" t="s">
        <v>1608</v>
      </c>
      <c r="J21" s="2">
        <v>10</v>
      </c>
      <c r="M21" s="2">
        <v>300</v>
      </c>
      <c r="O21" s="2" t="s">
        <v>1596</v>
      </c>
      <c r="P21" s="2">
        <v>5</v>
      </c>
      <c r="Q21" s="2">
        <v>1</v>
      </c>
      <c r="R21" s="2">
        <v>2</v>
      </c>
      <c r="S21" s="2">
        <v>5</v>
      </c>
      <c r="T21" s="2">
        <v>100</v>
      </c>
      <c r="U21" s="2">
        <v>30</v>
      </c>
      <c r="V21" s="2">
        <v>0</v>
      </c>
      <c r="W21" s="2">
        <v>-1</v>
      </c>
      <c r="X21" s="20" t="s">
        <v>1416</v>
      </c>
      <c r="Y21" s="2">
        <v>1</v>
      </c>
      <c r="Z21" s="2">
        <v>1</v>
      </c>
      <c r="AA21" s="2">
        <v>1</v>
      </c>
      <c r="AB21" s="2">
        <v>999</v>
      </c>
    </row>
    <row r="22" spans="1:28" x14ac:dyDescent="0.25">
      <c r="A22" s="2">
        <v>1101</v>
      </c>
      <c r="C22" s="2" t="s">
        <v>1609</v>
      </c>
      <c r="D22" s="2" t="s">
        <v>1610</v>
      </c>
      <c r="E22" s="2">
        <v>0</v>
      </c>
      <c r="F22" s="2">
        <f t="shared" si="0"/>
        <v>0</v>
      </c>
      <c r="G22" s="2">
        <v>0</v>
      </c>
      <c r="I22" s="2" t="s">
        <v>1611</v>
      </c>
      <c r="J22" s="2">
        <v>5</v>
      </c>
      <c r="M22" s="2">
        <v>0</v>
      </c>
      <c r="O22" s="2">
        <v>4</v>
      </c>
      <c r="P22" s="2">
        <v>-1</v>
      </c>
      <c r="Q22" s="2">
        <v>0</v>
      </c>
      <c r="R22" s="2">
        <v>0</v>
      </c>
      <c r="S22" s="2">
        <v>-1</v>
      </c>
      <c r="T22" s="2">
        <v>-1</v>
      </c>
      <c r="U22" s="2">
        <v>-1</v>
      </c>
      <c r="V22" s="2">
        <v>0</v>
      </c>
      <c r="W22" s="2">
        <v>-1</v>
      </c>
      <c r="Y22" s="2">
        <v>-1</v>
      </c>
      <c r="Z22" s="2">
        <v>0</v>
      </c>
      <c r="AA22" s="2">
        <v>1</v>
      </c>
      <c r="AB22" s="2">
        <v>1</v>
      </c>
    </row>
    <row r="23" spans="1:28" s="13" customFormat="1" x14ac:dyDescent="0.25">
      <c r="A23" s="13">
        <v>1201</v>
      </c>
      <c r="B23" s="13" t="s">
        <v>1612</v>
      </c>
      <c r="C23" s="13" t="s">
        <v>1613</v>
      </c>
      <c r="D23" s="13" t="s">
        <v>1614</v>
      </c>
      <c r="E23" s="13">
        <v>0</v>
      </c>
      <c r="F23" s="13">
        <f t="shared" si="0"/>
        <v>0</v>
      </c>
      <c r="G23" s="13">
        <v>0</v>
      </c>
      <c r="I23" s="13" t="s">
        <v>1615</v>
      </c>
      <c r="J23" s="13">
        <v>7</v>
      </c>
      <c r="M23" s="13">
        <v>6</v>
      </c>
      <c r="O23" s="13">
        <v>-1</v>
      </c>
      <c r="P23" s="13">
        <v>-1</v>
      </c>
      <c r="Q23" s="13">
        <v>0</v>
      </c>
      <c r="R23" s="13">
        <v>0</v>
      </c>
      <c r="S23" s="13">
        <v>-1</v>
      </c>
      <c r="T23" s="13">
        <v>-1</v>
      </c>
      <c r="U23" s="13">
        <v>-1</v>
      </c>
      <c r="V23" s="13">
        <v>0</v>
      </c>
      <c r="W23" s="13">
        <v>-1</v>
      </c>
      <c r="Y23" s="13">
        <v>-1</v>
      </c>
      <c r="Z23" s="13">
        <v>0</v>
      </c>
      <c r="AA23" s="13">
        <v>1</v>
      </c>
      <c r="AB23" s="13">
        <v>-1</v>
      </c>
    </row>
    <row r="24" spans="1:28" s="13" customFormat="1" x14ac:dyDescent="0.25">
      <c r="A24" s="13">
        <v>1214</v>
      </c>
      <c r="B24" s="13" t="s">
        <v>1612</v>
      </c>
      <c r="C24" s="13" t="s">
        <v>1613</v>
      </c>
      <c r="D24" s="13" t="s">
        <v>1614</v>
      </c>
      <c r="E24" s="13">
        <v>0</v>
      </c>
      <c r="F24" s="13">
        <f t="shared" ref="F24" si="1">E24</f>
        <v>0</v>
      </c>
      <c r="G24" s="13">
        <v>0</v>
      </c>
      <c r="I24" s="13" t="s">
        <v>1615</v>
      </c>
      <c r="J24" s="13">
        <v>7</v>
      </c>
      <c r="M24" s="13">
        <v>7</v>
      </c>
      <c r="O24" s="13">
        <v>-1</v>
      </c>
      <c r="P24" s="13">
        <v>-1</v>
      </c>
      <c r="Q24" s="13">
        <v>0</v>
      </c>
      <c r="R24" s="13">
        <v>0</v>
      </c>
      <c r="S24" s="13">
        <v>-1</v>
      </c>
      <c r="T24" s="13">
        <v>-1</v>
      </c>
      <c r="U24" s="13">
        <v>-1</v>
      </c>
      <c r="V24" s="13">
        <v>0</v>
      </c>
      <c r="W24" s="13">
        <v>-1</v>
      </c>
      <c r="Y24" s="13">
        <v>-1</v>
      </c>
      <c r="Z24" s="13">
        <v>0</v>
      </c>
      <c r="AA24" s="13">
        <v>1</v>
      </c>
      <c r="AB24" s="13">
        <v>-1</v>
      </c>
    </row>
    <row r="25" spans="1:28" s="13" customFormat="1" x14ac:dyDescent="0.25">
      <c r="A25" s="13">
        <v>1215</v>
      </c>
      <c r="B25" s="13" t="s">
        <v>1612</v>
      </c>
      <c r="C25" s="13" t="s">
        <v>1613</v>
      </c>
      <c r="D25" s="13" t="s">
        <v>1614</v>
      </c>
      <c r="E25" s="13">
        <v>0</v>
      </c>
      <c r="F25" s="13">
        <f t="shared" ref="F25" si="2">E25</f>
        <v>0</v>
      </c>
      <c r="G25" s="13">
        <v>0</v>
      </c>
      <c r="I25" s="13" t="s">
        <v>1615</v>
      </c>
      <c r="J25" s="13">
        <v>7</v>
      </c>
      <c r="M25" s="13">
        <v>8</v>
      </c>
      <c r="O25" s="13">
        <v>-1</v>
      </c>
      <c r="P25" s="13">
        <v>-1</v>
      </c>
      <c r="Q25" s="13">
        <v>0</v>
      </c>
      <c r="R25" s="13">
        <v>0</v>
      </c>
      <c r="S25" s="13">
        <v>-1</v>
      </c>
      <c r="T25" s="13">
        <v>-1</v>
      </c>
      <c r="U25" s="13">
        <v>-1</v>
      </c>
      <c r="V25" s="13">
        <v>0</v>
      </c>
      <c r="W25" s="13">
        <v>-1</v>
      </c>
      <c r="Y25" s="13">
        <v>-1</v>
      </c>
      <c r="Z25" s="13">
        <v>0</v>
      </c>
      <c r="AA25" s="13">
        <v>1</v>
      </c>
      <c r="AB25" s="13">
        <v>-1</v>
      </c>
    </row>
    <row r="26" spans="1:28" s="13" customFormat="1" x14ac:dyDescent="0.25">
      <c r="A26" s="13">
        <v>1202</v>
      </c>
      <c r="B26" s="13" t="s">
        <v>1616</v>
      </c>
      <c r="C26" s="13" t="s">
        <v>1617</v>
      </c>
      <c r="D26" s="13" t="s">
        <v>1618</v>
      </c>
      <c r="E26" s="13">
        <v>0</v>
      </c>
      <c r="F26" s="13">
        <f t="shared" si="0"/>
        <v>0</v>
      </c>
      <c r="G26" s="13">
        <v>0</v>
      </c>
      <c r="I26" s="13" t="s">
        <v>1619</v>
      </c>
      <c r="J26" s="13">
        <v>7</v>
      </c>
      <c r="M26" s="13">
        <v>5</v>
      </c>
      <c r="O26" s="13">
        <v>-1</v>
      </c>
      <c r="P26" s="13">
        <v>-1</v>
      </c>
      <c r="Q26" s="13">
        <v>0</v>
      </c>
      <c r="R26" s="13">
        <v>0</v>
      </c>
      <c r="S26" s="13">
        <v>-1</v>
      </c>
      <c r="T26" s="13">
        <v>-1</v>
      </c>
      <c r="U26" s="13">
        <v>-1</v>
      </c>
      <c r="V26" s="13">
        <v>0</v>
      </c>
      <c r="W26" s="13">
        <v>-1</v>
      </c>
      <c r="Y26" s="13">
        <v>-1</v>
      </c>
      <c r="Z26" s="13">
        <v>0</v>
      </c>
      <c r="AA26" s="13">
        <v>1</v>
      </c>
      <c r="AB26" s="13">
        <v>-1</v>
      </c>
    </row>
    <row r="27" spans="1:28" s="13" customFormat="1" x14ac:dyDescent="0.25">
      <c r="A27" s="13">
        <v>1203</v>
      </c>
      <c r="B27" s="13" t="s">
        <v>1616</v>
      </c>
      <c r="C27" s="13" t="s">
        <v>1620</v>
      </c>
      <c r="D27" s="13" t="s">
        <v>1621</v>
      </c>
      <c r="E27" s="13">
        <v>0</v>
      </c>
      <c r="F27" s="13">
        <f t="shared" si="0"/>
        <v>0</v>
      </c>
      <c r="G27" s="13">
        <v>0</v>
      </c>
      <c r="I27" s="13" t="s">
        <v>1622</v>
      </c>
      <c r="J27" s="13">
        <v>7</v>
      </c>
      <c r="M27" s="13">
        <v>4</v>
      </c>
      <c r="O27" s="13">
        <v>-1</v>
      </c>
      <c r="P27" s="13">
        <v>-1</v>
      </c>
      <c r="Q27" s="13">
        <v>0</v>
      </c>
      <c r="R27" s="13">
        <v>0</v>
      </c>
      <c r="S27" s="13">
        <v>-1</v>
      </c>
      <c r="T27" s="13">
        <v>-1</v>
      </c>
      <c r="U27" s="13">
        <v>-1</v>
      </c>
      <c r="V27" s="13">
        <v>0</v>
      </c>
      <c r="W27" s="13">
        <v>-1</v>
      </c>
      <c r="Y27" s="13">
        <v>-1</v>
      </c>
      <c r="Z27" s="13">
        <v>0</v>
      </c>
      <c r="AA27" s="13">
        <v>1</v>
      </c>
      <c r="AB27" s="13">
        <v>-1</v>
      </c>
    </row>
    <row r="28" spans="1:28" x14ac:dyDescent="0.25">
      <c r="A28" s="2">
        <v>1204</v>
      </c>
      <c r="B28" s="2" t="s">
        <v>1623</v>
      </c>
      <c r="C28" s="2" t="s">
        <v>1624</v>
      </c>
      <c r="D28" s="2" t="s">
        <v>1625</v>
      </c>
      <c r="E28" s="2">
        <v>5000</v>
      </c>
      <c r="F28" s="2">
        <f t="shared" si="0"/>
        <v>5000</v>
      </c>
      <c r="G28" s="2">
        <v>0</v>
      </c>
      <c r="I28" s="2" t="s">
        <v>1626</v>
      </c>
      <c r="J28" s="2">
        <v>0</v>
      </c>
      <c r="M28" s="2">
        <v>0</v>
      </c>
      <c r="O28" s="2">
        <v>6</v>
      </c>
      <c r="P28" s="2">
        <v>-1</v>
      </c>
      <c r="Q28" s="2">
        <v>0</v>
      </c>
      <c r="R28" s="2">
        <v>0</v>
      </c>
      <c r="S28" s="2">
        <v>-1</v>
      </c>
      <c r="T28" s="2">
        <v>-1</v>
      </c>
      <c r="U28" s="2">
        <v>-1</v>
      </c>
      <c r="V28" s="2">
        <v>0</v>
      </c>
      <c r="W28" s="2">
        <v>-1</v>
      </c>
      <c r="Y28" s="2">
        <v>-1</v>
      </c>
      <c r="Z28" s="2">
        <v>0</v>
      </c>
      <c r="AA28" s="2">
        <v>1</v>
      </c>
      <c r="AB28" s="2">
        <v>-1</v>
      </c>
    </row>
    <row r="29" spans="1:28" x14ac:dyDescent="0.25">
      <c r="A29" s="2">
        <v>1205</v>
      </c>
      <c r="B29" s="2" t="s">
        <v>1627</v>
      </c>
      <c r="C29" s="2" t="s">
        <v>1628</v>
      </c>
      <c r="D29" s="2" t="s">
        <v>1629</v>
      </c>
      <c r="E29" s="20">
        <v>800000</v>
      </c>
      <c r="F29" s="2">
        <f t="shared" si="0"/>
        <v>800000</v>
      </c>
      <c r="G29" s="2">
        <v>0</v>
      </c>
      <c r="I29" s="2" t="s">
        <v>1630</v>
      </c>
      <c r="J29" s="2">
        <v>8</v>
      </c>
      <c r="M29" s="2">
        <v>2</v>
      </c>
      <c r="O29" s="2" t="s">
        <v>1631</v>
      </c>
      <c r="P29" s="2">
        <v>-1</v>
      </c>
      <c r="Q29" s="2">
        <v>0</v>
      </c>
      <c r="R29" s="2">
        <v>0</v>
      </c>
      <c r="S29" s="2">
        <v>-1</v>
      </c>
      <c r="T29" s="2">
        <v>-1</v>
      </c>
      <c r="U29" s="2">
        <v>-1</v>
      </c>
      <c r="V29" s="2">
        <v>0</v>
      </c>
      <c r="W29" s="2">
        <v>-1</v>
      </c>
      <c r="X29" s="20" t="s">
        <v>1632</v>
      </c>
      <c r="Y29" s="2">
        <v>1</v>
      </c>
      <c r="Z29" s="2">
        <v>0</v>
      </c>
      <c r="AA29" s="2">
        <v>1</v>
      </c>
      <c r="AB29" s="2">
        <v>999</v>
      </c>
    </row>
    <row r="30" spans="1:28" x14ac:dyDescent="0.25">
      <c r="A30" s="2">
        <v>1206</v>
      </c>
      <c r="B30" s="2" t="s">
        <v>1633</v>
      </c>
      <c r="C30" s="2" t="s">
        <v>1634</v>
      </c>
      <c r="D30" s="2" t="s">
        <v>1635</v>
      </c>
      <c r="E30" s="20">
        <v>2000000</v>
      </c>
      <c r="F30" s="2">
        <f t="shared" si="0"/>
        <v>2000000</v>
      </c>
      <c r="G30" s="2">
        <v>0</v>
      </c>
      <c r="I30" s="2" t="s">
        <v>1630</v>
      </c>
      <c r="J30" s="2">
        <v>8</v>
      </c>
      <c r="M30" s="2">
        <v>5</v>
      </c>
      <c r="O30" s="2" t="s">
        <v>1631</v>
      </c>
      <c r="P30" s="2">
        <v>-1</v>
      </c>
      <c r="Q30" s="2">
        <v>0</v>
      </c>
      <c r="R30" s="2">
        <v>0</v>
      </c>
      <c r="S30" s="2">
        <v>-1</v>
      </c>
      <c r="T30" s="2">
        <v>-1</v>
      </c>
      <c r="U30" s="2">
        <v>-1</v>
      </c>
      <c r="V30" s="2">
        <v>0</v>
      </c>
      <c r="W30" s="2">
        <v>-1</v>
      </c>
      <c r="X30" s="20" t="s">
        <v>1398</v>
      </c>
      <c r="Y30" s="2">
        <v>1</v>
      </c>
      <c r="Z30" s="2">
        <v>0</v>
      </c>
      <c r="AA30" s="2">
        <v>1</v>
      </c>
      <c r="AB30" s="2">
        <v>999</v>
      </c>
    </row>
    <row r="31" spans="1:28" x14ac:dyDescent="0.25">
      <c r="A31" s="2">
        <v>1212</v>
      </c>
      <c r="B31" s="2" t="s">
        <v>1636</v>
      </c>
      <c r="C31" s="2" t="s">
        <v>1637</v>
      </c>
      <c r="D31" s="2" t="s">
        <v>1638</v>
      </c>
      <c r="E31" s="20">
        <v>4000000</v>
      </c>
      <c r="F31" s="2">
        <f t="shared" si="0"/>
        <v>4000000</v>
      </c>
      <c r="G31" s="2">
        <v>0</v>
      </c>
      <c r="I31" s="2" t="s">
        <v>1630</v>
      </c>
      <c r="J31" s="2">
        <v>8</v>
      </c>
      <c r="M31" s="2">
        <v>10</v>
      </c>
      <c r="O31" s="2" t="s">
        <v>1631</v>
      </c>
      <c r="P31" s="2">
        <v>-1</v>
      </c>
      <c r="Q31" s="2">
        <v>0</v>
      </c>
      <c r="R31" s="2">
        <v>0</v>
      </c>
      <c r="S31" s="2">
        <v>-1</v>
      </c>
      <c r="T31" s="2">
        <v>-1</v>
      </c>
      <c r="U31" s="2">
        <v>-1</v>
      </c>
      <c r="V31" s="2">
        <v>0</v>
      </c>
      <c r="W31" s="2">
        <v>-1</v>
      </c>
      <c r="X31" s="20" t="s">
        <v>1639</v>
      </c>
      <c r="Y31" s="2">
        <v>1</v>
      </c>
      <c r="Z31" s="2">
        <v>0</v>
      </c>
      <c r="AA31" s="2">
        <v>1</v>
      </c>
      <c r="AB31" s="2">
        <v>999</v>
      </c>
    </row>
    <row r="32" spans="1:28" x14ac:dyDescent="0.25">
      <c r="A32" s="2">
        <v>1209</v>
      </c>
      <c r="B32" s="2" t="s">
        <v>1640</v>
      </c>
      <c r="C32" s="2" t="s">
        <v>1641</v>
      </c>
      <c r="D32" s="2" t="s">
        <v>1642</v>
      </c>
      <c r="E32" s="20">
        <v>12000000</v>
      </c>
      <c r="F32" s="2">
        <f t="shared" si="0"/>
        <v>12000000</v>
      </c>
      <c r="G32" s="2">
        <v>0</v>
      </c>
      <c r="I32" s="2" t="s">
        <v>1630</v>
      </c>
      <c r="J32" s="2">
        <v>8</v>
      </c>
      <c r="M32" s="2">
        <v>30</v>
      </c>
      <c r="O32" s="2" t="s">
        <v>1631</v>
      </c>
      <c r="P32" s="2">
        <v>-1</v>
      </c>
      <c r="Q32" s="2">
        <v>0</v>
      </c>
      <c r="R32" s="2">
        <v>0</v>
      </c>
      <c r="S32" s="2">
        <v>-1</v>
      </c>
      <c r="T32" s="2">
        <v>-1</v>
      </c>
      <c r="U32" s="2">
        <v>-1</v>
      </c>
      <c r="V32" s="2">
        <v>0</v>
      </c>
      <c r="W32" s="2">
        <v>-1</v>
      </c>
      <c r="X32" s="20" t="s">
        <v>1643</v>
      </c>
      <c r="Y32" s="2">
        <v>1</v>
      </c>
      <c r="Z32" s="2">
        <v>0</v>
      </c>
      <c r="AA32" s="2">
        <v>1</v>
      </c>
      <c r="AB32" s="2">
        <v>999</v>
      </c>
    </row>
    <row r="33" spans="1:28" x14ac:dyDescent="0.25">
      <c r="A33" s="2">
        <v>1210</v>
      </c>
      <c r="B33" s="2" t="s">
        <v>1644</v>
      </c>
      <c r="C33" s="2" t="s">
        <v>1645</v>
      </c>
      <c r="D33" s="2" t="s">
        <v>1646</v>
      </c>
      <c r="E33" s="20">
        <v>20000000</v>
      </c>
      <c r="F33" s="2">
        <f t="shared" si="0"/>
        <v>20000000</v>
      </c>
      <c r="G33" s="2">
        <v>0</v>
      </c>
      <c r="I33" s="2" t="s">
        <v>1630</v>
      </c>
      <c r="J33" s="2">
        <v>8</v>
      </c>
      <c r="M33" s="2">
        <v>50</v>
      </c>
      <c r="O33" s="2" t="s">
        <v>1631</v>
      </c>
      <c r="P33" s="2">
        <v>-1</v>
      </c>
      <c r="Q33" s="2">
        <v>0</v>
      </c>
      <c r="R33" s="2">
        <v>0</v>
      </c>
      <c r="S33" s="2">
        <v>-1</v>
      </c>
      <c r="T33" s="2">
        <v>-1</v>
      </c>
      <c r="U33" s="2">
        <v>-1</v>
      </c>
      <c r="V33" s="2">
        <v>0</v>
      </c>
      <c r="W33" s="2">
        <v>-1</v>
      </c>
      <c r="X33" s="20" t="s">
        <v>1480</v>
      </c>
      <c r="Y33" s="2">
        <v>1</v>
      </c>
      <c r="Z33" s="2">
        <v>0</v>
      </c>
      <c r="AA33" s="2">
        <v>1</v>
      </c>
      <c r="AB33" s="2">
        <v>999</v>
      </c>
    </row>
    <row r="34" spans="1:28" s="14" customFormat="1" x14ac:dyDescent="0.25">
      <c r="A34" s="14">
        <v>1211</v>
      </c>
      <c r="B34" s="14" t="s">
        <v>1647</v>
      </c>
      <c r="C34" s="14" t="s">
        <v>1648</v>
      </c>
      <c r="D34" s="2" t="s">
        <v>1649</v>
      </c>
      <c r="E34" s="20">
        <v>400000</v>
      </c>
      <c r="F34" s="2">
        <f t="shared" si="0"/>
        <v>400000</v>
      </c>
      <c r="G34" s="2">
        <v>0</v>
      </c>
      <c r="I34" s="14" t="s">
        <v>1630</v>
      </c>
      <c r="J34" s="14">
        <v>8</v>
      </c>
      <c r="M34" s="14">
        <v>1</v>
      </c>
      <c r="O34" s="14" t="s">
        <v>1631</v>
      </c>
      <c r="P34" s="14">
        <v>-1</v>
      </c>
      <c r="Q34" s="14">
        <v>0</v>
      </c>
      <c r="R34" s="14">
        <v>0</v>
      </c>
      <c r="S34" s="14">
        <v>-1</v>
      </c>
      <c r="T34" s="2">
        <v>-1</v>
      </c>
      <c r="U34" s="2">
        <v>-1</v>
      </c>
      <c r="V34" s="14">
        <v>0</v>
      </c>
      <c r="W34" s="14">
        <v>-1</v>
      </c>
      <c r="X34" s="20" t="s">
        <v>1650</v>
      </c>
      <c r="Y34" s="14">
        <v>1</v>
      </c>
      <c r="Z34" s="14">
        <v>0</v>
      </c>
      <c r="AA34" s="2">
        <v>1</v>
      </c>
      <c r="AB34" s="14">
        <v>999</v>
      </c>
    </row>
    <row r="35" spans="1:28" s="15" customFormat="1" x14ac:dyDescent="0.25">
      <c r="A35" s="15">
        <v>1213</v>
      </c>
      <c r="B35" s="15" t="s">
        <v>1651</v>
      </c>
      <c r="C35" s="15" t="s">
        <v>1652</v>
      </c>
      <c r="D35" s="2" t="s">
        <v>1653</v>
      </c>
      <c r="E35" s="20">
        <v>400000</v>
      </c>
      <c r="F35" s="2">
        <f t="shared" si="0"/>
        <v>400000</v>
      </c>
      <c r="G35" s="2">
        <v>0</v>
      </c>
      <c r="I35" s="15" t="s">
        <v>1654</v>
      </c>
      <c r="J35" s="15">
        <v>0</v>
      </c>
      <c r="M35" s="15">
        <v>0</v>
      </c>
      <c r="O35" s="15" t="s">
        <v>1655</v>
      </c>
      <c r="P35" s="15">
        <v>-1</v>
      </c>
      <c r="Q35" s="15">
        <v>0</v>
      </c>
      <c r="R35" s="15">
        <v>0</v>
      </c>
      <c r="S35" s="15">
        <v>-1</v>
      </c>
      <c r="T35" s="2">
        <v>-1</v>
      </c>
      <c r="U35" s="2">
        <v>-1</v>
      </c>
      <c r="V35" s="15">
        <v>0</v>
      </c>
      <c r="W35" s="15">
        <v>-1</v>
      </c>
      <c r="X35" s="20" t="s">
        <v>1650</v>
      </c>
      <c r="Y35" s="15">
        <v>1</v>
      </c>
      <c r="Z35" s="15">
        <v>0</v>
      </c>
      <c r="AA35" s="2">
        <v>1</v>
      </c>
      <c r="AB35" s="15">
        <v>-1</v>
      </c>
    </row>
    <row r="36" spans="1:28" x14ac:dyDescent="0.25">
      <c r="A36" s="2">
        <v>1600</v>
      </c>
      <c r="B36" s="2" t="s">
        <v>1656</v>
      </c>
      <c r="C36" s="2" t="s">
        <v>1657</v>
      </c>
      <c r="D36" s="2" t="s">
        <v>1658</v>
      </c>
      <c r="E36" s="20">
        <v>0</v>
      </c>
      <c r="F36" s="2">
        <f t="shared" si="0"/>
        <v>0</v>
      </c>
      <c r="G36" s="2">
        <v>0</v>
      </c>
      <c r="I36" s="2" t="s">
        <v>1659</v>
      </c>
      <c r="J36" s="2">
        <v>12</v>
      </c>
      <c r="M36" s="2">
        <v>0</v>
      </c>
      <c r="O36" s="2">
        <v>6</v>
      </c>
      <c r="P36" s="2">
        <v>-1</v>
      </c>
      <c r="Q36" s="2">
        <v>0</v>
      </c>
      <c r="R36" s="2">
        <v>0</v>
      </c>
      <c r="S36" s="2">
        <v>-1</v>
      </c>
      <c r="T36" s="2">
        <v>-1</v>
      </c>
      <c r="U36" s="2">
        <v>-1</v>
      </c>
      <c r="V36" s="2">
        <v>0</v>
      </c>
      <c r="W36" s="2">
        <v>-1</v>
      </c>
      <c r="X36" s="20"/>
      <c r="Y36" s="2">
        <v>-1</v>
      </c>
      <c r="Z36" s="2">
        <v>0</v>
      </c>
      <c r="AA36" s="2">
        <v>1</v>
      </c>
      <c r="AB36" s="2">
        <v>-1</v>
      </c>
    </row>
    <row r="37" spans="1:28" x14ac:dyDescent="0.25">
      <c r="A37" s="2">
        <v>1601</v>
      </c>
      <c r="B37" s="2" t="s">
        <v>1660</v>
      </c>
      <c r="C37" s="2" t="s">
        <v>1661</v>
      </c>
      <c r="D37" s="2" t="s">
        <v>1662</v>
      </c>
      <c r="E37" s="20">
        <v>0</v>
      </c>
      <c r="F37" s="2">
        <f t="shared" si="0"/>
        <v>0</v>
      </c>
      <c r="G37" s="2">
        <v>0</v>
      </c>
      <c r="I37" s="2" t="s">
        <v>1663</v>
      </c>
      <c r="J37" s="2">
        <v>12</v>
      </c>
      <c r="M37" s="2">
        <v>0</v>
      </c>
      <c r="O37" s="2">
        <v>6</v>
      </c>
      <c r="P37" s="2">
        <v>-1</v>
      </c>
      <c r="Q37" s="2">
        <v>0</v>
      </c>
      <c r="R37" s="2">
        <v>0</v>
      </c>
      <c r="S37" s="2">
        <v>-1</v>
      </c>
      <c r="T37" s="2">
        <v>-1</v>
      </c>
      <c r="U37" s="2">
        <v>-1</v>
      </c>
      <c r="V37" s="2">
        <v>0</v>
      </c>
      <c r="W37" s="2">
        <v>-1</v>
      </c>
      <c r="X37" s="20"/>
      <c r="Y37" s="2">
        <v>-1</v>
      </c>
      <c r="Z37" s="2">
        <v>0</v>
      </c>
      <c r="AA37" s="2">
        <v>1</v>
      </c>
      <c r="AB37" s="2">
        <v>-1</v>
      </c>
    </row>
    <row r="38" spans="1:28" x14ac:dyDescent="0.35">
      <c r="A38" s="2">
        <v>1603</v>
      </c>
      <c r="B38" s="2" t="s">
        <v>1664</v>
      </c>
      <c r="C38" s="19" t="s">
        <v>1665</v>
      </c>
      <c r="D38" s="2" t="s">
        <v>1666</v>
      </c>
      <c r="E38" s="2">
        <f>V38*10000*1</f>
        <v>100000</v>
      </c>
      <c r="F38" s="2">
        <f t="shared" si="0"/>
        <v>100000</v>
      </c>
      <c r="G38" s="2">
        <v>0</v>
      </c>
      <c r="I38" s="19" t="s">
        <v>1667</v>
      </c>
      <c r="J38" s="2">
        <v>12</v>
      </c>
      <c r="M38" s="2">
        <v>0</v>
      </c>
      <c r="O38" s="2">
        <v>2</v>
      </c>
      <c r="P38" s="2">
        <v>-1</v>
      </c>
      <c r="Q38" s="2">
        <v>0</v>
      </c>
      <c r="R38" s="2">
        <v>0</v>
      </c>
      <c r="S38" s="2">
        <v>-1</v>
      </c>
      <c r="T38" s="2">
        <v>-1</v>
      </c>
      <c r="U38" s="2">
        <v>-1</v>
      </c>
      <c r="V38" s="2">
        <v>10</v>
      </c>
      <c r="W38" s="2">
        <v>1</v>
      </c>
      <c r="Y38" s="2">
        <v>-1</v>
      </c>
      <c r="Z38" s="2">
        <v>0</v>
      </c>
      <c r="AA38" s="22">
        <v>0</v>
      </c>
      <c r="AB38" s="2">
        <v>-1</v>
      </c>
    </row>
    <row r="39" spans="1:28" x14ac:dyDescent="0.35">
      <c r="A39" s="2">
        <v>1604</v>
      </c>
      <c r="B39" s="2" t="s">
        <v>1668</v>
      </c>
      <c r="C39" s="19" t="s">
        <v>1669</v>
      </c>
      <c r="D39" s="2" t="s">
        <v>1670</v>
      </c>
      <c r="E39" s="2">
        <v>0</v>
      </c>
      <c r="F39" s="2">
        <f t="shared" si="0"/>
        <v>0</v>
      </c>
      <c r="G39" s="2">
        <v>0</v>
      </c>
      <c r="I39" s="19" t="s">
        <v>1671</v>
      </c>
      <c r="J39" s="2">
        <v>12</v>
      </c>
      <c r="M39" s="2">
        <v>0</v>
      </c>
      <c r="O39" s="2">
        <v>2</v>
      </c>
      <c r="P39" s="2">
        <v>-1</v>
      </c>
      <c r="Q39" s="2">
        <v>0</v>
      </c>
      <c r="R39" s="2">
        <v>0</v>
      </c>
      <c r="S39" s="2">
        <v>-1</v>
      </c>
      <c r="T39" s="2">
        <v>-1</v>
      </c>
      <c r="U39" s="2">
        <v>-1</v>
      </c>
      <c r="V39" s="2">
        <v>0</v>
      </c>
      <c r="W39" s="2">
        <v>-1</v>
      </c>
      <c r="Y39" s="2">
        <v>-1</v>
      </c>
      <c r="Z39" s="2">
        <v>0</v>
      </c>
      <c r="AA39" s="2">
        <v>0</v>
      </c>
      <c r="AB39" s="2">
        <v>-1</v>
      </c>
    </row>
    <row r="40" spans="1:28" x14ac:dyDescent="0.35">
      <c r="A40" s="2">
        <v>1605</v>
      </c>
      <c r="B40" s="2" t="s">
        <v>1672</v>
      </c>
      <c r="C40" s="19" t="s">
        <v>1673</v>
      </c>
      <c r="D40" s="2" t="s">
        <v>1674</v>
      </c>
      <c r="E40" s="2">
        <v>100000</v>
      </c>
      <c r="F40" s="2">
        <f t="shared" si="0"/>
        <v>100000</v>
      </c>
      <c r="G40" s="2">
        <v>0</v>
      </c>
      <c r="I40" s="19" t="s">
        <v>1675</v>
      </c>
      <c r="J40" s="2">
        <v>12</v>
      </c>
      <c r="M40" s="2">
        <v>0</v>
      </c>
      <c r="O40" s="2">
        <v>2</v>
      </c>
      <c r="P40" s="2">
        <v>-1</v>
      </c>
      <c r="Q40" s="2">
        <v>0</v>
      </c>
      <c r="R40" s="2">
        <v>0</v>
      </c>
      <c r="S40" s="2">
        <v>-1</v>
      </c>
      <c r="T40" s="2">
        <v>-1</v>
      </c>
      <c r="U40" s="2">
        <v>-1</v>
      </c>
      <c r="V40" s="2">
        <v>5</v>
      </c>
      <c r="W40" s="2">
        <v>10</v>
      </c>
      <c r="Y40" s="2">
        <v>-1</v>
      </c>
      <c r="Z40" s="2">
        <v>0</v>
      </c>
      <c r="AA40" s="22">
        <v>0</v>
      </c>
      <c r="AB40" s="2">
        <v>999</v>
      </c>
    </row>
    <row r="41" spans="1:28" ht="17.25" customHeight="1" x14ac:dyDescent="0.35">
      <c r="A41" s="2">
        <v>1606</v>
      </c>
      <c r="B41" s="2" t="s">
        <v>1676</v>
      </c>
      <c r="C41" s="19" t="s">
        <v>1677</v>
      </c>
      <c r="D41" s="2" t="s">
        <v>1678</v>
      </c>
      <c r="E41" s="2">
        <v>400000</v>
      </c>
      <c r="F41" s="2">
        <f t="shared" si="0"/>
        <v>400000</v>
      </c>
      <c r="G41" s="2">
        <v>0</v>
      </c>
      <c r="I41" s="19" t="s">
        <v>1679</v>
      </c>
      <c r="J41" s="2">
        <v>12</v>
      </c>
      <c r="M41" s="2">
        <v>0</v>
      </c>
      <c r="O41" s="2">
        <v>2</v>
      </c>
      <c r="P41" s="2">
        <v>-1</v>
      </c>
      <c r="Q41" s="2">
        <v>0</v>
      </c>
      <c r="R41" s="2">
        <v>0</v>
      </c>
      <c r="S41" s="2">
        <v>-1</v>
      </c>
      <c r="T41" s="2">
        <v>-1</v>
      </c>
      <c r="U41" s="2">
        <v>-1</v>
      </c>
      <c r="V41" s="2">
        <v>20</v>
      </c>
      <c r="W41" s="2">
        <v>10</v>
      </c>
      <c r="Y41" s="2">
        <v>-1</v>
      </c>
      <c r="Z41" s="2">
        <v>0</v>
      </c>
      <c r="AA41" s="22">
        <v>0</v>
      </c>
      <c r="AB41" s="2">
        <v>999</v>
      </c>
    </row>
    <row r="42" spans="1:28" x14ac:dyDescent="0.35">
      <c r="A42" s="2">
        <v>1607</v>
      </c>
      <c r="B42" s="2" t="s">
        <v>1680</v>
      </c>
      <c r="C42" s="19" t="s">
        <v>1681</v>
      </c>
      <c r="D42" s="2" t="s">
        <v>1682</v>
      </c>
      <c r="E42" s="2">
        <v>1000000</v>
      </c>
      <c r="F42" s="2">
        <f t="shared" si="0"/>
        <v>1000000</v>
      </c>
      <c r="G42" s="2">
        <v>0</v>
      </c>
      <c r="I42" s="19" t="s">
        <v>1683</v>
      </c>
      <c r="J42" s="2">
        <v>12</v>
      </c>
      <c r="M42" s="2">
        <v>0</v>
      </c>
      <c r="O42" s="2">
        <v>2</v>
      </c>
      <c r="P42" s="2">
        <v>-1</v>
      </c>
      <c r="Q42" s="2">
        <v>0</v>
      </c>
      <c r="R42" s="2">
        <v>0</v>
      </c>
      <c r="S42" s="2">
        <v>-1</v>
      </c>
      <c r="T42" s="2">
        <v>-1</v>
      </c>
      <c r="U42" s="2">
        <v>-1</v>
      </c>
      <c r="V42" s="2">
        <v>50</v>
      </c>
      <c r="W42" s="2">
        <v>10</v>
      </c>
      <c r="Y42" s="2">
        <v>-1</v>
      </c>
      <c r="Z42" s="2">
        <v>0</v>
      </c>
      <c r="AA42" s="22">
        <v>0</v>
      </c>
      <c r="AB42" s="2">
        <v>999</v>
      </c>
    </row>
    <row r="43" spans="1:28" s="13" customFormat="1" x14ac:dyDescent="0.25">
      <c r="A43" s="13">
        <v>2001</v>
      </c>
      <c r="B43" s="13" t="s">
        <v>1684</v>
      </c>
      <c r="C43" s="13" t="s">
        <v>1685</v>
      </c>
      <c r="D43" s="13" t="s">
        <v>1686</v>
      </c>
      <c r="E43" s="13">
        <v>300000</v>
      </c>
      <c r="F43" s="13">
        <f t="shared" si="0"/>
        <v>300000</v>
      </c>
      <c r="G43" s="13">
        <v>0</v>
      </c>
      <c r="I43" s="13" t="s">
        <v>1687</v>
      </c>
      <c r="J43" s="13">
        <v>20</v>
      </c>
      <c r="M43" s="13">
        <v>5</v>
      </c>
      <c r="O43" s="13" t="s">
        <v>1631</v>
      </c>
      <c r="P43" s="13">
        <v>-1</v>
      </c>
      <c r="Q43" s="13">
        <v>0</v>
      </c>
      <c r="R43" s="13">
        <v>0</v>
      </c>
      <c r="S43" s="13">
        <v>-1</v>
      </c>
      <c r="T43" s="13">
        <v>-1</v>
      </c>
      <c r="U43" s="13">
        <v>-1</v>
      </c>
      <c r="V43" s="13">
        <v>0</v>
      </c>
      <c r="W43" s="13">
        <v>-1</v>
      </c>
      <c r="X43" s="27" t="s">
        <v>1688</v>
      </c>
      <c r="Y43" s="13">
        <v>1</v>
      </c>
      <c r="Z43" s="13">
        <v>0</v>
      </c>
      <c r="AA43" s="13">
        <v>1</v>
      </c>
      <c r="AB43" s="13">
        <v>999</v>
      </c>
    </row>
    <row r="44" spans="1:28" s="16" customFormat="1" x14ac:dyDescent="0.25">
      <c r="A44" s="16">
        <v>2002</v>
      </c>
      <c r="B44" s="16" t="s">
        <v>1684</v>
      </c>
      <c r="C44" s="16" t="s">
        <v>1689</v>
      </c>
      <c r="D44" s="16" t="s">
        <v>1690</v>
      </c>
      <c r="E44" s="16">
        <v>300000</v>
      </c>
      <c r="F44" s="16">
        <f t="shared" si="0"/>
        <v>300000</v>
      </c>
      <c r="G44" s="16">
        <v>0</v>
      </c>
      <c r="I44" s="16" t="s">
        <v>1691</v>
      </c>
      <c r="J44" s="16">
        <v>20</v>
      </c>
      <c r="M44" s="16">
        <v>4</v>
      </c>
      <c r="O44" s="16" t="s">
        <v>1631</v>
      </c>
      <c r="P44" s="16">
        <v>-1</v>
      </c>
      <c r="Q44" s="16">
        <v>0</v>
      </c>
      <c r="R44" s="16">
        <v>0</v>
      </c>
      <c r="S44" s="16">
        <v>-1</v>
      </c>
      <c r="T44" s="16">
        <v>-1</v>
      </c>
      <c r="U44" s="16">
        <v>-1</v>
      </c>
      <c r="V44" s="16">
        <v>0</v>
      </c>
      <c r="W44" s="16">
        <v>-1</v>
      </c>
      <c r="X44" s="28" t="s">
        <v>1688</v>
      </c>
      <c r="Y44" s="16">
        <v>1</v>
      </c>
      <c r="Z44" s="16">
        <v>0</v>
      </c>
      <c r="AA44" s="16">
        <v>1</v>
      </c>
      <c r="AB44" s="16">
        <v>999</v>
      </c>
    </row>
    <row r="45" spans="1:28" x14ac:dyDescent="0.35">
      <c r="A45" s="2">
        <v>1015</v>
      </c>
      <c r="B45" s="2" t="s">
        <v>1692</v>
      </c>
      <c r="C45" s="19" t="s">
        <v>1693</v>
      </c>
      <c r="D45" s="2" t="s">
        <v>1694</v>
      </c>
      <c r="E45" s="20">
        <f>E18/20</f>
        <v>50000</v>
      </c>
      <c r="F45" s="2">
        <f t="shared" ref="F45:F68" si="3">E45</f>
        <v>50000</v>
      </c>
      <c r="G45" s="2">
        <v>0</v>
      </c>
      <c r="I45" s="19" t="s">
        <v>1695</v>
      </c>
      <c r="J45" s="2">
        <v>13</v>
      </c>
      <c r="M45" s="23">
        <v>1</v>
      </c>
      <c r="N45" s="23"/>
      <c r="O45" s="2">
        <v>8</v>
      </c>
      <c r="P45" s="2">
        <v>-1</v>
      </c>
      <c r="Q45" s="2">
        <v>0</v>
      </c>
      <c r="R45" s="2">
        <v>0</v>
      </c>
      <c r="S45" s="2">
        <v>-1</v>
      </c>
      <c r="T45" s="2">
        <v>-1</v>
      </c>
      <c r="U45" s="2">
        <v>-1</v>
      </c>
      <c r="V45" s="2">
        <v>0</v>
      </c>
      <c r="W45" s="2">
        <v>-1</v>
      </c>
      <c r="X45" s="20" t="s">
        <v>1696</v>
      </c>
      <c r="Y45" s="2">
        <v>1</v>
      </c>
      <c r="Z45" s="2">
        <v>0</v>
      </c>
      <c r="AA45" s="2">
        <v>1</v>
      </c>
      <c r="AB45" s="2">
        <v>999</v>
      </c>
    </row>
    <row r="46" spans="1:28" x14ac:dyDescent="0.35">
      <c r="A46" s="2">
        <v>1016</v>
      </c>
      <c r="B46" s="2" t="s">
        <v>1697</v>
      </c>
      <c r="C46" s="19" t="s">
        <v>1698</v>
      </c>
      <c r="D46" s="2" t="s">
        <v>1699</v>
      </c>
      <c r="E46" s="20">
        <f>E19/20</f>
        <v>100000</v>
      </c>
      <c r="F46" s="2">
        <f t="shared" si="3"/>
        <v>100000</v>
      </c>
      <c r="G46" s="2">
        <v>0</v>
      </c>
      <c r="I46" s="19" t="s">
        <v>1700</v>
      </c>
      <c r="J46" s="2">
        <v>13</v>
      </c>
      <c r="M46" s="23">
        <v>2</v>
      </c>
      <c r="N46" s="23"/>
      <c r="O46" s="2">
        <v>8</v>
      </c>
      <c r="P46" s="2">
        <v>-1</v>
      </c>
      <c r="Q46" s="2">
        <v>0</v>
      </c>
      <c r="R46" s="2">
        <v>0</v>
      </c>
      <c r="S46" s="2">
        <v>-1</v>
      </c>
      <c r="T46" s="2">
        <v>-1</v>
      </c>
      <c r="U46" s="2">
        <v>-1</v>
      </c>
      <c r="V46" s="2">
        <v>0</v>
      </c>
      <c r="W46" s="2">
        <v>-1</v>
      </c>
      <c r="X46" s="20" t="s">
        <v>1701</v>
      </c>
      <c r="Y46" s="2">
        <v>1</v>
      </c>
      <c r="Z46" s="2">
        <v>0</v>
      </c>
      <c r="AA46" s="2">
        <v>1</v>
      </c>
      <c r="AB46" s="2">
        <v>999</v>
      </c>
    </row>
    <row r="47" spans="1:28" x14ac:dyDescent="0.35">
      <c r="A47" s="2">
        <v>1017</v>
      </c>
      <c r="B47" s="2" t="s">
        <v>1702</v>
      </c>
      <c r="C47" s="19" t="s">
        <v>1703</v>
      </c>
      <c r="D47" s="2" t="s">
        <v>1704</v>
      </c>
      <c r="E47" s="20">
        <f>E20/20</f>
        <v>250000</v>
      </c>
      <c r="F47" s="2">
        <f t="shared" si="3"/>
        <v>250000</v>
      </c>
      <c r="G47" s="2">
        <v>0</v>
      </c>
      <c r="I47" s="19" t="s">
        <v>1705</v>
      </c>
      <c r="J47" s="2">
        <v>13</v>
      </c>
      <c r="M47" s="23">
        <v>3</v>
      </c>
      <c r="N47" s="23"/>
      <c r="O47" s="2">
        <v>8</v>
      </c>
      <c r="P47" s="2">
        <v>-1</v>
      </c>
      <c r="Q47" s="2">
        <v>0</v>
      </c>
      <c r="R47" s="2">
        <v>0</v>
      </c>
      <c r="S47" s="2">
        <v>-1</v>
      </c>
      <c r="T47" s="2">
        <v>-1</v>
      </c>
      <c r="U47" s="2">
        <v>-1</v>
      </c>
      <c r="V47" s="2">
        <v>0</v>
      </c>
      <c r="W47" s="2">
        <v>-1</v>
      </c>
      <c r="X47" s="20" t="s">
        <v>1706</v>
      </c>
      <c r="Y47" s="2">
        <v>1</v>
      </c>
      <c r="Z47" s="2">
        <v>0</v>
      </c>
      <c r="AA47" s="2">
        <v>1</v>
      </c>
      <c r="AB47" s="2">
        <v>999</v>
      </c>
    </row>
    <row r="48" spans="1:28" x14ac:dyDescent="0.35">
      <c r="A48" s="2">
        <v>1018</v>
      </c>
      <c r="B48" s="2" t="s">
        <v>1707</v>
      </c>
      <c r="C48" s="19" t="s">
        <v>1708</v>
      </c>
      <c r="D48" s="2" t="s">
        <v>1709</v>
      </c>
      <c r="E48" s="20">
        <f>E21/20</f>
        <v>500000</v>
      </c>
      <c r="F48" s="2">
        <f t="shared" si="3"/>
        <v>500000</v>
      </c>
      <c r="G48" s="2">
        <v>0</v>
      </c>
      <c r="I48" s="19" t="s">
        <v>1710</v>
      </c>
      <c r="J48" s="2">
        <v>13</v>
      </c>
      <c r="M48" s="23">
        <v>4</v>
      </c>
      <c r="N48" s="23"/>
      <c r="O48" s="2">
        <v>8</v>
      </c>
      <c r="P48" s="2">
        <v>-1</v>
      </c>
      <c r="Q48" s="2">
        <v>0</v>
      </c>
      <c r="R48" s="2">
        <v>0</v>
      </c>
      <c r="S48" s="2">
        <v>-1</v>
      </c>
      <c r="T48" s="2">
        <v>-1</v>
      </c>
      <c r="U48" s="2">
        <v>-1</v>
      </c>
      <c r="V48" s="2">
        <v>0</v>
      </c>
      <c r="W48" s="2">
        <v>-1</v>
      </c>
      <c r="X48" s="20" t="s">
        <v>1246</v>
      </c>
      <c r="Y48" s="2">
        <v>1</v>
      </c>
      <c r="Z48" s="2">
        <v>0</v>
      </c>
      <c r="AA48" s="2">
        <v>1</v>
      </c>
      <c r="AB48" s="2">
        <v>999</v>
      </c>
    </row>
    <row r="49" spans="1:28" x14ac:dyDescent="0.25">
      <c r="A49" s="2">
        <v>2100</v>
      </c>
      <c r="B49" s="2" t="s">
        <v>1711</v>
      </c>
      <c r="C49" s="2" t="s">
        <v>1712</v>
      </c>
      <c r="D49" s="21" t="s">
        <v>1713</v>
      </c>
      <c r="E49" s="2">
        <v>100000</v>
      </c>
      <c r="F49" s="2">
        <f t="shared" si="3"/>
        <v>100000</v>
      </c>
      <c r="G49" s="2">
        <v>0</v>
      </c>
      <c r="H49" s="22"/>
      <c r="I49" s="2" t="s">
        <v>1714</v>
      </c>
      <c r="J49" s="22">
        <v>21</v>
      </c>
      <c r="M49" s="2">
        <v>1</v>
      </c>
      <c r="N49" s="2">
        <v>4000</v>
      </c>
      <c r="O49" s="2">
        <v>3</v>
      </c>
      <c r="P49" s="2">
        <v>-1</v>
      </c>
      <c r="Q49" s="2">
        <v>0</v>
      </c>
      <c r="R49" s="2">
        <v>0</v>
      </c>
      <c r="S49" s="2">
        <v>-1</v>
      </c>
      <c r="T49" s="2">
        <v>-1</v>
      </c>
      <c r="U49" s="2">
        <v>-1</v>
      </c>
      <c r="V49" s="2">
        <v>0</v>
      </c>
      <c r="W49" s="2">
        <v>-1</v>
      </c>
      <c r="X49" s="2" t="str">
        <f>"1|2|"&amp;E49</f>
        <v>1|2|100000</v>
      </c>
      <c r="Y49" s="2">
        <v>1</v>
      </c>
      <c r="Z49" s="2">
        <v>0</v>
      </c>
      <c r="AA49" s="2">
        <v>1</v>
      </c>
      <c r="AB49" s="2">
        <v>999</v>
      </c>
    </row>
    <row r="50" spans="1:28" x14ac:dyDescent="0.25">
      <c r="A50" s="2">
        <v>2101</v>
      </c>
      <c r="B50" s="2" t="s">
        <v>1711</v>
      </c>
      <c r="C50" s="2" t="s">
        <v>1715</v>
      </c>
      <c r="D50" s="21" t="s">
        <v>1716</v>
      </c>
      <c r="E50" s="2">
        <v>600000</v>
      </c>
      <c r="F50" s="2">
        <f t="shared" si="3"/>
        <v>600000</v>
      </c>
      <c r="G50" s="2">
        <v>0</v>
      </c>
      <c r="H50" s="22"/>
      <c r="I50" s="2" t="s">
        <v>1717</v>
      </c>
      <c r="J50" s="22">
        <v>21</v>
      </c>
      <c r="M50" s="2">
        <v>3</v>
      </c>
      <c r="N50" s="2">
        <v>4000</v>
      </c>
      <c r="O50" s="2">
        <v>3</v>
      </c>
      <c r="P50" s="2">
        <v>-1</v>
      </c>
      <c r="Q50" s="2">
        <v>0</v>
      </c>
      <c r="R50" s="2">
        <v>0</v>
      </c>
      <c r="S50" s="2">
        <v>-1</v>
      </c>
      <c r="T50" s="2">
        <v>-1</v>
      </c>
      <c r="U50" s="2">
        <v>-1</v>
      </c>
      <c r="V50" s="2">
        <v>0</v>
      </c>
      <c r="W50" s="2">
        <v>-1</v>
      </c>
      <c r="X50" s="2" t="str">
        <f>"1|2|"&amp;E50</f>
        <v>1|2|600000</v>
      </c>
      <c r="Y50" s="2">
        <v>1</v>
      </c>
      <c r="Z50" s="2">
        <v>0</v>
      </c>
      <c r="AA50" s="2">
        <v>1</v>
      </c>
      <c r="AB50" s="2">
        <v>999</v>
      </c>
    </row>
    <row r="51" spans="1:28" x14ac:dyDescent="0.25">
      <c r="A51" s="2">
        <v>2102</v>
      </c>
      <c r="B51" s="2" t="s">
        <v>1711</v>
      </c>
      <c r="C51" s="2" t="s">
        <v>1718</v>
      </c>
      <c r="D51" s="21" t="s">
        <v>1719</v>
      </c>
      <c r="E51" s="2">
        <v>1000000</v>
      </c>
      <c r="F51" s="2">
        <f t="shared" si="3"/>
        <v>1000000</v>
      </c>
      <c r="G51" s="2">
        <v>0</v>
      </c>
      <c r="H51" s="22"/>
      <c r="I51" s="2" t="s">
        <v>1720</v>
      </c>
      <c r="J51" s="22">
        <v>21</v>
      </c>
      <c r="M51" s="2">
        <v>5</v>
      </c>
      <c r="N51" s="2">
        <v>4000</v>
      </c>
      <c r="O51" s="2">
        <v>3</v>
      </c>
      <c r="P51" s="2">
        <v>-1</v>
      </c>
      <c r="Q51" s="2">
        <v>0</v>
      </c>
      <c r="R51" s="2">
        <v>0</v>
      </c>
      <c r="S51" s="2">
        <v>-1</v>
      </c>
      <c r="T51" s="2">
        <v>-1</v>
      </c>
      <c r="U51" s="2">
        <v>-1</v>
      </c>
      <c r="V51" s="2">
        <v>0</v>
      </c>
      <c r="W51" s="2">
        <v>-1</v>
      </c>
      <c r="X51" s="2" t="str">
        <f>"1|2|"&amp;E51</f>
        <v>1|2|1000000</v>
      </c>
      <c r="Y51" s="2">
        <v>1</v>
      </c>
      <c r="Z51" s="2">
        <v>0</v>
      </c>
      <c r="AA51" s="2">
        <v>1</v>
      </c>
      <c r="AB51" s="2">
        <v>999</v>
      </c>
    </row>
    <row r="52" spans="1:28" x14ac:dyDescent="0.25">
      <c r="A52" s="2">
        <v>2103</v>
      </c>
      <c r="B52" s="2" t="s">
        <v>1711</v>
      </c>
      <c r="C52" s="2" t="s">
        <v>1721</v>
      </c>
      <c r="D52" s="21" t="s">
        <v>1722</v>
      </c>
      <c r="E52" s="2">
        <v>1400000</v>
      </c>
      <c r="F52" s="2">
        <f t="shared" si="3"/>
        <v>1400000</v>
      </c>
      <c r="G52" s="2">
        <v>0</v>
      </c>
      <c r="H52" s="22"/>
      <c r="I52" s="2" t="s">
        <v>1723</v>
      </c>
      <c r="J52" s="22">
        <v>21</v>
      </c>
      <c r="M52" s="2">
        <v>7</v>
      </c>
      <c r="N52" s="2">
        <v>4000</v>
      </c>
      <c r="O52" s="2">
        <v>3</v>
      </c>
      <c r="P52" s="2">
        <v>-1</v>
      </c>
      <c r="Q52" s="2">
        <v>0</v>
      </c>
      <c r="R52" s="2">
        <v>0</v>
      </c>
      <c r="S52" s="2">
        <v>-1</v>
      </c>
      <c r="T52" s="2">
        <v>-1</v>
      </c>
      <c r="U52" s="2">
        <v>-1</v>
      </c>
      <c r="V52" s="2">
        <v>0</v>
      </c>
      <c r="W52" s="2">
        <v>-1</v>
      </c>
      <c r="X52" s="2" t="str">
        <f>"1|2|"&amp;E52</f>
        <v>1|2|1400000</v>
      </c>
      <c r="Y52" s="2">
        <v>1</v>
      </c>
      <c r="Z52" s="2">
        <v>0</v>
      </c>
      <c r="AA52" s="2">
        <v>1</v>
      </c>
      <c r="AB52" s="2">
        <v>999</v>
      </c>
    </row>
    <row r="53" spans="1:28" x14ac:dyDescent="0.25">
      <c r="A53" s="2">
        <v>2104</v>
      </c>
      <c r="B53" s="2" t="s">
        <v>1711</v>
      </c>
      <c r="C53" s="2" t="s">
        <v>1715</v>
      </c>
      <c r="D53" s="21" t="s">
        <v>1716</v>
      </c>
      <c r="E53" s="2">
        <v>600000</v>
      </c>
      <c r="F53" s="2">
        <f t="shared" si="3"/>
        <v>600000</v>
      </c>
      <c r="G53" s="2">
        <v>0</v>
      </c>
      <c r="H53" s="22">
        <v>1</v>
      </c>
      <c r="I53" s="2" t="s">
        <v>1717</v>
      </c>
      <c r="J53" s="22">
        <v>21</v>
      </c>
      <c r="M53" s="2">
        <v>3</v>
      </c>
      <c r="N53" s="2">
        <v>4000</v>
      </c>
      <c r="O53" s="2">
        <v>3</v>
      </c>
      <c r="P53" s="2">
        <v>-1</v>
      </c>
      <c r="Q53" s="2">
        <v>0</v>
      </c>
      <c r="R53" s="2">
        <v>0</v>
      </c>
      <c r="S53" s="2">
        <v>-1</v>
      </c>
      <c r="T53" s="2">
        <v>-1</v>
      </c>
      <c r="U53" s="2">
        <v>-1</v>
      </c>
      <c r="V53" s="2">
        <v>0</v>
      </c>
      <c r="W53" s="2">
        <v>-1</v>
      </c>
      <c r="X53" s="2" t="str">
        <f>"1|2|"&amp;E53</f>
        <v>1|2|600000</v>
      </c>
      <c r="Y53" s="2">
        <v>1</v>
      </c>
      <c r="Z53" s="2">
        <v>0</v>
      </c>
      <c r="AA53" s="2">
        <v>1</v>
      </c>
      <c r="AB53" s="2">
        <v>999</v>
      </c>
    </row>
    <row r="54" spans="1:28" x14ac:dyDescent="0.35">
      <c r="A54" s="2">
        <v>2105</v>
      </c>
      <c r="B54" s="2" t="s">
        <v>1724</v>
      </c>
      <c r="C54" s="2" t="s">
        <v>1725</v>
      </c>
      <c r="D54" s="21" t="s">
        <v>1726</v>
      </c>
      <c r="E54" s="2">
        <v>600000</v>
      </c>
      <c r="F54" s="2">
        <f t="shared" si="3"/>
        <v>600000</v>
      </c>
      <c r="G54" s="2">
        <v>0</v>
      </c>
      <c r="H54" s="22">
        <v>1</v>
      </c>
      <c r="I54" s="2" t="s">
        <v>1727</v>
      </c>
      <c r="J54" s="22">
        <v>25</v>
      </c>
      <c r="M54" s="2">
        <v>3</v>
      </c>
      <c r="N54" s="24">
        <v>7002</v>
      </c>
      <c r="O54" s="2">
        <v>9</v>
      </c>
      <c r="P54" s="2">
        <v>-1</v>
      </c>
      <c r="Q54" s="2">
        <v>0</v>
      </c>
      <c r="R54" s="2">
        <v>0</v>
      </c>
      <c r="S54" s="2">
        <v>-1</v>
      </c>
      <c r="T54" s="2">
        <v>-1</v>
      </c>
      <c r="U54" s="2">
        <v>-1</v>
      </c>
      <c r="V54" s="2">
        <v>0</v>
      </c>
      <c r="W54" s="2">
        <v>-1</v>
      </c>
      <c r="X54" s="2" t="str">
        <f t="shared" ref="X54:X55" si="4">"1|2|"&amp;E54</f>
        <v>1|2|600000</v>
      </c>
      <c r="Y54" s="2">
        <v>1</v>
      </c>
      <c r="Z54" s="2">
        <v>0</v>
      </c>
      <c r="AA54" s="2">
        <v>0</v>
      </c>
      <c r="AB54" s="2">
        <v>999</v>
      </c>
    </row>
    <row r="55" spans="1:28" x14ac:dyDescent="0.35">
      <c r="A55" s="2">
        <v>2106</v>
      </c>
      <c r="B55" s="2" t="s">
        <v>1724</v>
      </c>
      <c r="C55" s="2" t="s">
        <v>1728</v>
      </c>
      <c r="D55" s="21" t="s">
        <v>1729</v>
      </c>
      <c r="E55" s="2">
        <v>6000000</v>
      </c>
      <c r="F55" s="2">
        <f t="shared" si="3"/>
        <v>6000000</v>
      </c>
      <c r="G55" s="2">
        <v>0</v>
      </c>
      <c r="H55" s="22">
        <v>1</v>
      </c>
      <c r="I55" s="2" t="s">
        <v>1730</v>
      </c>
      <c r="J55" s="22">
        <v>25</v>
      </c>
      <c r="M55" s="2">
        <v>30</v>
      </c>
      <c r="N55" s="24">
        <v>7002</v>
      </c>
      <c r="O55" s="2">
        <v>9</v>
      </c>
      <c r="P55" s="2">
        <v>-1</v>
      </c>
      <c r="Q55" s="2">
        <v>0</v>
      </c>
      <c r="R55" s="2">
        <v>0</v>
      </c>
      <c r="S55" s="2">
        <v>-1</v>
      </c>
      <c r="T55" s="2">
        <v>-1</v>
      </c>
      <c r="U55" s="2">
        <v>-1</v>
      </c>
      <c r="V55" s="2">
        <v>0</v>
      </c>
      <c r="W55" s="2">
        <v>-1</v>
      </c>
      <c r="X55" s="2" t="str">
        <f t="shared" si="4"/>
        <v>1|2|6000000</v>
      </c>
      <c r="Y55" s="2">
        <v>1</v>
      </c>
      <c r="Z55" s="2">
        <v>0</v>
      </c>
      <c r="AA55" s="2">
        <v>0</v>
      </c>
      <c r="AB55" s="2">
        <v>999</v>
      </c>
    </row>
    <row r="56" spans="1:28" x14ac:dyDescent="0.35">
      <c r="A56" s="2">
        <v>2107</v>
      </c>
      <c r="B56" s="2" t="s">
        <v>1724</v>
      </c>
      <c r="C56" s="2" t="s">
        <v>1731</v>
      </c>
      <c r="D56" s="21" t="s">
        <v>1732</v>
      </c>
      <c r="E56" s="2">
        <v>1400000</v>
      </c>
      <c r="F56" s="2">
        <f t="shared" ref="F56" si="5">E56</f>
        <v>1400000</v>
      </c>
      <c r="G56" s="2">
        <v>0</v>
      </c>
      <c r="H56" s="22">
        <v>1</v>
      </c>
      <c r="I56" s="2" t="s">
        <v>1733</v>
      </c>
      <c r="J56" s="22">
        <v>25</v>
      </c>
      <c r="M56" s="2">
        <v>7</v>
      </c>
      <c r="N56" s="24">
        <v>7002</v>
      </c>
      <c r="O56" s="2">
        <v>9</v>
      </c>
      <c r="P56" s="2">
        <v>-1</v>
      </c>
      <c r="Q56" s="2">
        <v>0</v>
      </c>
      <c r="R56" s="2">
        <v>0</v>
      </c>
      <c r="S56" s="2">
        <v>-1</v>
      </c>
      <c r="T56" s="2">
        <v>-1</v>
      </c>
      <c r="U56" s="2">
        <v>-1</v>
      </c>
      <c r="V56" s="2">
        <v>0</v>
      </c>
      <c r="W56" s="2">
        <v>-1</v>
      </c>
      <c r="X56" s="2" t="str">
        <f t="shared" ref="X56" si="6">"1|2|"&amp;E56</f>
        <v>1|2|1400000</v>
      </c>
      <c r="Y56" s="2">
        <v>1</v>
      </c>
      <c r="Z56" s="2">
        <v>0</v>
      </c>
      <c r="AA56" s="2">
        <v>0</v>
      </c>
      <c r="AB56" s="2">
        <v>999</v>
      </c>
    </row>
    <row r="57" spans="1:28" x14ac:dyDescent="0.25">
      <c r="A57" s="2">
        <v>2200</v>
      </c>
      <c r="B57" s="2" t="s">
        <v>1734</v>
      </c>
      <c r="C57" s="2" t="s">
        <v>1735</v>
      </c>
      <c r="D57" s="21" t="s">
        <v>1736</v>
      </c>
      <c r="E57" s="2">
        <v>200000</v>
      </c>
      <c r="F57" s="2">
        <f t="shared" si="3"/>
        <v>200000</v>
      </c>
      <c r="G57" s="2">
        <v>0</v>
      </c>
      <c r="H57" s="22"/>
      <c r="I57" s="2" t="s">
        <v>1737</v>
      </c>
      <c r="J57" s="22">
        <v>22</v>
      </c>
      <c r="M57" s="2">
        <v>3</v>
      </c>
      <c r="N57" s="2">
        <v>20</v>
      </c>
      <c r="O57" s="2">
        <v>9</v>
      </c>
      <c r="P57" s="2">
        <v>-1</v>
      </c>
      <c r="Q57" s="2">
        <v>0</v>
      </c>
      <c r="R57" s="2">
        <v>0</v>
      </c>
      <c r="S57" s="2">
        <v>-1</v>
      </c>
      <c r="T57" s="2">
        <v>-1</v>
      </c>
      <c r="U57" s="2">
        <v>-1</v>
      </c>
      <c r="V57" s="2">
        <v>0</v>
      </c>
      <c r="W57" s="2">
        <v>-1</v>
      </c>
      <c r="Y57" s="2">
        <v>1</v>
      </c>
      <c r="Z57" s="2">
        <v>0</v>
      </c>
      <c r="AA57" s="2">
        <v>1</v>
      </c>
      <c r="AB57" s="2">
        <v>999</v>
      </c>
    </row>
    <row r="58" spans="1:28" x14ac:dyDescent="0.25">
      <c r="A58" s="2">
        <v>2201</v>
      </c>
      <c r="B58" s="2" t="s">
        <v>1738</v>
      </c>
      <c r="C58" s="2" t="s">
        <v>1739</v>
      </c>
      <c r="D58" s="21" t="s">
        <v>1740</v>
      </c>
      <c r="E58" s="2">
        <v>300000</v>
      </c>
      <c r="F58" s="2">
        <f t="shared" si="3"/>
        <v>300000</v>
      </c>
      <c r="G58" s="2">
        <v>0</v>
      </c>
      <c r="H58" s="22"/>
      <c r="I58" s="2" t="s">
        <v>1741</v>
      </c>
      <c r="J58" s="22">
        <v>22</v>
      </c>
      <c r="M58" s="2">
        <v>3</v>
      </c>
      <c r="N58" s="2">
        <v>30</v>
      </c>
      <c r="O58" s="2">
        <v>9</v>
      </c>
      <c r="P58" s="2">
        <v>-1</v>
      </c>
      <c r="Q58" s="2">
        <v>0</v>
      </c>
      <c r="R58" s="2">
        <v>0</v>
      </c>
      <c r="S58" s="2">
        <v>-1</v>
      </c>
      <c r="T58" s="2">
        <v>-1</v>
      </c>
      <c r="U58" s="2">
        <v>-1</v>
      </c>
      <c r="V58" s="2">
        <v>0</v>
      </c>
      <c r="W58" s="2">
        <v>-1</v>
      </c>
      <c r="Y58" s="2">
        <v>1</v>
      </c>
      <c r="Z58" s="2">
        <v>0</v>
      </c>
      <c r="AA58" s="2">
        <v>1</v>
      </c>
      <c r="AB58" s="2">
        <v>999</v>
      </c>
    </row>
    <row r="59" spans="1:28" x14ac:dyDescent="0.25">
      <c r="A59" s="2">
        <v>2202</v>
      </c>
      <c r="B59" s="2" t="s">
        <v>1742</v>
      </c>
      <c r="C59" s="2" t="s">
        <v>1743</v>
      </c>
      <c r="D59" s="21" t="s">
        <v>1744</v>
      </c>
      <c r="E59" s="2">
        <v>400000</v>
      </c>
      <c r="F59" s="2">
        <f t="shared" si="3"/>
        <v>400000</v>
      </c>
      <c r="G59" s="2">
        <v>0</v>
      </c>
      <c r="H59" s="22"/>
      <c r="I59" s="2" t="s">
        <v>1745</v>
      </c>
      <c r="J59" s="22">
        <v>22</v>
      </c>
      <c r="M59" s="2">
        <v>3</v>
      </c>
      <c r="N59" s="2">
        <v>40</v>
      </c>
      <c r="O59" s="2">
        <v>9</v>
      </c>
      <c r="P59" s="2">
        <v>-1</v>
      </c>
      <c r="Q59" s="2">
        <v>0</v>
      </c>
      <c r="R59" s="2">
        <v>0</v>
      </c>
      <c r="S59" s="2">
        <v>-1</v>
      </c>
      <c r="T59" s="2">
        <v>-1</v>
      </c>
      <c r="U59" s="2">
        <v>-1</v>
      </c>
      <c r="V59" s="2">
        <v>0</v>
      </c>
      <c r="W59" s="2">
        <v>-1</v>
      </c>
      <c r="Y59" s="2">
        <v>1</v>
      </c>
      <c r="Z59" s="2">
        <v>0</v>
      </c>
      <c r="AA59" s="2">
        <v>1</v>
      </c>
      <c r="AB59" s="2">
        <v>999</v>
      </c>
    </row>
    <row r="60" spans="1:28" x14ac:dyDescent="0.25">
      <c r="A60" s="2">
        <v>2203</v>
      </c>
      <c r="B60" s="2" t="s">
        <v>1746</v>
      </c>
      <c r="C60" s="2" t="s">
        <v>1747</v>
      </c>
      <c r="D60" s="21" t="s">
        <v>1748</v>
      </c>
      <c r="E60" s="2">
        <v>500000</v>
      </c>
      <c r="F60" s="2">
        <f t="shared" si="3"/>
        <v>500000</v>
      </c>
      <c r="G60" s="2">
        <v>0</v>
      </c>
      <c r="H60" s="22"/>
      <c r="I60" s="2" t="s">
        <v>1749</v>
      </c>
      <c r="J60" s="22">
        <v>22</v>
      </c>
      <c r="M60" s="2">
        <v>3</v>
      </c>
      <c r="N60" s="2">
        <v>50</v>
      </c>
      <c r="O60" s="2">
        <v>9</v>
      </c>
      <c r="P60" s="2">
        <v>-1</v>
      </c>
      <c r="Q60" s="2">
        <v>0</v>
      </c>
      <c r="R60" s="2">
        <v>0</v>
      </c>
      <c r="S60" s="2">
        <v>-1</v>
      </c>
      <c r="T60" s="2">
        <v>-1</v>
      </c>
      <c r="U60" s="2">
        <v>-1</v>
      </c>
      <c r="V60" s="2">
        <v>0</v>
      </c>
      <c r="W60" s="2">
        <v>-1</v>
      </c>
      <c r="Y60" s="2">
        <v>1</v>
      </c>
      <c r="Z60" s="2">
        <v>0</v>
      </c>
      <c r="AA60" s="2">
        <v>1</v>
      </c>
      <c r="AB60" s="2">
        <v>999</v>
      </c>
    </row>
    <row r="61" spans="1:28" x14ac:dyDescent="0.25">
      <c r="A61" s="2">
        <v>2204</v>
      </c>
      <c r="B61" s="2" t="s">
        <v>1750</v>
      </c>
      <c r="C61" s="2" t="s">
        <v>1751</v>
      </c>
      <c r="D61" s="21" t="s">
        <v>1752</v>
      </c>
      <c r="E61" s="2">
        <v>600000</v>
      </c>
      <c r="F61" s="2">
        <f t="shared" si="3"/>
        <v>600000</v>
      </c>
      <c r="G61" s="2">
        <v>0</v>
      </c>
      <c r="H61" s="22"/>
      <c r="I61" s="2" t="s">
        <v>1753</v>
      </c>
      <c r="J61" s="22">
        <v>22</v>
      </c>
      <c r="M61" s="2">
        <v>3</v>
      </c>
      <c r="N61" s="2">
        <v>60</v>
      </c>
      <c r="O61" s="2">
        <v>9</v>
      </c>
      <c r="P61" s="2">
        <v>-1</v>
      </c>
      <c r="Q61" s="2">
        <v>0</v>
      </c>
      <c r="R61" s="2">
        <v>0</v>
      </c>
      <c r="S61" s="2">
        <v>-1</v>
      </c>
      <c r="T61" s="2">
        <v>-1</v>
      </c>
      <c r="U61" s="2">
        <v>-1</v>
      </c>
      <c r="V61" s="2">
        <v>0</v>
      </c>
      <c r="W61" s="2">
        <v>-1</v>
      </c>
      <c r="Y61" s="2">
        <v>1</v>
      </c>
      <c r="Z61" s="2">
        <v>0</v>
      </c>
      <c r="AA61" s="2">
        <v>1</v>
      </c>
      <c r="AB61" s="2">
        <v>999</v>
      </c>
    </row>
    <row r="62" spans="1:28" x14ac:dyDescent="0.25">
      <c r="A62" s="2">
        <v>2205</v>
      </c>
      <c r="B62" s="2" t="s">
        <v>1754</v>
      </c>
      <c r="C62" s="2" t="s">
        <v>1755</v>
      </c>
      <c r="D62" s="21" t="s">
        <v>1756</v>
      </c>
      <c r="E62" s="2">
        <v>700000</v>
      </c>
      <c r="F62" s="2">
        <f t="shared" si="3"/>
        <v>700000</v>
      </c>
      <c r="G62" s="2">
        <v>0</v>
      </c>
      <c r="H62" s="22"/>
      <c r="I62" s="2" t="s">
        <v>1757</v>
      </c>
      <c r="J62" s="22">
        <v>22</v>
      </c>
      <c r="M62" s="2">
        <v>3</v>
      </c>
      <c r="N62" s="2">
        <v>70</v>
      </c>
      <c r="O62" s="2">
        <v>9</v>
      </c>
      <c r="P62" s="2">
        <v>-1</v>
      </c>
      <c r="Q62" s="2">
        <v>0</v>
      </c>
      <c r="R62" s="2">
        <v>0</v>
      </c>
      <c r="S62" s="2">
        <v>-1</v>
      </c>
      <c r="T62" s="2">
        <v>-1</v>
      </c>
      <c r="U62" s="2">
        <v>-1</v>
      </c>
      <c r="V62" s="2">
        <v>0</v>
      </c>
      <c r="W62" s="2">
        <v>-1</v>
      </c>
      <c r="Y62" s="2">
        <v>1</v>
      </c>
      <c r="Z62" s="2">
        <v>0</v>
      </c>
      <c r="AA62" s="2">
        <v>1</v>
      </c>
      <c r="AB62" s="2">
        <v>999</v>
      </c>
    </row>
    <row r="63" spans="1:28" x14ac:dyDescent="0.25">
      <c r="A63" s="2">
        <v>2206</v>
      </c>
      <c r="B63" s="2" t="s">
        <v>1758</v>
      </c>
      <c r="C63" s="2" t="s">
        <v>1759</v>
      </c>
      <c r="D63" s="21" t="s">
        <v>1760</v>
      </c>
      <c r="E63" s="2">
        <v>800000</v>
      </c>
      <c r="F63" s="2">
        <f t="shared" si="3"/>
        <v>800000</v>
      </c>
      <c r="G63" s="2">
        <v>0</v>
      </c>
      <c r="H63" s="22"/>
      <c r="I63" s="2" t="s">
        <v>1761</v>
      </c>
      <c r="J63" s="22">
        <v>22</v>
      </c>
      <c r="M63" s="2">
        <v>3</v>
      </c>
      <c r="N63" s="2">
        <v>80</v>
      </c>
      <c r="O63" s="2">
        <v>9</v>
      </c>
      <c r="P63" s="2">
        <v>-1</v>
      </c>
      <c r="Q63" s="2">
        <v>0</v>
      </c>
      <c r="R63" s="2">
        <v>0</v>
      </c>
      <c r="S63" s="2">
        <v>-1</v>
      </c>
      <c r="T63" s="2">
        <v>-1</v>
      </c>
      <c r="U63" s="2">
        <v>-1</v>
      </c>
      <c r="V63" s="2">
        <v>0</v>
      </c>
      <c r="W63" s="2">
        <v>-1</v>
      </c>
      <c r="Y63" s="2">
        <v>1</v>
      </c>
      <c r="Z63" s="2">
        <v>0</v>
      </c>
      <c r="AA63" s="2">
        <v>1</v>
      </c>
      <c r="AB63" s="2">
        <v>999</v>
      </c>
    </row>
    <row r="64" spans="1:28" x14ac:dyDescent="0.25">
      <c r="A64" s="2">
        <v>2207</v>
      </c>
      <c r="B64" s="2" t="s">
        <v>1762</v>
      </c>
      <c r="C64" s="2" t="s">
        <v>1763</v>
      </c>
      <c r="D64" s="21" t="s">
        <v>1764</v>
      </c>
      <c r="E64" s="2">
        <v>900000</v>
      </c>
      <c r="F64" s="2">
        <f t="shared" si="3"/>
        <v>900000</v>
      </c>
      <c r="G64" s="2">
        <v>0</v>
      </c>
      <c r="H64" s="22"/>
      <c r="I64" s="2" t="s">
        <v>1765</v>
      </c>
      <c r="J64" s="22">
        <v>22</v>
      </c>
      <c r="M64" s="2">
        <v>3</v>
      </c>
      <c r="N64" s="2">
        <v>90</v>
      </c>
      <c r="O64" s="2">
        <v>9</v>
      </c>
      <c r="P64" s="2">
        <v>-1</v>
      </c>
      <c r="Q64" s="2">
        <v>0</v>
      </c>
      <c r="R64" s="2">
        <v>0</v>
      </c>
      <c r="S64" s="2">
        <v>-1</v>
      </c>
      <c r="T64" s="2">
        <v>-1</v>
      </c>
      <c r="U64" s="2">
        <v>-1</v>
      </c>
      <c r="V64" s="2">
        <v>0</v>
      </c>
      <c r="W64" s="2">
        <v>-1</v>
      </c>
      <c r="Y64" s="2">
        <v>1</v>
      </c>
      <c r="Z64" s="2">
        <v>0</v>
      </c>
      <c r="AA64" s="2">
        <v>1</v>
      </c>
      <c r="AB64" s="2">
        <v>999</v>
      </c>
    </row>
    <row r="65" spans="1:28" x14ac:dyDescent="0.25">
      <c r="A65" s="2">
        <v>2208</v>
      </c>
      <c r="B65" s="2" t="s">
        <v>1766</v>
      </c>
      <c r="C65" s="2" t="s">
        <v>1767</v>
      </c>
      <c r="D65" s="21" t="s">
        <v>1768</v>
      </c>
      <c r="E65" s="2">
        <v>1000000</v>
      </c>
      <c r="F65" s="2">
        <f t="shared" si="3"/>
        <v>1000000</v>
      </c>
      <c r="G65" s="2">
        <v>0</v>
      </c>
      <c r="H65" s="22"/>
      <c r="I65" s="2" t="s">
        <v>1769</v>
      </c>
      <c r="J65" s="22">
        <v>22</v>
      </c>
      <c r="M65" s="2">
        <v>3</v>
      </c>
      <c r="N65" s="2">
        <v>100</v>
      </c>
      <c r="O65" s="2">
        <v>9</v>
      </c>
      <c r="P65" s="2">
        <v>-1</v>
      </c>
      <c r="Q65" s="2">
        <v>0</v>
      </c>
      <c r="R65" s="2">
        <v>0</v>
      </c>
      <c r="S65" s="2">
        <v>-1</v>
      </c>
      <c r="T65" s="2">
        <v>-1</v>
      </c>
      <c r="U65" s="2">
        <v>-1</v>
      </c>
      <c r="V65" s="2">
        <v>0</v>
      </c>
      <c r="W65" s="2">
        <v>-1</v>
      </c>
      <c r="Y65" s="2">
        <v>1</v>
      </c>
      <c r="Z65" s="2">
        <v>0</v>
      </c>
      <c r="AA65" s="2">
        <v>1</v>
      </c>
      <c r="AB65" s="2">
        <v>999</v>
      </c>
    </row>
    <row r="66" spans="1:28" x14ac:dyDescent="0.25">
      <c r="A66" s="2">
        <v>2209</v>
      </c>
      <c r="B66" s="2" t="s">
        <v>1770</v>
      </c>
      <c r="C66" s="2" t="s">
        <v>1771</v>
      </c>
      <c r="D66" s="21" t="s">
        <v>1772</v>
      </c>
      <c r="E66" s="2">
        <v>2000000</v>
      </c>
      <c r="F66" s="2">
        <f t="shared" si="3"/>
        <v>2000000</v>
      </c>
      <c r="G66" s="2">
        <v>0</v>
      </c>
      <c r="H66" s="22"/>
      <c r="I66" s="2" t="s">
        <v>1773</v>
      </c>
      <c r="J66" s="22">
        <v>22</v>
      </c>
      <c r="M66" s="2">
        <v>3</v>
      </c>
      <c r="N66" s="2">
        <v>200</v>
      </c>
      <c r="O66" s="2">
        <v>9</v>
      </c>
      <c r="P66" s="2">
        <v>-1</v>
      </c>
      <c r="Q66" s="2">
        <v>0</v>
      </c>
      <c r="R66" s="2">
        <v>0</v>
      </c>
      <c r="S66" s="2">
        <v>-1</v>
      </c>
      <c r="T66" s="2">
        <v>-1</v>
      </c>
      <c r="U66" s="2">
        <v>-1</v>
      </c>
      <c r="V66" s="2">
        <v>0</v>
      </c>
      <c r="W66" s="2">
        <v>-1</v>
      </c>
      <c r="Y66" s="2">
        <v>1</v>
      </c>
      <c r="Z66" s="2">
        <v>0</v>
      </c>
      <c r="AA66" s="2">
        <v>1</v>
      </c>
      <c r="AB66" s="2">
        <v>999</v>
      </c>
    </row>
    <row r="67" spans="1:28" x14ac:dyDescent="0.25">
      <c r="A67" s="2">
        <v>2210</v>
      </c>
      <c r="B67" s="2" t="s">
        <v>1774</v>
      </c>
      <c r="C67" s="2" t="s">
        <v>1775</v>
      </c>
      <c r="D67" s="21" t="s">
        <v>1776</v>
      </c>
      <c r="E67" s="2">
        <v>3000000</v>
      </c>
      <c r="F67" s="2">
        <f t="shared" si="3"/>
        <v>3000000</v>
      </c>
      <c r="G67" s="2">
        <v>0</v>
      </c>
      <c r="H67" s="22"/>
      <c r="I67" s="2" t="s">
        <v>1777</v>
      </c>
      <c r="J67" s="22">
        <v>22</v>
      </c>
      <c r="M67" s="2">
        <v>3</v>
      </c>
      <c r="N67" s="2">
        <v>300</v>
      </c>
      <c r="O67" s="2">
        <v>9</v>
      </c>
      <c r="P67" s="2">
        <v>-1</v>
      </c>
      <c r="Q67" s="2">
        <v>0</v>
      </c>
      <c r="R67" s="2">
        <v>0</v>
      </c>
      <c r="S67" s="2">
        <v>-1</v>
      </c>
      <c r="T67" s="2">
        <v>-1</v>
      </c>
      <c r="U67" s="2">
        <v>-1</v>
      </c>
      <c r="V67" s="2">
        <v>0</v>
      </c>
      <c r="W67" s="2">
        <v>-1</v>
      </c>
      <c r="Y67" s="2">
        <v>1</v>
      </c>
      <c r="Z67" s="2">
        <v>0</v>
      </c>
      <c r="AA67" s="2">
        <v>1</v>
      </c>
      <c r="AB67" s="2">
        <v>999</v>
      </c>
    </row>
    <row r="68" spans="1:28" x14ac:dyDescent="0.35">
      <c r="A68" s="2">
        <v>2300</v>
      </c>
      <c r="B68" s="2" t="s">
        <v>1778</v>
      </c>
      <c r="C68" s="19" t="s">
        <v>1779</v>
      </c>
      <c r="D68" s="2" t="s">
        <v>1780</v>
      </c>
      <c r="E68" s="20">
        <v>20000</v>
      </c>
      <c r="F68" s="2">
        <f t="shared" si="3"/>
        <v>20000</v>
      </c>
      <c r="G68" s="2">
        <v>0</v>
      </c>
      <c r="I68" s="30" t="str">
        <f>C68&amp;"_des"</f>
        <v>lingshi_des</v>
      </c>
      <c r="J68" s="2">
        <v>24</v>
      </c>
      <c r="M68" s="23"/>
      <c r="N68" s="23"/>
      <c r="O68" s="2">
        <v>3</v>
      </c>
      <c r="P68" s="2">
        <v>-1</v>
      </c>
      <c r="Q68" s="2">
        <v>0</v>
      </c>
      <c r="R68" s="2">
        <v>0</v>
      </c>
      <c r="S68" s="2">
        <v>-1</v>
      </c>
      <c r="T68" s="2">
        <v>-1</v>
      </c>
      <c r="U68" s="2">
        <v>-1</v>
      </c>
      <c r="V68" s="2">
        <v>0</v>
      </c>
      <c r="W68" s="2">
        <v>-1</v>
      </c>
      <c r="X68" s="20" t="s">
        <v>1701</v>
      </c>
      <c r="Y68" s="2">
        <v>1</v>
      </c>
      <c r="Z68" s="2">
        <v>0</v>
      </c>
      <c r="AA68" s="2">
        <v>1</v>
      </c>
      <c r="AB68" s="2">
        <v>9999</v>
      </c>
    </row>
    <row r="69" spans="1:28" x14ac:dyDescent="0.35">
      <c r="A69" s="2">
        <v>2301</v>
      </c>
      <c r="B69" s="2" t="s">
        <v>1781</v>
      </c>
      <c r="C69" s="19" t="s">
        <v>1782</v>
      </c>
      <c r="D69" s="2" t="s">
        <v>1783</v>
      </c>
      <c r="E69" s="20">
        <v>10000</v>
      </c>
      <c r="F69" s="2">
        <f t="shared" ref="F69" si="7">E69</f>
        <v>10000</v>
      </c>
      <c r="G69" s="2">
        <v>0</v>
      </c>
      <c r="I69" s="30" t="str">
        <f t="shared" ref="I69:I72" si="8">C69&amp;"_des"</f>
        <v>zhuqueshi_des</v>
      </c>
      <c r="J69" s="2">
        <v>23</v>
      </c>
      <c r="M69" s="23"/>
      <c r="N69" s="23"/>
      <c r="O69" s="2">
        <v>3</v>
      </c>
      <c r="P69" s="2">
        <v>-1</v>
      </c>
      <c r="Q69" s="2">
        <v>0</v>
      </c>
      <c r="R69" s="2">
        <v>0</v>
      </c>
      <c r="S69" s="2">
        <v>-1</v>
      </c>
      <c r="T69" s="2">
        <v>-1</v>
      </c>
      <c r="U69" s="2">
        <v>-1</v>
      </c>
      <c r="V69" s="2">
        <v>0</v>
      </c>
      <c r="W69" s="2">
        <v>-1</v>
      </c>
      <c r="X69" s="20" t="s">
        <v>1696</v>
      </c>
      <c r="Y69" s="2">
        <v>1</v>
      </c>
      <c r="Z69" s="2">
        <v>0</v>
      </c>
      <c r="AA69" s="2">
        <v>1</v>
      </c>
      <c r="AB69" s="2">
        <v>9999</v>
      </c>
    </row>
    <row r="70" spans="1:28" x14ac:dyDescent="0.35">
      <c r="A70" s="2">
        <v>2302</v>
      </c>
      <c r="B70" s="2" t="s">
        <v>1784</v>
      </c>
      <c r="C70" s="19" t="s">
        <v>1785</v>
      </c>
      <c r="D70" s="2" t="s">
        <v>1786</v>
      </c>
      <c r="E70" s="20">
        <v>10000</v>
      </c>
      <c r="F70" s="2">
        <f t="shared" ref="F70:F72" si="9">E70</f>
        <v>10000</v>
      </c>
      <c r="G70" s="2">
        <v>0</v>
      </c>
      <c r="I70" s="30" t="str">
        <f t="shared" si="8"/>
        <v>xuanwushi_des</v>
      </c>
      <c r="J70" s="2">
        <v>23</v>
      </c>
      <c r="M70" s="23"/>
      <c r="N70" s="23"/>
      <c r="O70" s="2">
        <v>3</v>
      </c>
      <c r="P70" s="2">
        <v>-1</v>
      </c>
      <c r="Q70" s="2">
        <v>0</v>
      </c>
      <c r="R70" s="2">
        <v>0</v>
      </c>
      <c r="S70" s="2">
        <v>-1</v>
      </c>
      <c r="T70" s="2">
        <v>-1</v>
      </c>
      <c r="U70" s="2">
        <v>-1</v>
      </c>
      <c r="V70" s="2">
        <v>0</v>
      </c>
      <c r="W70" s="2">
        <v>-1</v>
      </c>
      <c r="X70" s="20" t="s">
        <v>1696</v>
      </c>
      <c r="Y70" s="2">
        <v>1</v>
      </c>
      <c r="Z70" s="2">
        <v>0</v>
      </c>
      <c r="AA70" s="2">
        <v>1</v>
      </c>
      <c r="AB70" s="2">
        <v>9999</v>
      </c>
    </row>
    <row r="71" spans="1:28" x14ac:dyDescent="0.35">
      <c r="A71" s="2">
        <v>2303</v>
      </c>
      <c r="B71" s="2" t="s">
        <v>1787</v>
      </c>
      <c r="C71" s="19" t="s">
        <v>1788</v>
      </c>
      <c r="D71" s="2" t="s">
        <v>1789</v>
      </c>
      <c r="E71" s="20">
        <v>10000</v>
      </c>
      <c r="F71" s="2">
        <f t="shared" si="9"/>
        <v>10000</v>
      </c>
      <c r="G71" s="2">
        <v>0</v>
      </c>
      <c r="I71" s="30" t="str">
        <f t="shared" si="8"/>
        <v>qinglongshi_des</v>
      </c>
      <c r="J71" s="2">
        <v>23</v>
      </c>
      <c r="M71" s="23"/>
      <c r="N71" s="23"/>
      <c r="O71" s="2">
        <v>3</v>
      </c>
      <c r="P71" s="2">
        <v>-1</v>
      </c>
      <c r="Q71" s="2">
        <v>0</v>
      </c>
      <c r="R71" s="2">
        <v>0</v>
      </c>
      <c r="S71" s="2">
        <v>-1</v>
      </c>
      <c r="T71" s="2">
        <v>-1</v>
      </c>
      <c r="U71" s="2">
        <v>-1</v>
      </c>
      <c r="V71" s="2">
        <v>0</v>
      </c>
      <c r="W71" s="2">
        <v>-1</v>
      </c>
      <c r="X71" s="20" t="s">
        <v>1696</v>
      </c>
      <c r="Y71" s="2">
        <v>1</v>
      </c>
      <c r="Z71" s="2">
        <v>0</v>
      </c>
      <c r="AA71" s="2">
        <v>1</v>
      </c>
      <c r="AB71" s="2">
        <v>9999</v>
      </c>
    </row>
    <row r="72" spans="1:28" x14ac:dyDescent="0.35">
      <c r="A72" s="2">
        <v>2304</v>
      </c>
      <c r="B72" s="2" t="s">
        <v>1790</v>
      </c>
      <c r="C72" s="19" t="s">
        <v>1791</v>
      </c>
      <c r="D72" s="2" t="s">
        <v>1792</v>
      </c>
      <c r="E72" s="20">
        <v>10000</v>
      </c>
      <c r="F72" s="2">
        <f t="shared" si="9"/>
        <v>10000</v>
      </c>
      <c r="G72" s="2">
        <v>0</v>
      </c>
      <c r="I72" s="30" t="str">
        <f t="shared" si="8"/>
        <v>baihushi_des</v>
      </c>
      <c r="J72" s="2">
        <v>23</v>
      </c>
      <c r="M72" s="23"/>
      <c r="N72" s="23"/>
      <c r="O72" s="2">
        <v>3</v>
      </c>
      <c r="P72" s="2">
        <v>-1</v>
      </c>
      <c r="Q72" s="2">
        <v>0</v>
      </c>
      <c r="R72" s="2">
        <v>0</v>
      </c>
      <c r="S72" s="2">
        <v>-1</v>
      </c>
      <c r="T72" s="2">
        <v>-1</v>
      </c>
      <c r="U72" s="2">
        <v>-1</v>
      </c>
      <c r="V72" s="2">
        <v>0</v>
      </c>
      <c r="W72" s="2">
        <v>-1</v>
      </c>
      <c r="X72" s="20" t="s">
        <v>1696</v>
      </c>
      <c r="Y72" s="2">
        <v>1</v>
      </c>
      <c r="Z72" s="2">
        <v>0</v>
      </c>
      <c r="AA72" s="2">
        <v>1</v>
      </c>
      <c r="AB72" s="2">
        <v>9999</v>
      </c>
    </row>
  </sheetData>
  <autoFilter ref="A1:AC72"/>
  <phoneticPr fontId="55" type="noConversion"/>
  <conditionalFormatting sqref="D7">
    <cfRule type="containsText" dxfId="548" priority="562" operator="containsText" text=" ">
      <formula>NOT(ISERROR(SEARCH(" ",D7)))</formula>
    </cfRule>
  </conditionalFormatting>
  <conditionalFormatting sqref="B8">
    <cfRule type="containsText" dxfId="547" priority="585" operator="containsText" text=" ">
      <formula>NOT(ISERROR(SEARCH(" ",B8)))</formula>
    </cfRule>
  </conditionalFormatting>
  <conditionalFormatting sqref="B9">
    <cfRule type="containsText" dxfId="546" priority="583" operator="containsText" text=" ">
      <formula>NOT(ISERROR(SEARCH(" ",B9)))</formula>
    </cfRule>
  </conditionalFormatting>
  <conditionalFormatting sqref="D9">
    <cfRule type="containsText" dxfId="545" priority="561" operator="containsText" text=" ">
      <formula>NOT(ISERROR(SEARCH(" ",D9)))</formula>
    </cfRule>
  </conditionalFormatting>
  <conditionalFormatting sqref="B10">
    <cfRule type="containsText" dxfId="544" priority="580" operator="containsText" text=" ">
      <formula>NOT(ISERROR(SEARCH(" ",B10)))</formula>
    </cfRule>
  </conditionalFormatting>
  <conditionalFormatting sqref="D10">
    <cfRule type="containsText" dxfId="543" priority="560" operator="containsText" text=" ">
      <formula>NOT(ISERROR(SEARCH(" ",D10)))</formula>
    </cfRule>
  </conditionalFormatting>
  <conditionalFormatting sqref="X10">
    <cfRule type="containsText" dxfId="542" priority="665" operator="containsText" text=" ">
      <formula>NOT(ISERROR(SEARCH(" ",X10)))</formula>
    </cfRule>
  </conditionalFormatting>
  <conditionalFormatting sqref="Y10">
    <cfRule type="containsText" dxfId="541" priority="664" operator="containsText" text=" ">
      <formula>NOT(ISERROR(SEARCH(" ",Y10)))</formula>
    </cfRule>
  </conditionalFormatting>
  <conditionalFormatting sqref="B11">
    <cfRule type="containsText" dxfId="540" priority="546" operator="containsText" text=" ">
      <formula>NOT(ISERROR(SEARCH(" ",B11)))</formula>
    </cfRule>
  </conditionalFormatting>
  <conditionalFormatting sqref="D11">
    <cfRule type="containsText" dxfId="539" priority="388" operator="containsText" text=" ">
      <formula>NOT(ISERROR(SEARCH(" ",D11)))</formula>
    </cfRule>
  </conditionalFormatting>
  <conditionalFormatting sqref="E11:G11">
    <cfRule type="containsText" dxfId="538" priority="387" operator="containsText" text=" ">
      <formula>NOT(ISERROR(SEARCH(" ",E11)))</formula>
    </cfRule>
  </conditionalFormatting>
  <conditionalFormatting sqref="X11">
    <cfRule type="containsText" dxfId="537" priority="390" operator="containsText" text=" ">
      <formula>NOT(ISERROR(SEARCH(" ",X11)))</formula>
    </cfRule>
  </conditionalFormatting>
  <conditionalFormatting sqref="Y11">
    <cfRule type="containsText" dxfId="536" priority="389" operator="containsText" text=" ">
      <formula>NOT(ISERROR(SEARCH(" ",Y11)))</formula>
    </cfRule>
  </conditionalFormatting>
  <conditionalFormatting sqref="A12">
    <cfRule type="duplicateValues" dxfId="535" priority="7"/>
  </conditionalFormatting>
  <conditionalFormatting sqref="B12">
    <cfRule type="containsText" dxfId="534" priority="8" operator="containsText" text=" ">
      <formula>NOT(ISERROR(SEARCH(" ",B12)))</formula>
    </cfRule>
  </conditionalFormatting>
  <conditionalFormatting sqref="D12">
    <cfRule type="containsText" dxfId="533" priority="2" operator="containsText" text=" ">
      <formula>NOT(ISERROR(SEARCH(" ",D12)))</formula>
    </cfRule>
  </conditionalFormatting>
  <conditionalFormatting sqref="E12:G12">
    <cfRule type="containsText" dxfId="532" priority="1" operator="containsText" text=" ">
      <formula>NOT(ISERROR(SEARCH(" ",E12)))</formula>
    </cfRule>
  </conditionalFormatting>
  <conditionalFormatting sqref="X12">
    <cfRule type="containsText" dxfId="531" priority="4" operator="containsText" text=" ">
      <formula>NOT(ISERROR(SEARCH(" ",X12)))</formula>
    </cfRule>
  </conditionalFormatting>
  <conditionalFormatting sqref="Y12">
    <cfRule type="containsText" dxfId="530" priority="3" operator="containsText" text=" ">
      <formula>NOT(ISERROR(SEARCH(" ",Y12)))</formula>
    </cfRule>
  </conditionalFormatting>
  <conditionalFormatting sqref="P17">
    <cfRule type="containsText" dxfId="529" priority="532" operator="containsText" text=" ">
      <formula>NOT(ISERROR(SEARCH(" ",P17)))</formula>
    </cfRule>
  </conditionalFormatting>
  <conditionalFormatting sqref="R17:S17">
    <cfRule type="containsText" dxfId="528" priority="534" operator="containsText" text=" ">
      <formula>NOT(ISERROR(SEARCH(" ",R17)))</formula>
    </cfRule>
  </conditionalFormatting>
  <conditionalFormatting sqref="V17:W17">
    <cfRule type="containsText" dxfId="527" priority="535" operator="containsText" text=" ">
      <formula>NOT(ISERROR(SEARCH(" ",V17)))</formula>
    </cfRule>
  </conditionalFormatting>
  <conditionalFormatting sqref="A23">
    <cfRule type="duplicateValues" dxfId="526" priority="350"/>
  </conditionalFormatting>
  <conditionalFormatting sqref="B23">
    <cfRule type="containsText" dxfId="525" priority="353" operator="containsText" text=" ">
      <formula>NOT(ISERROR(SEARCH(" ",B23)))</formula>
    </cfRule>
  </conditionalFormatting>
  <conditionalFormatting sqref="D23">
    <cfRule type="containsText" dxfId="524" priority="352" operator="containsText" text=" ">
      <formula>NOT(ISERROR(SEARCH(" ",D23)))</formula>
    </cfRule>
  </conditionalFormatting>
  <conditionalFormatting sqref="E23">
    <cfRule type="containsText" dxfId="523" priority="351" operator="containsText" text=" ">
      <formula>NOT(ISERROR(SEARCH(" ",E23)))</formula>
    </cfRule>
  </conditionalFormatting>
  <conditionalFormatting sqref="F23">
    <cfRule type="containsText" dxfId="522" priority="358" operator="containsText" text=" ">
      <formula>NOT(ISERROR(SEARCH(" ",F23)))</formula>
    </cfRule>
  </conditionalFormatting>
  <conditionalFormatting sqref="G23">
    <cfRule type="containsText" dxfId="521" priority="349" operator="containsText" text=" ">
      <formula>NOT(ISERROR(SEARCH(" ",G23)))</formula>
    </cfRule>
  </conditionalFormatting>
  <conditionalFormatting sqref="H23:P23">
    <cfRule type="containsText" dxfId="520" priority="348" operator="containsText" text=" ">
      <formula>NOT(ISERROR(SEARCH(" ",H23)))</formula>
    </cfRule>
  </conditionalFormatting>
  <conditionalFormatting sqref="Q23">
    <cfRule type="containsText" dxfId="519" priority="356" operator="containsText" text=" ">
      <formula>NOT(ISERROR(SEARCH(" ",Q23)))</formula>
    </cfRule>
  </conditionalFormatting>
  <conditionalFormatting sqref="X23">
    <cfRule type="containsText" dxfId="518" priority="355" operator="containsText" text=" ">
      <formula>NOT(ISERROR(SEARCH(" ",X23)))</formula>
    </cfRule>
  </conditionalFormatting>
  <conditionalFormatting sqref="Y23">
    <cfRule type="containsText" dxfId="517" priority="354" operator="containsText" text=" ">
      <formula>NOT(ISERROR(SEARCH(" ",Y23)))</formula>
    </cfRule>
  </conditionalFormatting>
  <conditionalFormatting sqref="A24">
    <cfRule type="duplicateValues" dxfId="516" priority="79"/>
  </conditionalFormatting>
  <conditionalFormatting sqref="B24">
    <cfRule type="containsText" dxfId="515" priority="82" operator="containsText" text=" ">
      <formula>NOT(ISERROR(SEARCH(" ",B24)))</formula>
    </cfRule>
  </conditionalFormatting>
  <conditionalFormatting sqref="D24">
    <cfRule type="containsText" dxfId="514" priority="81" operator="containsText" text=" ">
      <formula>NOT(ISERROR(SEARCH(" ",D24)))</formula>
    </cfRule>
  </conditionalFormatting>
  <conditionalFormatting sqref="E24">
    <cfRule type="containsText" dxfId="513" priority="80" operator="containsText" text=" ">
      <formula>NOT(ISERROR(SEARCH(" ",E24)))</formula>
    </cfRule>
  </conditionalFormatting>
  <conditionalFormatting sqref="F24">
    <cfRule type="containsText" dxfId="512" priority="87" operator="containsText" text=" ">
      <formula>NOT(ISERROR(SEARCH(" ",F24)))</formula>
    </cfRule>
  </conditionalFormatting>
  <conditionalFormatting sqref="G24">
    <cfRule type="containsText" dxfId="511" priority="78" operator="containsText" text=" ">
      <formula>NOT(ISERROR(SEARCH(" ",G24)))</formula>
    </cfRule>
  </conditionalFormatting>
  <conditionalFormatting sqref="H24:P24">
    <cfRule type="containsText" dxfId="510" priority="77" operator="containsText" text=" ">
      <formula>NOT(ISERROR(SEARCH(" ",H24)))</formula>
    </cfRule>
  </conditionalFormatting>
  <conditionalFormatting sqref="Q24">
    <cfRule type="containsText" dxfId="509" priority="85" operator="containsText" text=" ">
      <formula>NOT(ISERROR(SEARCH(" ",Q24)))</formula>
    </cfRule>
  </conditionalFormatting>
  <conditionalFormatting sqref="X24">
    <cfRule type="containsText" dxfId="508" priority="84" operator="containsText" text=" ">
      <formula>NOT(ISERROR(SEARCH(" ",X24)))</formula>
    </cfRule>
  </conditionalFormatting>
  <conditionalFormatting sqref="Y24">
    <cfRule type="containsText" dxfId="507" priority="83" operator="containsText" text=" ">
      <formula>NOT(ISERROR(SEARCH(" ",Y24)))</formula>
    </cfRule>
  </conditionalFormatting>
  <conditionalFormatting sqref="A25">
    <cfRule type="duplicateValues" dxfId="506" priority="67"/>
  </conditionalFormatting>
  <conditionalFormatting sqref="B25">
    <cfRule type="containsText" dxfId="505" priority="70" operator="containsText" text=" ">
      <formula>NOT(ISERROR(SEARCH(" ",B25)))</formula>
    </cfRule>
  </conditionalFormatting>
  <conditionalFormatting sqref="D25">
    <cfRule type="containsText" dxfId="504" priority="69" operator="containsText" text=" ">
      <formula>NOT(ISERROR(SEARCH(" ",D25)))</formula>
    </cfRule>
  </conditionalFormatting>
  <conditionalFormatting sqref="E25">
    <cfRule type="containsText" dxfId="503" priority="68" operator="containsText" text=" ">
      <formula>NOT(ISERROR(SEARCH(" ",E25)))</formula>
    </cfRule>
  </conditionalFormatting>
  <conditionalFormatting sqref="F25">
    <cfRule type="containsText" dxfId="502" priority="75" operator="containsText" text=" ">
      <formula>NOT(ISERROR(SEARCH(" ",F25)))</formula>
    </cfRule>
  </conditionalFormatting>
  <conditionalFormatting sqref="G25">
    <cfRule type="containsText" dxfId="501" priority="66" operator="containsText" text=" ">
      <formula>NOT(ISERROR(SEARCH(" ",G25)))</formula>
    </cfRule>
  </conditionalFormatting>
  <conditionalFormatting sqref="H25:P25">
    <cfRule type="containsText" dxfId="500" priority="65" operator="containsText" text=" ">
      <formula>NOT(ISERROR(SEARCH(" ",H25)))</formula>
    </cfRule>
  </conditionalFormatting>
  <conditionalFormatting sqref="Q25">
    <cfRule type="containsText" dxfId="499" priority="73" operator="containsText" text=" ">
      <formula>NOT(ISERROR(SEARCH(" ",Q25)))</formula>
    </cfRule>
  </conditionalFormatting>
  <conditionalFormatting sqref="X25">
    <cfRule type="containsText" dxfId="498" priority="72" operator="containsText" text=" ">
      <formula>NOT(ISERROR(SEARCH(" ",X25)))</formula>
    </cfRule>
  </conditionalFormatting>
  <conditionalFormatting sqref="Y25">
    <cfRule type="containsText" dxfId="497" priority="71" operator="containsText" text=" ">
      <formula>NOT(ISERROR(SEARCH(" ",Y25)))</formula>
    </cfRule>
  </conditionalFormatting>
  <conditionalFormatting sqref="B26">
    <cfRule type="containsText" dxfId="496" priority="538" operator="containsText" text=" ">
      <formula>NOT(ISERROR(SEARCH(" ",B26)))</formula>
    </cfRule>
  </conditionalFormatting>
  <conditionalFormatting sqref="D26">
    <cfRule type="containsText" dxfId="495" priority="537" operator="containsText" text=" ">
      <formula>NOT(ISERROR(SEARCH(" ",D26)))</formula>
    </cfRule>
  </conditionalFormatting>
  <conditionalFormatting sqref="E26">
    <cfRule type="containsText" dxfId="494" priority="536" operator="containsText" text=" ">
      <formula>NOT(ISERROR(SEARCH(" ",E26)))</formula>
    </cfRule>
  </conditionalFormatting>
  <conditionalFormatting sqref="Q26">
    <cfRule type="containsText" dxfId="493" priority="541" operator="containsText" text=" ">
      <formula>NOT(ISERROR(SEARCH(" ",Q26)))</formula>
    </cfRule>
  </conditionalFormatting>
  <conditionalFormatting sqref="X26">
    <cfRule type="containsText" dxfId="492" priority="540" operator="containsText" text=" ">
      <formula>NOT(ISERROR(SEARCH(" ",X26)))</formula>
    </cfRule>
  </conditionalFormatting>
  <conditionalFormatting sqref="Y26">
    <cfRule type="containsText" dxfId="491" priority="539" operator="containsText" text=" ">
      <formula>NOT(ISERROR(SEARCH(" ",Y26)))</formula>
    </cfRule>
  </conditionalFormatting>
  <conditionalFormatting sqref="A27">
    <cfRule type="duplicateValues" dxfId="490" priority="433"/>
  </conditionalFormatting>
  <conditionalFormatting sqref="B27">
    <cfRule type="containsText" dxfId="489" priority="436" operator="containsText" text=" ">
      <formula>NOT(ISERROR(SEARCH(" ",B27)))</formula>
    </cfRule>
  </conditionalFormatting>
  <conditionalFormatting sqref="D27">
    <cfRule type="containsText" dxfId="488" priority="435" operator="containsText" text=" ">
      <formula>NOT(ISERROR(SEARCH(" ",D27)))</formula>
    </cfRule>
  </conditionalFormatting>
  <conditionalFormatting sqref="E27">
    <cfRule type="containsText" dxfId="487" priority="434" operator="containsText" text=" ">
      <formula>NOT(ISERROR(SEARCH(" ",E27)))</formula>
    </cfRule>
  </conditionalFormatting>
  <conditionalFormatting sqref="F27">
    <cfRule type="containsText" dxfId="486" priority="441" operator="containsText" text=" ">
      <formula>NOT(ISERROR(SEARCH(" ",F27)))</formula>
    </cfRule>
  </conditionalFormatting>
  <conditionalFormatting sqref="G27">
    <cfRule type="containsText" dxfId="485" priority="432" operator="containsText" text=" ">
      <formula>NOT(ISERROR(SEARCH(" ",G27)))</formula>
    </cfRule>
  </conditionalFormatting>
  <conditionalFormatting sqref="Q27">
    <cfRule type="containsText" dxfId="484" priority="439" operator="containsText" text=" ">
      <formula>NOT(ISERROR(SEARCH(" ",Q27)))</formula>
    </cfRule>
  </conditionalFormatting>
  <conditionalFormatting sqref="X27">
    <cfRule type="containsText" dxfId="483" priority="438" operator="containsText" text=" ">
      <formula>NOT(ISERROR(SEARCH(" ",X27)))</formula>
    </cfRule>
  </conditionalFormatting>
  <conditionalFormatting sqref="Y27">
    <cfRule type="containsText" dxfId="482" priority="437" operator="containsText" text=" ">
      <formula>NOT(ISERROR(SEARCH(" ",Y27)))</formula>
    </cfRule>
  </conditionalFormatting>
  <conditionalFormatting sqref="O29">
    <cfRule type="containsText" dxfId="481" priority="646" operator="containsText" text=" ">
      <formula>NOT(ISERROR(SEARCH(" ",O29)))</formula>
    </cfRule>
  </conditionalFormatting>
  <conditionalFormatting sqref="O30">
    <cfRule type="containsText" dxfId="480" priority="645" operator="containsText" text=" ">
      <formula>NOT(ISERROR(SEARCH(" ",O30)))</formula>
    </cfRule>
  </conditionalFormatting>
  <conditionalFormatting sqref="C31">
    <cfRule type="containsText" dxfId="479" priority="600" operator="containsText" text=" ">
      <formula>NOT(ISERROR(SEARCH(" ",C31)))</formula>
    </cfRule>
  </conditionalFormatting>
  <conditionalFormatting sqref="E31">
    <cfRule type="containsText" dxfId="478" priority="555" operator="containsText" text=" ">
      <formula>NOT(ISERROR(SEARCH(" ",E31)))</formula>
    </cfRule>
  </conditionalFormatting>
  <conditionalFormatting sqref="I31">
    <cfRule type="containsText" dxfId="477" priority="599" operator="containsText" text=" ">
      <formula>NOT(ISERROR(SEARCH(" ",I31)))</formula>
    </cfRule>
  </conditionalFormatting>
  <conditionalFormatting sqref="O31">
    <cfRule type="containsText" dxfId="476" priority="596" operator="containsText" text=" ">
      <formula>NOT(ISERROR(SEARCH(" ",O31)))</formula>
    </cfRule>
  </conditionalFormatting>
  <conditionalFormatting sqref="Q31">
    <cfRule type="containsText" dxfId="475" priority="602" operator="containsText" text=" ">
      <formula>NOT(ISERROR(SEARCH(" ",Q31)))</formula>
    </cfRule>
  </conditionalFormatting>
  <conditionalFormatting sqref="X31">
    <cfRule type="containsText" dxfId="474" priority="598" operator="containsText" text=" ">
      <formula>NOT(ISERROR(SEARCH(" ",X31)))</formula>
    </cfRule>
  </conditionalFormatting>
  <conditionalFormatting sqref="Y31">
    <cfRule type="containsText" dxfId="473" priority="597" operator="containsText" text=" ">
      <formula>NOT(ISERROR(SEARCH(" ",Y31)))</formula>
    </cfRule>
  </conditionalFormatting>
  <conditionalFormatting sqref="AB31">
    <cfRule type="containsText" dxfId="472" priority="595" operator="containsText" text=" ">
      <formula>NOT(ISERROR(SEARCH(" ",AB31)))</formula>
    </cfRule>
  </conditionalFormatting>
  <conditionalFormatting sqref="E32">
    <cfRule type="containsText" dxfId="471" priority="553" operator="containsText" text=" ">
      <formula>NOT(ISERROR(SEARCH(" ",E32)))</formula>
    </cfRule>
  </conditionalFormatting>
  <conditionalFormatting sqref="O32">
    <cfRule type="containsText" dxfId="470" priority="644" operator="containsText" text=" ">
      <formula>NOT(ISERROR(SEARCH(" ",O32)))</formula>
    </cfRule>
  </conditionalFormatting>
  <conditionalFormatting sqref="X32">
    <cfRule type="containsText" dxfId="469" priority="588" operator="containsText" text=" ">
      <formula>NOT(ISERROR(SEARCH(" ",X32)))</formula>
    </cfRule>
  </conditionalFormatting>
  <conditionalFormatting sqref="E33">
    <cfRule type="containsText" dxfId="468" priority="552" operator="containsText" text=" ">
      <formula>NOT(ISERROR(SEARCH(" ",E33)))</formula>
    </cfRule>
  </conditionalFormatting>
  <conditionalFormatting sqref="O33">
    <cfRule type="containsText" dxfId="467" priority="643" operator="containsText" text=" ">
      <formula>NOT(ISERROR(SEARCH(" ",O33)))</formula>
    </cfRule>
  </conditionalFormatting>
  <conditionalFormatting sqref="X33">
    <cfRule type="containsText" dxfId="466" priority="587" operator="containsText" text=" ">
      <formula>NOT(ISERROR(SEARCH(" ",X33)))</formula>
    </cfRule>
  </conditionalFormatting>
  <conditionalFormatting sqref="B34">
    <cfRule type="containsText" dxfId="465" priority="579" operator="containsText" text=" ">
      <formula>NOT(ISERROR(SEARCH(" ",B34)))</formula>
    </cfRule>
  </conditionalFormatting>
  <conditionalFormatting sqref="C34">
    <cfRule type="containsText" dxfId="464" priority="637" operator="containsText" text=" ">
      <formula>NOT(ISERROR(SEARCH(" ",C34)))</formula>
    </cfRule>
  </conditionalFormatting>
  <conditionalFormatting sqref="E34">
    <cfRule type="containsText" dxfId="463" priority="554" operator="containsText" text=" ">
      <formula>NOT(ISERROR(SEARCH(" ",E34)))</formula>
    </cfRule>
  </conditionalFormatting>
  <conditionalFormatting sqref="I34">
    <cfRule type="containsText" dxfId="462" priority="636" operator="containsText" text=" ">
      <formula>NOT(ISERROR(SEARCH(" ",I34)))</formula>
    </cfRule>
  </conditionalFormatting>
  <conditionalFormatting sqref="O34">
    <cfRule type="containsText" dxfId="461" priority="633" operator="containsText" text=" ">
      <formula>NOT(ISERROR(SEARCH(" ",O34)))</formula>
    </cfRule>
  </conditionalFormatting>
  <conditionalFormatting sqref="Q34">
    <cfRule type="containsText" dxfId="460" priority="639" operator="containsText" text=" ">
      <formula>NOT(ISERROR(SEARCH(" ",Q34)))</formula>
    </cfRule>
  </conditionalFormatting>
  <conditionalFormatting sqref="X34">
    <cfRule type="containsText" dxfId="459" priority="589" operator="containsText" text=" ">
      <formula>NOT(ISERROR(SEARCH(" ",X34)))</formula>
    </cfRule>
  </conditionalFormatting>
  <conditionalFormatting sqref="Y34">
    <cfRule type="containsText" dxfId="458" priority="634" operator="containsText" text=" ">
      <formula>NOT(ISERROR(SEARCH(" ",Y34)))</formula>
    </cfRule>
  </conditionalFormatting>
  <conditionalFormatting sqref="AB34">
    <cfRule type="containsText" dxfId="457" priority="632" operator="containsText" text=" ">
      <formula>NOT(ISERROR(SEARCH(" ",AB34)))</formula>
    </cfRule>
  </conditionalFormatting>
  <conditionalFormatting sqref="B35">
    <cfRule type="containsText" dxfId="456" priority="577" operator="containsText" text=" ">
      <formula>NOT(ISERROR(SEARCH(" ",B35)))</formula>
    </cfRule>
  </conditionalFormatting>
  <conditionalFormatting sqref="E35">
    <cfRule type="containsText" dxfId="455" priority="551" operator="containsText" text=" ">
      <formula>NOT(ISERROR(SEARCH(" ",E35)))</formula>
    </cfRule>
  </conditionalFormatting>
  <conditionalFormatting sqref="Q35">
    <cfRule type="containsText" dxfId="454" priority="594" operator="containsText" text=" ">
      <formula>NOT(ISERROR(SEARCH(" ",Q35)))</formula>
    </cfRule>
  </conditionalFormatting>
  <conditionalFormatting sqref="X35">
    <cfRule type="containsText" dxfId="453" priority="592" operator="containsText" text=" ">
      <formula>NOT(ISERROR(SEARCH(" ",X35)))</formula>
    </cfRule>
  </conditionalFormatting>
  <conditionalFormatting sqref="Y35">
    <cfRule type="containsText" dxfId="452" priority="591" operator="containsText" text=" ">
      <formula>NOT(ISERROR(SEARCH(" ",Y35)))</formula>
    </cfRule>
  </conditionalFormatting>
  <conditionalFormatting sqref="O36">
    <cfRule type="containsText" dxfId="451" priority="614" operator="containsText" text=" ">
      <formula>NOT(ISERROR(SEARCH(" ",O36)))</formula>
    </cfRule>
  </conditionalFormatting>
  <conditionalFormatting sqref="P37">
    <cfRule type="containsText" dxfId="450" priority="620" operator="containsText" text=" ">
      <formula>NOT(ISERROR(SEARCH(" ",P37)))</formula>
    </cfRule>
  </conditionalFormatting>
  <conditionalFormatting sqref="R37">
    <cfRule type="containsText" dxfId="449" priority="619" operator="containsText" text=" ">
      <formula>NOT(ISERROR(SEARCH(" ",R37)))</formula>
    </cfRule>
  </conditionalFormatting>
  <conditionalFormatting sqref="S37">
    <cfRule type="containsText" dxfId="448" priority="618" operator="containsText" text=" ">
      <formula>NOT(ISERROR(SEARCH(" ",S37)))</formula>
    </cfRule>
  </conditionalFormatting>
  <conditionalFormatting sqref="T38:U38">
    <cfRule type="containsText" dxfId="447" priority="526" operator="containsText" text=" ">
      <formula>NOT(ISERROR(SEARCH(" ",T38)))</formula>
    </cfRule>
  </conditionalFormatting>
  <conditionalFormatting sqref="V38:W38">
    <cfRule type="containsText" dxfId="446" priority="529" operator="containsText" text=" ">
      <formula>NOT(ISERROR(SEARCH(" ",V38)))</formula>
    </cfRule>
  </conditionalFormatting>
  <conditionalFormatting sqref="AB38">
    <cfRule type="containsText" dxfId="445" priority="525" operator="containsText" text=" ">
      <formula>NOT(ISERROR(SEARCH(" ",AB38)))</formula>
    </cfRule>
  </conditionalFormatting>
  <conditionalFormatting sqref="A39">
    <cfRule type="duplicateValues" dxfId="444" priority="445"/>
  </conditionalFormatting>
  <conditionalFormatting sqref="F39">
    <cfRule type="containsText" dxfId="443" priority="451" operator="containsText" text=" ">
      <formula>NOT(ISERROR(SEARCH(" ",F39)))</formula>
    </cfRule>
  </conditionalFormatting>
  <conditionalFormatting sqref="G39">
    <cfRule type="containsText" dxfId="442" priority="444" operator="containsText" text=" ">
      <formula>NOT(ISERROR(SEARCH(" ",G39)))</formula>
    </cfRule>
  </conditionalFormatting>
  <conditionalFormatting sqref="T39:U39">
    <cfRule type="containsText" dxfId="441" priority="447" operator="containsText" text=" ">
      <formula>NOT(ISERROR(SEARCH(" ",T39)))</formula>
    </cfRule>
  </conditionalFormatting>
  <conditionalFormatting sqref="V39:W39">
    <cfRule type="containsText" dxfId="440" priority="443" operator="containsText" text=" ">
      <formula>NOT(ISERROR(SEARCH(" ",V39)))</formula>
    </cfRule>
  </conditionalFormatting>
  <conditionalFormatting sqref="AB39">
    <cfRule type="containsText" dxfId="439" priority="446" operator="containsText" text=" ">
      <formula>NOT(ISERROR(SEARCH(" ",AB39)))</formula>
    </cfRule>
  </conditionalFormatting>
  <conditionalFormatting sqref="A40">
    <cfRule type="duplicateValues" dxfId="438" priority="424"/>
  </conditionalFormatting>
  <conditionalFormatting sqref="F40">
    <cfRule type="containsText" dxfId="437" priority="430" operator="containsText" text=" ">
      <formula>NOT(ISERROR(SEARCH(" ",F40)))</formula>
    </cfRule>
  </conditionalFormatting>
  <conditionalFormatting sqref="G40">
    <cfRule type="containsText" dxfId="436" priority="423" operator="containsText" text=" ">
      <formula>NOT(ISERROR(SEARCH(" ",G40)))</formula>
    </cfRule>
  </conditionalFormatting>
  <conditionalFormatting sqref="T40:U40">
    <cfRule type="containsText" dxfId="435" priority="426" operator="containsText" text=" ">
      <formula>NOT(ISERROR(SEARCH(" ",T40)))</formula>
    </cfRule>
  </conditionalFormatting>
  <conditionalFormatting sqref="V40:W40">
    <cfRule type="containsText" dxfId="434" priority="429" operator="containsText" text=" ">
      <formula>NOT(ISERROR(SEARCH(" ",V40)))</formula>
    </cfRule>
  </conditionalFormatting>
  <conditionalFormatting sqref="A41">
    <cfRule type="duplicateValues" dxfId="433" priority="415"/>
  </conditionalFormatting>
  <conditionalFormatting sqref="F41">
    <cfRule type="containsText" dxfId="432" priority="421" operator="containsText" text=" ">
      <formula>NOT(ISERROR(SEARCH(" ",F41)))</formula>
    </cfRule>
  </conditionalFormatting>
  <conditionalFormatting sqref="G41">
    <cfRule type="containsText" dxfId="431" priority="414" operator="containsText" text=" ">
      <formula>NOT(ISERROR(SEARCH(" ",G41)))</formula>
    </cfRule>
  </conditionalFormatting>
  <conditionalFormatting sqref="T41:U41">
    <cfRule type="containsText" dxfId="430" priority="417" operator="containsText" text=" ">
      <formula>NOT(ISERROR(SEARCH(" ",T41)))</formula>
    </cfRule>
  </conditionalFormatting>
  <conditionalFormatting sqref="V41:W41">
    <cfRule type="containsText" dxfId="429" priority="420" operator="containsText" text=" ">
      <formula>NOT(ISERROR(SEARCH(" ",V41)))</formula>
    </cfRule>
  </conditionalFormatting>
  <conditionalFormatting sqref="A42">
    <cfRule type="duplicateValues" dxfId="428" priority="406"/>
  </conditionalFormatting>
  <conditionalFormatting sqref="F42">
    <cfRule type="containsText" dxfId="427" priority="412" operator="containsText" text=" ">
      <formula>NOT(ISERROR(SEARCH(" ",F42)))</formula>
    </cfRule>
  </conditionalFormatting>
  <conditionalFormatting sqref="G42">
    <cfRule type="containsText" dxfId="426" priority="405" operator="containsText" text=" ">
      <formula>NOT(ISERROR(SEARCH(" ",G42)))</formula>
    </cfRule>
  </conditionalFormatting>
  <conditionalFormatting sqref="T42:U42">
    <cfRule type="containsText" dxfId="425" priority="408" operator="containsText" text=" ">
      <formula>NOT(ISERROR(SEARCH(" ",T42)))</formula>
    </cfRule>
  </conditionalFormatting>
  <conditionalFormatting sqref="V42:W42">
    <cfRule type="containsText" dxfId="424" priority="411" operator="containsText" text=" ">
      <formula>NOT(ISERROR(SEARCH(" ",V42)))</formula>
    </cfRule>
  </conditionalFormatting>
  <conditionalFormatting sqref="B43">
    <cfRule type="containsText" dxfId="423" priority="519" operator="containsText" text=" ">
      <formula>NOT(ISERROR(SEARCH(" ",B43)))</formula>
    </cfRule>
  </conditionalFormatting>
  <conditionalFormatting sqref="D43">
    <cfRule type="containsText" dxfId="422" priority="518" operator="containsText" text=" ">
      <formula>NOT(ISERROR(SEARCH(" ",D43)))</formula>
    </cfRule>
  </conditionalFormatting>
  <conditionalFormatting sqref="E43">
    <cfRule type="containsText" dxfId="421" priority="517" operator="containsText" text=" ">
      <formula>NOT(ISERROR(SEARCH(" ",E43)))</formula>
    </cfRule>
  </conditionalFormatting>
  <conditionalFormatting sqref="X43">
    <cfRule type="containsText" dxfId="420" priority="516" operator="containsText" text=" ">
      <formula>NOT(ISERROR(SEARCH(" ",X43)))</formula>
    </cfRule>
  </conditionalFormatting>
  <conditionalFormatting sqref="Y43">
    <cfRule type="containsText" dxfId="419" priority="520" operator="containsText" text=" ">
      <formula>NOT(ISERROR(SEARCH(" ",Y43)))</formula>
    </cfRule>
  </conditionalFormatting>
  <conditionalFormatting sqref="A44">
    <cfRule type="duplicateValues" dxfId="418" priority="394"/>
  </conditionalFormatting>
  <conditionalFormatting sqref="B44">
    <cfRule type="containsText" dxfId="417" priority="398" operator="containsText" text=" ">
      <formula>NOT(ISERROR(SEARCH(" ",B44)))</formula>
    </cfRule>
  </conditionalFormatting>
  <conditionalFormatting sqref="D44">
    <cfRule type="containsText" dxfId="416" priority="397" operator="containsText" text=" ">
      <formula>NOT(ISERROR(SEARCH(" ",D44)))</formula>
    </cfRule>
  </conditionalFormatting>
  <conditionalFormatting sqref="E44">
    <cfRule type="containsText" dxfId="415" priority="396" operator="containsText" text=" ">
      <formula>NOT(ISERROR(SEARCH(" ",E44)))</formula>
    </cfRule>
  </conditionalFormatting>
  <conditionalFormatting sqref="F44">
    <cfRule type="containsText" dxfId="414" priority="403" operator="containsText" text=" ">
      <formula>NOT(ISERROR(SEARCH(" ",F44)))</formula>
    </cfRule>
  </conditionalFormatting>
  <conditionalFormatting sqref="G44">
    <cfRule type="containsText" dxfId="413" priority="393" operator="containsText" text=" ">
      <formula>NOT(ISERROR(SEARCH(" ",G44)))</formula>
    </cfRule>
  </conditionalFormatting>
  <conditionalFormatting sqref="Q44">
    <cfRule type="containsText" dxfId="412" priority="400" operator="containsText" text=" ">
      <formula>NOT(ISERROR(SEARCH(" ",Q44)))</formula>
    </cfRule>
  </conditionalFormatting>
  <conditionalFormatting sqref="T44:U44">
    <cfRule type="containsText" dxfId="411" priority="402" operator="containsText" text=" ">
      <formula>NOT(ISERROR(SEARCH(" ",T44)))</formula>
    </cfRule>
  </conditionalFormatting>
  <conditionalFormatting sqref="X44">
    <cfRule type="containsText" dxfId="410" priority="395" operator="containsText" text=" ">
      <formula>NOT(ISERROR(SEARCH(" ",X44)))</formula>
    </cfRule>
  </conditionalFormatting>
  <conditionalFormatting sqref="Y44">
    <cfRule type="containsText" dxfId="409" priority="399" operator="containsText" text=" ">
      <formula>NOT(ISERROR(SEARCH(" ",Y44)))</formula>
    </cfRule>
  </conditionalFormatting>
  <conditionalFormatting sqref="F49">
    <cfRule type="containsText" dxfId="408" priority="505" operator="containsText" text=" ">
      <formula>NOT(ISERROR(SEARCH(" ",F49)))</formula>
    </cfRule>
  </conditionalFormatting>
  <conditionalFormatting sqref="P49">
    <cfRule type="containsText" dxfId="407" priority="504" operator="containsText" text=" ">
      <formula>NOT(ISERROR(SEARCH(" ",P49)))</formula>
    </cfRule>
  </conditionalFormatting>
  <conditionalFormatting sqref="Q49">
    <cfRule type="containsText" dxfId="406" priority="503" operator="containsText" text=" ">
      <formula>NOT(ISERROR(SEARCH(" ",Q49)))</formula>
    </cfRule>
  </conditionalFormatting>
  <conditionalFormatting sqref="R49">
    <cfRule type="containsText" dxfId="405" priority="502" operator="containsText" text=" ">
      <formula>NOT(ISERROR(SEARCH(" ",R49)))</formula>
    </cfRule>
  </conditionalFormatting>
  <conditionalFormatting sqref="Z49">
    <cfRule type="containsText" dxfId="404" priority="501" operator="containsText" text=" ">
      <formula>NOT(ISERROR(SEARCH(" ",Z49)))</formula>
    </cfRule>
  </conditionalFormatting>
  <conditionalFormatting sqref="AB49">
    <cfRule type="containsText" dxfId="403" priority="500" operator="containsText" text=" ">
      <formula>NOT(ISERROR(SEARCH(" ",AB49)))</formula>
    </cfRule>
  </conditionalFormatting>
  <conditionalFormatting sqref="F50">
    <cfRule type="containsText" dxfId="402" priority="491" operator="containsText" text=" ">
      <formula>NOT(ISERROR(SEARCH(" ",F50)))</formula>
    </cfRule>
  </conditionalFormatting>
  <conditionalFormatting sqref="P50">
    <cfRule type="containsText" dxfId="401" priority="490" operator="containsText" text=" ">
      <formula>NOT(ISERROR(SEARCH(" ",P50)))</formula>
    </cfRule>
  </conditionalFormatting>
  <conditionalFormatting sqref="Q50">
    <cfRule type="containsText" dxfId="400" priority="489" operator="containsText" text=" ">
      <formula>NOT(ISERROR(SEARCH(" ",Q50)))</formula>
    </cfRule>
  </conditionalFormatting>
  <conditionalFormatting sqref="R50">
    <cfRule type="containsText" dxfId="399" priority="488" operator="containsText" text=" ">
      <formula>NOT(ISERROR(SEARCH(" ",R50)))</formula>
    </cfRule>
  </conditionalFormatting>
  <conditionalFormatting sqref="S50">
    <cfRule type="containsText" dxfId="398" priority="495" operator="containsText" text=" ">
      <formula>NOT(ISERROR(SEARCH(" ",S50)))</formula>
    </cfRule>
  </conditionalFormatting>
  <conditionalFormatting sqref="T50:U50">
    <cfRule type="containsText" dxfId="397" priority="496" operator="containsText" text=" ">
      <formula>NOT(ISERROR(SEARCH(" ",T50)))</formula>
    </cfRule>
  </conditionalFormatting>
  <conditionalFormatting sqref="V50:W50">
    <cfRule type="containsText" dxfId="396" priority="494" operator="containsText" text=" ">
      <formula>NOT(ISERROR(SEARCH(" ",V50)))</formula>
    </cfRule>
  </conditionalFormatting>
  <conditionalFormatting sqref="Z50">
    <cfRule type="containsText" dxfId="395" priority="487" operator="containsText" text=" ">
      <formula>NOT(ISERROR(SEARCH(" ",Z50)))</formula>
    </cfRule>
  </conditionalFormatting>
  <conditionalFormatting sqref="AB50">
    <cfRule type="containsText" dxfId="394" priority="486" operator="containsText" text=" ">
      <formula>NOT(ISERROR(SEARCH(" ",AB50)))</formula>
    </cfRule>
  </conditionalFormatting>
  <conditionalFormatting sqref="F51">
    <cfRule type="containsText" dxfId="393" priority="477" operator="containsText" text=" ">
      <formula>NOT(ISERROR(SEARCH(" ",F51)))</formula>
    </cfRule>
  </conditionalFormatting>
  <conditionalFormatting sqref="P51">
    <cfRule type="containsText" dxfId="392" priority="476" operator="containsText" text=" ">
      <formula>NOT(ISERROR(SEARCH(" ",P51)))</formula>
    </cfRule>
  </conditionalFormatting>
  <conditionalFormatting sqref="Q51">
    <cfRule type="containsText" dxfId="391" priority="475" operator="containsText" text=" ">
      <formula>NOT(ISERROR(SEARCH(" ",Q51)))</formula>
    </cfRule>
  </conditionalFormatting>
  <conditionalFormatting sqref="R51">
    <cfRule type="containsText" dxfId="390" priority="474" operator="containsText" text=" ">
      <formula>NOT(ISERROR(SEARCH(" ",R51)))</formula>
    </cfRule>
  </conditionalFormatting>
  <conditionalFormatting sqref="S51">
    <cfRule type="containsText" dxfId="389" priority="481" operator="containsText" text=" ">
      <formula>NOT(ISERROR(SEARCH(" ",S51)))</formula>
    </cfRule>
  </conditionalFormatting>
  <conditionalFormatting sqref="T51:U51">
    <cfRule type="containsText" dxfId="388" priority="482" operator="containsText" text=" ">
      <formula>NOT(ISERROR(SEARCH(" ",T51)))</formula>
    </cfRule>
  </conditionalFormatting>
  <conditionalFormatting sqref="V51:W51">
    <cfRule type="containsText" dxfId="387" priority="480" operator="containsText" text=" ">
      <formula>NOT(ISERROR(SEARCH(" ",V51)))</formula>
    </cfRule>
  </conditionalFormatting>
  <conditionalFormatting sqref="Z51">
    <cfRule type="containsText" dxfId="386" priority="473" operator="containsText" text=" ">
      <formula>NOT(ISERROR(SEARCH(" ",Z51)))</formula>
    </cfRule>
  </conditionalFormatting>
  <conditionalFormatting sqref="AB51">
    <cfRule type="containsText" dxfId="385" priority="472" operator="containsText" text=" ">
      <formula>NOT(ISERROR(SEARCH(" ",AB51)))</formula>
    </cfRule>
  </conditionalFormatting>
  <conditionalFormatting sqref="F52">
    <cfRule type="containsText" dxfId="384" priority="463" operator="containsText" text=" ">
      <formula>NOT(ISERROR(SEARCH(" ",F52)))</formula>
    </cfRule>
  </conditionalFormatting>
  <conditionalFormatting sqref="P52">
    <cfRule type="containsText" dxfId="383" priority="462" operator="containsText" text=" ">
      <formula>NOT(ISERROR(SEARCH(" ",P52)))</formula>
    </cfRule>
  </conditionalFormatting>
  <conditionalFormatting sqref="Q52">
    <cfRule type="containsText" dxfId="382" priority="461" operator="containsText" text=" ">
      <formula>NOT(ISERROR(SEARCH(" ",Q52)))</formula>
    </cfRule>
  </conditionalFormatting>
  <conditionalFormatting sqref="R52">
    <cfRule type="containsText" dxfId="381" priority="460" operator="containsText" text=" ">
      <formula>NOT(ISERROR(SEARCH(" ",R52)))</formula>
    </cfRule>
  </conditionalFormatting>
  <conditionalFormatting sqref="S52">
    <cfRule type="containsText" dxfId="380" priority="467" operator="containsText" text=" ">
      <formula>NOT(ISERROR(SEARCH(" ",S52)))</formula>
    </cfRule>
  </conditionalFormatting>
  <conditionalFormatting sqref="T52:U52">
    <cfRule type="containsText" dxfId="379" priority="468" operator="containsText" text=" ">
      <formula>NOT(ISERROR(SEARCH(" ",T52)))</formula>
    </cfRule>
  </conditionalFormatting>
  <conditionalFormatting sqref="V52:W52">
    <cfRule type="containsText" dxfId="378" priority="466" operator="containsText" text=" ">
      <formula>NOT(ISERROR(SEARCH(" ",V52)))</formula>
    </cfRule>
  </conditionalFormatting>
  <conditionalFormatting sqref="Z52">
    <cfRule type="containsText" dxfId="377" priority="459" operator="containsText" text=" ">
      <formula>NOT(ISERROR(SEARCH(" ",Z52)))</formula>
    </cfRule>
  </conditionalFormatting>
  <conditionalFormatting sqref="AB52">
    <cfRule type="containsText" dxfId="376" priority="458" operator="containsText" text=" ">
      <formula>NOT(ISERROR(SEARCH(" ",AB52)))</formula>
    </cfRule>
  </conditionalFormatting>
  <conditionalFormatting sqref="A53">
    <cfRule type="duplicateValues" dxfId="375" priority="385"/>
  </conditionalFormatting>
  <conditionalFormatting sqref="B53">
    <cfRule type="containsText" dxfId="374" priority="384" operator="containsText" text=" ">
      <formula>NOT(ISERROR(SEARCH(" ",B53)))</formula>
    </cfRule>
  </conditionalFormatting>
  <conditionalFormatting sqref="F53">
    <cfRule type="containsText" dxfId="373" priority="379" operator="containsText" text=" ">
      <formula>NOT(ISERROR(SEARCH(" ",F53)))</formula>
    </cfRule>
  </conditionalFormatting>
  <conditionalFormatting sqref="P53">
    <cfRule type="containsText" dxfId="372" priority="378" operator="containsText" text=" ">
      <formula>NOT(ISERROR(SEARCH(" ",P53)))</formula>
    </cfRule>
  </conditionalFormatting>
  <conditionalFormatting sqref="Q53">
    <cfRule type="containsText" dxfId="371" priority="377" operator="containsText" text=" ">
      <formula>NOT(ISERROR(SEARCH(" ",Q53)))</formula>
    </cfRule>
  </conditionalFormatting>
  <conditionalFormatting sqref="R53">
    <cfRule type="containsText" dxfId="370" priority="376" operator="containsText" text=" ">
      <formula>NOT(ISERROR(SEARCH(" ",R53)))</formula>
    </cfRule>
  </conditionalFormatting>
  <conditionalFormatting sqref="S53">
    <cfRule type="containsText" dxfId="369" priority="381" operator="containsText" text=" ">
      <formula>NOT(ISERROR(SEARCH(" ",S53)))</formula>
    </cfRule>
  </conditionalFormatting>
  <conditionalFormatting sqref="T53:U53">
    <cfRule type="containsText" dxfId="368" priority="382" operator="containsText" text=" ">
      <formula>NOT(ISERROR(SEARCH(" ",T53)))</formula>
    </cfRule>
  </conditionalFormatting>
  <conditionalFormatting sqref="V53:W53">
    <cfRule type="containsText" dxfId="367" priority="380" operator="containsText" text=" ">
      <formula>NOT(ISERROR(SEARCH(" ",V53)))</formula>
    </cfRule>
  </conditionalFormatting>
  <conditionalFormatting sqref="X53">
    <cfRule type="containsText" dxfId="366" priority="372" operator="containsText" text=" ">
      <formula>NOT(ISERROR(SEARCH(" ",X53)))</formula>
    </cfRule>
  </conditionalFormatting>
  <conditionalFormatting sqref="Y53">
    <cfRule type="containsText" dxfId="365" priority="373" operator="containsText" text=" ">
      <formula>NOT(ISERROR(SEARCH(" ",Y53)))</formula>
    </cfRule>
  </conditionalFormatting>
  <conditionalFormatting sqref="Z53">
    <cfRule type="containsText" dxfId="364" priority="375" operator="containsText" text=" ">
      <formula>NOT(ISERROR(SEARCH(" ",Z53)))</formula>
    </cfRule>
  </conditionalFormatting>
  <conditionalFormatting sqref="AB53">
    <cfRule type="containsText" dxfId="363" priority="374" operator="containsText" text=" ">
      <formula>NOT(ISERROR(SEARCH(" ",AB53)))</formula>
    </cfRule>
  </conditionalFormatting>
  <conditionalFormatting sqref="A54">
    <cfRule type="duplicateValues" dxfId="362" priority="47"/>
    <cfRule type="duplicateValues" dxfId="361" priority="61"/>
  </conditionalFormatting>
  <conditionalFormatting sqref="B54">
    <cfRule type="containsText" dxfId="360" priority="60" operator="containsText" text=" ">
      <formula>NOT(ISERROR(SEARCH(" ",B54)))</formula>
    </cfRule>
  </conditionalFormatting>
  <conditionalFormatting sqref="F54">
    <cfRule type="containsText" dxfId="359" priority="55" operator="containsText" text=" ">
      <formula>NOT(ISERROR(SEARCH(" ",F54)))</formula>
    </cfRule>
  </conditionalFormatting>
  <conditionalFormatting sqref="H54:J54">
    <cfRule type="containsText" dxfId="358" priority="64" operator="containsText" text=" ">
      <formula>NOT(ISERROR(SEARCH(" ",H54)))</formula>
    </cfRule>
  </conditionalFormatting>
  <conditionalFormatting sqref="P54">
    <cfRule type="containsText" dxfId="357" priority="54" operator="containsText" text=" ">
      <formula>NOT(ISERROR(SEARCH(" ",P54)))</formula>
    </cfRule>
  </conditionalFormatting>
  <conditionalFormatting sqref="Q54">
    <cfRule type="containsText" dxfId="356" priority="53" operator="containsText" text=" ">
      <formula>NOT(ISERROR(SEARCH(" ",Q54)))</formula>
    </cfRule>
  </conditionalFormatting>
  <conditionalFormatting sqref="R54">
    <cfRule type="containsText" dxfId="355" priority="52" operator="containsText" text=" ">
      <formula>NOT(ISERROR(SEARCH(" ",R54)))</formula>
    </cfRule>
  </conditionalFormatting>
  <conditionalFormatting sqref="S54">
    <cfRule type="containsText" dxfId="354" priority="57" operator="containsText" text=" ">
      <formula>NOT(ISERROR(SEARCH(" ",S54)))</formula>
    </cfRule>
  </conditionalFormatting>
  <conditionalFormatting sqref="T54:U54">
    <cfRule type="containsText" dxfId="353" priority="58" operator="containsText" text=" ">
      <formula>NOT(ISERROR(SEARCH(" ",T54)))</formula>
    </cfRule>
  </conditionalFormatting>
  <conditionalFormatting sqref="V54:W54">
    <cfRule type="containsText" dxfId="352" priority="56" operator="containsText" text=" ">
      <formula>NOT(ISERROR(SEARCH(" ",V54)))</formula>
    </cfRule>
  </conditionalFormatting>
  <conditionalFormatting sqref="X54">
    <cfRule type="containsText" dxfId="351" priority="48" operator="containsText" text=" ">
      <formula>NOT(ISERROR(SEARCH(" ",X54)))</formula>
    </cfRule>
  </conditionalFormatting>
  <conditionalFormatting sqref="Y54">
    <cfRule type="containsText" dxfId="350" priority="49" operator="containsText" text=" ">
      <formula>NOT(ISERROR(SEARCH(" ",Y54)))</formula>
    </cfRule>
  </conditionalFormatting>
  <conditionalFormatting sqref="Z54">
    <cfRule type="containsText" dxfId="349" priority="51" operator="containsText" text=" ">
      <formula>NOT(ISERROR(SEARCH(" ",Z54)))</formula>
    </cfRule>
  </conditionalFormatting>
  <conditionalFormatting sqref="AB54">
    <cfRule type="containsText" dxfId="348" priority="50" operator="containsText" text=" ">
      <formula>NOT(ISERROR(SEARCH(" ",AB54)))</formula>
    </cfRule>
  </conditionalFormatting>
  <conditionalFormatting sqref="A55">
    <cfRule type="duplicateValues" dxfId="347" priority="29"/>
    <cfRule type="duplicateValues" dxfId="346" priority="43"/>
  </conditionalFormatting>
  <conditionalFormatting sqref="B55">
    <cfRule type="containsText" dxfId="345" priority="42" operator="containsText" text=" ">
      <formula>NOT(ISERROR(SEARCH(" ",B55)))</formula>
    </cfRule>
  </conditionalFormatting>
  <conditionalFormatting sqref="D55">
    <cfRule type="containsText" dxfId="344" priority="28" operator="containsText" text=" ">
      <formula>NOT(ISERROR(SEARCH(" ",D55)))</formula>
    </cfRule>
  </conditionalFormatting>
  <conditionalFormatting sqref="F55">
    <cfRule type="containsText" dxfId="343" priority="37" operator="containsText" text=" ">
      <formula>NOT(ISERROR(SEARCH(" ",F55)))</formula>
    </cfRule>
  </conditionalFormatting>
  <conditionalFormatting sqref="H55:J55">
    <cfRule type="containsText" dxfId="342" priority="46" operator="containsText" text=" ">
      <formula>NOT(ISERROR(SEARCH(" ",H55)))</formula>
    </cfRule>
  </conditionalFormatting>
  <conditionalFormatting sqref="P55">
    <cfRule type="containsText" dxfId="341" priority="36" operator="containsText" text=" ">
      <formula>NOT(ISERROR(SEARCH(" ",P55)))</formula>
    </cfRule>
  </conditionalFormatting>
  <conditionalFormatting sqref="Q55">
    <cfRule type="containsText" dxfId="340" priority="35" operator="containsText" text=" ">
      <formula>NOT(ISERROR(SEARCH(" ",Q55)))</formula>
    </cfRule>
  </conditionalFormatting>
  <conditionalFormatting sqref="R55">
    <cfRule type="containsText" dxfId="339" priority="34" operator="containsText" text=" ">
      <formula>NOT(ISERROR(SEARCH(" ",R55)))</formula>
    </cfRule>
  </conditionalFormatting>
  <conditionalFormatting sqref="S55">
    <cfRule type="containsText" dxfId="338" priority="39" operator="containsText" text=" ">
      <formula>NOT(ISERROR(SEARCH(" ",S55)))</formula>
    </cfRule>
  </conditionalFormatting>
  <conditionalFormatting sqref="T55:U55">
    <cfRule type="containsText" dxfId="337" priority="40" operator="containsText" text=" ">
      <formula>NOT(ISERROR(SEARCH(" ",T55)))</formula>
    </cfRule>
  </conditionalFormatting>
  <conditionalFormatting sqref="V55:W55">
    <cfRule type="containsText" dxfId="336" priority="38" operator="containsText" text=" ">
      <formula>NOT(ISERROR(SEARCH(" ",V55)))</formula>
    </cfRule>
  </conditionalFormatting>
  <conditionalFormatting sqref="X55">
    <cfRule type="containsText" dxfId="335" priority="30" operator="containsText" text=" ">
      <formula>NOT(ISERROR(SEARCH(" ",X55)))</formula>
    </cfRule>
  </conditionalFormatting>
  <conditionalFormatting sqref="Y55">
    <cfRule type="containsText" dxfId="334" priority="31" operator="containsText" text=" ">
      <formula>NOT(ISERROR(SEARCH(" ",Y55)))</formula>
    </cfRule>
  </conditionalFormatting>
  <conditionalFormatting sqref="Z55">
    <cfRule type="containsText" dxfId="333" priority="33" operator="containsText" text=" ">
      <formula>NOT(ISERROR(SEARCH(" ",Z55)))</formula>
    </cfRule>
  </conditionalFormatting>
  <conditionalFormatting sqref="AB55">
    <cfRule type="containsText" dxfId="332" priority="32" operator="containsText" text=" ">
      <formula>NOT(ISERROR(SEARCH(" ",AB55)))</formula>
    </cfRule>
  </conditionalFormatting>
  <conditionalFormatting sqref="A56">
    <cfRule type="duplicateValues" dxfId="331" priority="10"/>
    <cfRule type="duplicateValues" dxfId="330" priority="24"/>
  </conditionalFormatting>
  <conditionalFormatting sqref="B56">
    <cfRule type="containsText" dxfId="329" priority="23" operator="containsText" text=" ">
      <formula>NOT(ISERROR(SEARCH(" ",B56)))</formula>
    </cfRule>
  </conditionalFormatting>
  <conditionalFormatting sqref="F56">
    <cfRule type="containsText" dxfId="328" priority="18" operator="containsText" text=" ">
      <formula>NOT(ISERROR(SEARCH(" ",F56)))</formula>
    </cfRule>
  </conditionalFormatting>
  <conditionalFormatting sqref="H56:J56">
    <cfRule type="containsText" dxfId="327" priority="27" operator="containsText" text=" ">
      <formula>NOT(ISERROR(SEARCH(" ",H56)))</formula>
    </cfRule>
  </conditionalFormatting>
  <conditionalFormatting sqref="P56">
    <cfRule type="containsText" dxfId="326" priority="17" operator="containsText" text=" ">
      <formula>NOT(ISERROR(SEARCH(" ",P56)))</formula>
    </cfRule>
  </conditionalFormatting>
  <conditionalFormatting sqref="Q56">
    <cfRule type="containsText" dxfId="325" priority="16" operator="containsText" text=" ">
      <formula>NOT(ISERROR(SEARCH(" ",Q56)))</formula>
    </cfRule>
  </conditionalFormatting>
  <conditionalFormatting sqref="R56">
    <cfRule type="containsText" dxfId="324" priority="15" operator="containsText" text=" ">
      <formula>NOT(ISERROR(SEARCH(" ",R56)))</formula>
    </cfRule>
  </conditionalFormatting>
  <conditionalFormatting sqref="S56">
    <cfRule type="containsText" dxfId="323" priority="20" operator="containsText" text=" ">
      <formula>NOT(ISERROR(SEARCH(" ",S56)))</formula>
    </cfRule>
  </conditionalFormatting>
  <conditionalFormatting sqref="T56:U56">
    <cfRule type="containsText" dxfId="322" priority="21" operator="containsText" text=" ">
      <formula>NOT(ISERROR(SEARCH(" ",T56)))</formula>
    </cfRule>
  </conditionalFormatting>
  <conditionalFormatting sqref="V56:W56">
    <cfRule type="containsText" dxfId="321" priority="19" operator="containsText" text=" ">
      <formula>NOT(ISERROR(SEARCH(" ",V56)))</formula>
    </cfRule>
  </conditionalFormatting>
  <conditionalFormatting sqref="X56">
    <cfRule type="containsText" dxfId="320" priority="11" operator="containsText" text=" ">
      <formula>NOT(ISERROR(SEARCH(" ",X56)))</formula>
    </cfRule>
  </conditionalFormatting>
  <conditionalFormatting sqref="Y56">
    <cfRule type="containsText" dxfId="319" priority="12" operator="containsText" text=" ">
      <formula>NOT(ISERROR(SEARCH(" ",Y56)))</formula>
    </cfRule>
  </conditionalFormatting>
  <conditionalFormatting sqref="Z56">
    <cfRule type="containsText" dxfId="318" priority="14" operator="containsText" text=" ">
      <formula>NOT(ISERROR(SEARCH(" ",Z56)))</formula>
    </cfRule>
  </conditionalFormatting>
  <conditionalFormatting sqref="AB56">
    <cfRule type="containsText" dxfId="317" priority="13" operator="containsText" text=" ">
      <formula>NOT(ISERROR(SEARCH(" ",AB56)))</formula>
    </cfRule>
  </conditionalFormatting>
  <conditionalFormatting sqref="F57">
    <cfRule type="containsText" dxfId="316" priority="322" operator="containsText" text=" ">
      <formula>NOT(ISERROR(SEARCH(" ",F57)))</formula>
    </cfRule>
  </conditionalFormatting>
  <conditionalFormatting sqref="P57">
    <cfRule type="containsText" dxfId="315" priority="321" operator="containsText" text=" ">
      <formula>NOT(ISERROR(SEARCH(" ",P57)))</formula>
    </cfRule>
  </conditionalFormatting>
  <conditionalFormatting sqref="Q57">
    <cfRule type="containsText" dxfId="314" priority="320" operator="containsText" text=" ">
      <formula>NOT(ISERROR(SEARCH(" ",Q57)))</formula>
    </cfRule>
  </conditionalFormatting>
  <conditionalFormatting sqref="R57">
    <cfRule type="containsText" dxfId="313" priority="319" operator="containsText" text=" ">
      <formula>NOT(ISERROR(SEARCH(" ",R57)))</formula>
    </cfRule>
  </conditionalFormatting>
  <conditionalFormatting sqref="S57">
    <cfRule type="containsText" dxfId="312" priority="327" operator="containsText" text=" ">
      <formula>NOT(ISERROR(SEARCH(" ",S57)))</formula>
    </cfRule>
  </conditionalFormatting>
  <conditionalFormatting sqref="T57:U57">
    <cfRule type="containsText" dxfId="311" priority="328" operator="containsText" text=" ">
      <formula>NOT(ISERROR(SEARCH(" ",T57)))</formula>
    </cfRule>
  </conditionalFormatting>
  <conditionalFormatting sqref="V57:W57">
    <cfRule type="containsText" dxfId="310" priority="326" operator="containsText" text=" ">
      <formula>NOT(ISERROR(SEARCH(" ",V57)))</formula>
    </cfRule>
  </conditionalFormatting>
  <conditionalFormatting sqref="X57">
    <cfRule type="containsText" dxfId="309" priority="315" operator="containsText" text=" ">
      <formula>NOT(ISERROR(SEARCH(" ",X57)))</formula>
    </cfRule>
  </conditionalFormatting>
  <conditionalFormatting sqref="Y57">
    <cfRule type="containsText" dxfId="308" priority="316" operator="containsText" text=" ">
      <formula>NOT(ISERROR(SEARCH(" ",Y57)))</formula>
    </cfRule>
  </conditionalFormatting>
  <conditionalFormatting sqref="Z57">
    <cfRule type="containsText" dxfId="307" priority="318" operator="containsText" text=" ">
      <formula>NOT(ISERROR(SEARCH(" ",Z57)))</formula>
    </cfRule>
  </conditionalFormatting>
  <conditionalFormatting sqref="AB57">
    <cfRule type="containsText" dxfId="306" priority="317" operator="containsText" text=" ">
      <formula>NOT(ISERROR(SEARCH(" ",AB57)))</formula>
    </cfRule>
  </conditionalFormatting>
  <conditionalFormatting sqref="F58">
    <cfRule type="containsText" dxfId="305" priority="234" operator="containsText" text=" ">
      <formula>NOT(ISERROR(SEARCH(" ",F58)))</formula>
    </cfRule>
  </conditionalFormatting>
  <conditionalFormatting sqref="K58:N58">
    <cfRule type="containsText" dxfId="304" priority="254" operator="containsText" text=" ">
      <formula>NOT(ISERROR(SEARCH(" ",K58)))</formula>
    </cfRule>
  </conditionalFormatting>
  <conditionalFormatting sqref="P58">
    <cfRule type="containsText" dxfId="303" priority="224" operator="containsText" text=" ">
      <formula>NOT(ISERROR(SEARCH(" ",P58)))</formula>
    </cfRule>
  </conditionalFormatting>
  <conditionalFormatting sqref="Q58">
    <cfRule type="containsText" dxfId="302" priority="214" operator="containsText" text=" ">
      <formula>NOT(ISERROR(SEARCH(" ",Q58)))</formula>
    </cfRule>
  </conditionalFormatting>
  <conditionalFormatting sqref="R58">
    <cfRule type="containsText" dxfId="301" priority="204" operator="containsText" text=" ">
      <formula>NOT(ISERROR(SEARCH(" ",R58)))</formula>
    </cfRule>
  </conditionalFormatting>
  <conditionalFormatting sqref="S58">
    <cfRule type="containsText" dxfId="300" priority="284" operator="containsText" text=" ">
      <formula>NOT(ISERROR(SEARCH(" ",S58)))</formula>
    </cfRule>
  </conditionalFormatting>
  <conditionalFormatting sqref="T58:U58">
    <cfRule type="containsText" dxfId="299" priority="294" operator="containsText" text=" ">
      <formula>NOT(ISERROR(SEARCH(" ",T58)))</formula>
    </cfRule>
  </conditionalFormatting>
  <conditionalFormatting sqref="V58:W58">
    <cfRule type="containsText" dxfId="298" priority="274" operator="containsText" text=" ">
      <formula>NOT(ISERROR(SEARCH(" ",V58)))</formula>
    </cfRule>
  </conditionalFormatting>
  <conditionalFormatting sqref="X58">
    <cfRule type="containsText" dxfId="297" priority="164" operator="containsText" text=" ">
      <formula>NOT(ISERROR(SEARCH(" ",X58)))</formula>
    </cfRule>
  </conditionalFormatting>
  <conditionalFormatting sqref="Y58">
    <cfRule type="containsText" dxfId="296" priority="174" operator="containsText" text=" ">
      <formula>NOT(ISERROR(SEARCH(" ",Y58)))</formula>
    </cfRule>
  </conditionalFormatting>
  <conditionalFormatting sqref="Z58">
    <cfRule type="containsText" dxfId="295" priority="194" operator="containsText" text=" ">
      <formula>NOT(ISERROR(SEARCH(" ",Z58)))</formula>
    </cfRule>
  </conditionalFormatting>
  <conditionalFormatting sqref="AB58">
    <cfRule type="containsText" dxfId="294" priority="184" operator="containsText" text=" ">
      <formula>NOT(ISERROR(SEARCH(" ",AB58)))</formula>
    </cfRule>
  </conditionalFormatting>
  <conditionalFormatting sqref="F59">
    <cfRule type="containsText" dxfId="293" priority="233" operator="containsText" text=" ">
      <formula>NOT(ISERROR(SEARCH(" ",F59)))</formula>
    </cfRule>
  </conditionalFormatting>
  <conditionalFormatting sqref="M59">
    <cfRule type="containsText" dxfId="292" priority="154" operator="containsText" text=" ">
      <formula>NOT(ISERROR(SEARCH(" ",M59)))</formula>
    </cfRule>
  </conditionalFormatting>
  <conditionalFormatting sqref="P59">
    <cfRule type="containsText" dxfId="291" priority="223" operator="containsText" text=" ">
      <formula>NOT(ISERROR(SEARCH(" ",P59)))</formula>
    </cfRule>
  </conditionalFormatting>
  <conditionalFormatting sqref="Q59">
    <cfRule type="containsText" dxfId="290" priority="213" operator="containsText" text=" ">
      <formula>NOT(ISERROR(SEARCH(" ",Q59)))</formula>
    </cfRule>
  </conditionalFormatting>
  <conditionalFormatting sqref="R59">
    <cfRule type="containsText" dxfId="289" priority="203" operator="containsText" text=" ">
      <formula>NOT(ISERROR(SEARCH(" ",R59)))</formula>
    </cfRule>
  </conditionalFormatting>
  <conditionalFormatting sqref="S59">
    <cfRule type="containsText" dxfId="288" priority="283" operator="containsText" text=" ">
      <formula>NOT(ISERROR(SEARCH(" ",S59)))</formula>
    </cfRule>
  </conditionalFormatting>
  <conditionalFormatting sqref="T59:U59">
    <cfRule type="containsText" dxfId="287" priority="293" operator="containsText" text=" ">
      <formula>NOT(ISERROR(SEARCH(" ",T59)))</formula>
    </cfRule>
  </conditionalFormatting>
  <conditionalFormatting sqref="V59:W59">
    <cfRule type="containsText" dxfId="286" priority="273" operator="containsText" text=" ">
      <formula>NOT(ISERROR(SEARCH(" ",V59)))</formula>
    </cfRule>
  </conditionalFormatting>
  <conditionalFormatting sqref="X59">
    <cfRule type="containsText" dxfId="285" priority="163" operator="containsText" text=" ">
      <formula>NOT(ISERROR(SEARCH(" ",X59)))</formula>
    </cfRule>
  </conditionalFormatting>
  <conditionalFormatting sqref="Y59">
    <cfRule type="containsText" dxfId="284" priority="173" operator="containsText" text=" ">
      <formula>NOT(ISERROR(SEARCH(" ",Y59)))</formula>
    </cfRule>
  </conditionalFormatting>
  <conditionalFormatting sqref="Z59">
    <cfRule type="containsText" dxfId="283" priority="193" operator="containsText" text=" ">
      <formula>NOT(ISERROR(SEARCH(" ",Z59)))</formula>
    </cfRule>
  </conditionalFormatting>
  <conditionalFormatting sqref="AB59">
    <cfRule type="containsText" dxfId="282" priority="183" operator="containsText" text=" ">
      <formula>NOT(ISERROR(SEARCH(" ",AB59)))</formula>
    </cfRule>
  </conditionalFormatting>
  <conditionalFormatting sqref="F60">
    <cfRule type="containsText" dxfId="281" priority="232" operator="containsText" text=" ">
      <formula>NOT(ISERROR(SEARCH(" ",F60)))</formula>
    </cfRule>
  </conditionalFormatting>
  <conditionalFormatting sqref="M60">
    <cfRule type="containsText" dxfId="280" priority="153" operator="containsText" text=" ">
      <formula>NOT(ISERROR(SEARCH(" ",M60)))</formula>
    </cfRule>
  </conditionalFormatting>
  <conditionalFormatting sqref="P60">
    <cfRule type="containsText" dxfId="279" priority="222" operator="containsText" text=" ">
      <formula>NOT(ISERROR(SEARCH(" ",P60)))</formula>
    </cfRule>
  </conditionalFormatting>
  <conditionalFormatting sqref="Q60">
    <cfRule type="containsText" dxfId="278" priority="212" operator="containsText" text=" ">
      <formula>NOT(ISERROR(SEARCH(" ",Q60)))</formula>
    </cfRule>
  </conditionalFormatting>
  <conditionalFormatting sqref="R60">
    <cfRule type="containsText" dxfId="277" priority="202" operator="containsText" text=" ">
      <formula>NOT(ISERROR(SEARCH(" ",R60)))</formula>
    </cfRule>
  </conditionalFormatting>
  <conditionalFormatting sqref="S60">
    <cfRule type="containsText" dxfId="276" priority="282" operator="containsText" text=" ">
      <formula>NOT(ISERROR(SEARCH(" ",S60)))</formula>
    </cfRule>
  </conditionalFormatting>
  <conditionalFormatting sqref="T60:U60">
    <cfRule type="containsText" dxfId="275" priority="292" operator="containsText" text=" ">
      <formula>NOT(ISERROR(SEARCH(" ",T60)))</formula>
    </cfRule>
  </conditionalFormatting>
  <conditionalFormatting sqref="V60:W60">
    <cfRule type="containsText" dxfId="274" priority="272" operator="containsText" text=" ">
      <formula>NOT(ISERROR(SEARCH(" ",V60)))</formula>
    </cfRule>
  </conditionalFormatting>
  <conditionalFormatting sqref="X60">
    <cfRule type="containsText" dxfId="273" priority="162" operator="containsText" text=" ">
      <formula>NOT(ISERROR(SEARCH(" ",X60)))</formula>
    </cfRule>
  </conditionalFormatting>
  <conditionalFormatting sqref="Y60">
    <cfRule type="containsText" dxfId="272" priority="172" operator="containsText" text=" ">
      <formula>NOT(ISERROR(SEARCH(" ",Y60)))</formula>
    </cfRule>
  </conditionalFormatting>
  <conditionalFormatting sqref="Z60">
    <cfRule type="containsText" dxfId="271" priority="192" operator="containsText" text=" ">
      <formula>NOT(ISERROR(SEARCH(" ",Z60)))</formula>
    </cfRule>
  </conditionalFormatting>
  <conditionalFormatting sqref="AB60">
    <cfRule type="containsText" dxfId="270" priority="182" operator="containsText" text=" ">
      <formula>NOT(ISERROR(SEARCH(" ",AB60)))</formula>
    </cfRule>
  </conditionalFormatting>
  <conditionalFormatting sqref="F61">
    <cfRule type="containsText" dxfId="269" priority="231" operator="containsText" text=" ">
      <formula>NOT(ISERROR(SEARCH(" ",F61)))</formula>
    </cfRule>
  </conditionalFormatting>
  <conditionalFormatting sqref="M61">
    <cfRule type="containsText" dxfId="268" priority="152" operator="containsText" text=" ">
      <formula>NOT(ISERROR(SEARCH(" ",M61)))</formula>
    </cfRule>
  </conditionalFormatting>
  <conditionalFormatting sqref="P61">
    <cfRule type="containsText" dxfId="267" priority="221" operator="containsText" text=" ">
      <formula>NOT(ISERROR(SEARCH(" ",P61)))</formula>
    </cfRule>
  </conditionalFormatting>
  <conditionalFormatting sqref="Q61">
    <cfRule type="containsText" dxfId="266" priority="211" operator="containsText" text=" ">
      <formula>NOT(ISERROR(SEARCH(" ",Q61)))</formula>
    </cfRule>
  </conditionalFormatting>
  <conditionalFormatting sqref="R61">
    <cfRule type="containsText" dxfId="265" priority="201" operator="containsText" text=" ">
      <formula>NOT(ISERROR(SEARCH(" ",R61)))</formula>
    </cfRule>
  </conditionalFormatting>
  <conditionalFormatting sqref="S61">
    <cfRule type="containsText" dxfId="264" priority="281" operator="containsText" text=" ">
      <formula>NOT(ISERROR(SEARCH(" ",S61)))</formula>
    </cfRule>
  </conditionalFormatting>
  <conditionalFormatting sqref="T61:U61">
    <cfRule type="containsText" dxfId="263" priority="291" operator="containsText" text=" ">
      <formula>NOT(ISERROR(SEARCH(" ",T61)))</formula>
    </cfRule>
  </conditionalFormatting>
  <conditionalFormatting sqref="V61:W61">
    <cfRule type="containsText" dxfId="262" priority="271" operator="containsText" text=" ">
      <formula>NOT(ISERROR(SEARCH(" ",V61)))</formula>
    </cfRule>
  </conditionalFormatting>
  <conditionalFormatting sqref="X61">
    <cfRule type="containsText" dxfId="261" priority="161" operator="containsText" text=" ">
      <formula>NOT(ISERROR(SEARCH(" ",X61)))</formula>
    </cfRule>
  </conditionalFormatting>
  <conditionalFormatting sqref="Y61">
    <cfRule type="containsText" dxfId="260" priority="171" operator="containsText" text=" ">
      <formula>NOT(ISERROR(SEARCH(" ",Y61)))</formula>
    </cfRule>
  </conditionalFormatting>
  <conditionalFormatting sqref="Z61">
    <cfRule type="containsText" dxfId="259" priority="191" operator="containsText" text=" ">
      <formula>NOT(ISERROR(SEARCH(" ",Z61)))</formula>
    </cfRule>
  </conditionalFormatting>
  <conditionalFormatting sqref="AB61">
    <cfRule type="containsText" dxfId="258" priority="181" operator="containsText" text=" ">
      <formula>NOT(ISERROR(SEARCH(" ",AB61)))</formula>
    </cfRule>
  </conditionalFormatting>
  <conditionalFormatting sqref="F62">
    <cfRule type="containsText" dxfId="257" priority="230" operator="containsText" text=" ">
      <formula>NOT(ISERROR(SEARCH(" ",F62)))</formula>
    </cfRule>
  </conditionalFormatting>
  <conditionalFormatting sqref="M62">
    <cfRule type="containsText" dxfId="256" priority="151" operator="containsText" text=" ">
      <formula>NOT(ISERROR(SEARCH(" ",M62)))</formula>
    </cfRule>
  </conditionalFormatting>
  <conditionalFormatting sqref="P62">
    <cfRule type="containsText" dxfId="255" priority="220" operator="containsText" text=" ">
      <formula>NOT(ISERROR(SEARCH(" ",P62)))</formula>
    </cfRule>
  </conditionalFormatting>
  <conditionalFormatting sqref="Q62">
    <cfRule type="containsText" dxfId="254" priority="210" operator="containsText" text=" ">
      <formula>NOT(ISERROR(SEARCH(" ",Q62)))</formula>
    </cfRule>
  </conditionalFormatting>
  <conditionalFormatting sqref="R62">
    <cfRule type="containsText" dxfId="253" priority="200" operator="containsText" text=" ">
      <formula>NOT(ISERROR(SEARCH(" ",R62)))</formula>
    </cfRule>
  </conditionalFormatting>
  <conditionalFormatting sqref="S62">
    <cfRule type="containsText" dxfId="252" priority="280" operator="containsText" text=" ">
      <formula>NOT(ISERROR(SEARCH(" ",S62)))</formula>
    </cfRule>
  </conditionalFormatting>
  <conditionalFormatting sqref="T62:U62">
    <cfRule type="containsText" dxfId="251" priority="290" operator="containsText" text=" ">
      <formula>NOT(ISERROR(SEARCH(" ",T62)))</formula>
    </cfRule>
  </conditionalFormatting>
  <conditionalFormatting sqref="V62:W62">
    <cfRule type="containsText" dxfId="250" priority="270" operator="containsText" text=" ">
      <formula>NOT(ISERROR(SEARCH(" ",V62)))</formula>
    </cfRule>
  </conditionalFormatting>
  <conditionalFormatting sqref="X62">
    <cfRule type="containsText" dxfId="249" priority="160" operator="containsText" text=" ">
      <formula>NOT(ISERROR(SEARCH(" ",X62)))</formula>
    </cfRule>
  </conditionalFormatting>
  <conditionalFormatting sqref="Y62">
    <cfRule type="containsText" dxfId="248" priority="170" operator="containsText" text=" ">
      <formula>NOT(ISERROR(SEARCH(" ",Y62)))</formula>
    </cfRule>
  </conditionalFormatting>
  <conditionalFormatting sqref="Z62">
    <cfRule type="containsText" dxfId="247" priority="190" operator="containsText" text=" ">
      <formula>NOT(ISERROR(SEARCH(" ",Z62)))</formula>
    </cfRule>
  </conditionalFormatting>
  <conditionalFormatting sqref="AB62">
    <cfRule type="containsText" dxfId="246" priority="180" operator="containsText" text=" ">
      <formula>NOT(ISERROR(SEARCH(" ",AB62)))</formula>
    </cfRule>
  </conditionalFormatting>
  <conditionalFormatting sqref="F63">
    <cfRule type="containsText" dxfId="245" priority="229" operator="containsText" text=" ">
      <formula>NOT(ISERROR(SEARCH(" ",F63)))</formula>
    </cfRule>
  </conditionalFormatting>
  <conditionalFormatting sqref="M63">
    <cfRule type="containsText" dxfId="244" priority="150" operator="containsText" text=" ">
      <formula>NOT(ISERROR(SEARCH(" ",M63)))</formula>
    </cfRule>
  </conditionalFormatting>
  <conditionalFormatting sqref="P63">
    <cfRule type="containsText" dxfId="243" priority="219" operator="containsText" text=" ">
      <formula>NOT(ISERROR(SEARCH(" ",P63)))</formula>
    </cfRule>
  </conditionalFormatting>
  <conditionalFormatting sqref="Q63">
    <cfRule type="containsText" dxfId="242" priority="209" operator="containsText" text=" ">
      <formula>NOT(ISERROR(SEARCH(" ",Q63)))</formula>
    </cfRule>
  </conditionalFormatting>
  <conditionalFormatting sqref="R63">
    <cfRule type="containsText" dxfId="241" priority="199" operator="containsText" text=" ">
      <formula>NOT(ISERROR(SEARCH(" ",R63)))</formula>
    </cfRule>
  </conditionalFormatting>
  <conditionalFormatting sqref="S63">
    <cfRule type="containsText" dxfId="240" priority="279" operator="containsText" text=" ">
      <formula>NOT(ISERROR(SEARCH(" ",S63)))</formula>
    </cfRule>
  </conditionalFormatting>
  <conditionalFormatting sqref="T63:U63">
    <cfRule type="containsText" dxfId="239" priority="289" operator="containsText" text=" ">
      <formula>NOT(ISERROR(SEARCH(" ",T63)))</formula>
    </cfRule>
  </conditionalFormatting>
  <conditionalFormatting sqref="V63:W63">
    <cfRule type="containsText" dxfId="238" priority="269" operator="containsText" text=" ">
      <formula>NOT(ISERROR(SEARCH(" ",V63)))</formula>
    </cfRule>
  </conditionalFormatting>
  <conditionalFormatting sqref="X63">
    <cfRule type="containsText" dxfId="237" priority="159" operator="containsText" text=" ">
      <formula>NOT(ISERROR(SEARCH(" ",X63)))</formula>
    </cfRule>
  </conditionalFormatting>
  <conditionalFormatting sqref="Y63">
    <cfRule type="containsText" dxfId="236" priority="169" operator="containsText" text=" ">
      <formula>NOT(ISERROR(SEARCH(" ",Y63)))</formula>
    </cfRule>
  </conditionalFormatting>
  <conditionalFormatting sqref="Z63">
    <cfRule type="containsText" dxfId="235" priority="189" operator="containsText" text=" ">
      <formula>NOT(ISERROR(SEARCH(" ",Z63)))</formula>
    </cfRule>
  </conditionalFormatting>
  <conditionalFormatting sqref="AB63">
    <cfRule type="containsText" dxfId="234" priority="179" operator="containsText" text=" ">
      <formula>NOT(ISERROR(SEARCH(" ",AB63)))</formula>
    </cfRule>
  </conditionalFormatting>
  <conditionalFormatting sqref="F64">
    <cfRule type="containsText" dxfId="233" priority="228" operator="containsText" text=" ">
      <formula>NOT(ISERROR(SEARCH(" ",F64)))</formula>
    </cfRule>
  </conditionalFormatting>
  <conditionalFormatting sqref="M64">
    <cfRule type="containsText" dxfId="232" priority="149" operator="containsText" text=" ">
      <formula>NOT(ISERROR(SEARCH(" ",M64)))</formula>
    </cfRule>
  </conditionalFormatting>
  <conditionalFormatting sqref="P64">
    <cfRule type="containsText" dxfId="231" priority="218" operator="containsText" text=" ">
      <formula>NOT(ISERROR(SEARCH(" ",P64)))</formula>
    </cfRule>
  </conditionalFormatting>
  <conditionalFormatting sqref="Q64">
    <cfRule type="containsText" dxfId="230" priority="208" operator="containsText" text=" ">
      <formula>NOT(ISERROR(SEARCH(" ",Q64)))</formula>
    </cfRule>
  </conditionalFormatting>
  <conditionalFormatting sqref="R64">
    <cfRule type="containsText" dxfId="229" priority="198" operator="containsText" text=" ">
      <formula>NOT(ISERROR(SEARCH(" ",R64)))</formula>
    </cfRule>
  </conditionalFormatting>
  <conditionalFormatting sqref="S64">
    <cfRule type="containsText" dxfId="228" priority="278" operator="containsText" text=" ">
      <formula>NOT(ISERROR(SEARCH(" ",S64)))</formula>
    </cfRule>
  </conditionalFormatting>
  <conditionalFormatting sqref="T64:U64">
    <cfRule type="containsText" dxfId="227" priority="288" operator="containsText" text=" ">
      <formula>NOT(ISERROR(SEARCH(" ",T64)))</formula>
    </cfRule>
  </conditionalFormatting>
  <conditionalFormatting sqref="V64:W64">
    <cfRule type="containsText" dxfId="226" priority="268" operator="containsText" text=" ">
      <formula>NOT(ISERROR(SEARCH(" ",V64)))</formula>
    </cfRule>
  </conditionalFormatting>
  <conditionalFormatting sqref="X64">
    <cfRule type="containsText" dxfId="225" priority="158" operator="containsText" text=" ">
      <formula>NOT(ISERROR(SEARCH(" ",X64)))</formula>
    </cfRule>
  </conditionalFormatting>
  <conditionalFormatting sqref="Y64">
    <cfRule type="containsText" dxfId="224" priority="168" operator="containsText" text=" ">
      <formula>NOT(ISERROR(SEARCH(" ",Y64)))</formula>
    </cfRule>
  </conditionalFormatting>
  <conditionalFormatting sqref="Z64">
    <cfRule type="containsText" dxfId="223" priority="188" operator="containsText" text=" ">
      <formula>NOT(ISERROR(SEARCH(" ",Z64)))</formula>
    </cfRule>
  </conditionalFormatting>
  <conditionalFormatting sqref="AB64">
    <cfRule type="containsText" dxfId="222" priority="178" operator="containsText" text=" ">
      <formula>NOT(ISERROR(SEARCH(" ",AB64)))</formula>
    </cfRule>
  </conditionalFormatting>
  <conditionalFormatting sqref="F65">
    <cfRule type="containsText" dxfId="221" priority="227" operator="containsText" text=" ">
      <formula>NOT(ISERROR(SEARCH(" ",F65)))</formula>
    </cfRule>
  </conditionalFormatting>
  <conditionalFormatting sqref="M65">
    <cfRule type="containsText" dxfId="220" priority="148" operator="containsText" text=" ">
      <formula>NOT(ISERROR(SEARCH(" ",M65)))</formula>
    </cfRule>
  </conditionalFormatting>
  <conditionalFormatting sqref="P65">
    <cfRule type="containsText" dxfId="219" priority="217" operator="containsText" text=" ">
      <formula>NOT(ISERROR(SEARCH(" ",P65)))</formula>
    </cfRule>
  </conditionalFormatting>
  <conditionalFormatting sqref="Q65">
    <cfRule type="containsText" dxfId="218" priority="207" operator="containsText" text=" ">
      <formula>NOT(ISERROR(SEARCH(" ",Q65)))</formula>
    </cfRule>
  </conditionalFormatting>
  <conditionalFormatting sqref="R65">
    <cfRule type="containsText" dxfId="217" priority="197" operator="containsText" text=" ">
      <formula>NOT(ISERROR(SEARCH(" ",R65)))</formula>
    </cfRule>
  </conditionalFormatting>
  <conditionalFormatting sqref="S65">
    <cfRule type="containsText" dxfId="216" priority="277" operator="containsText" text=" ">
      <formula>NOT(ISERROR(SEARCH(" ",S65)))</formula>
    </cfRule>
  </conditionalFormatting>
  <conditionalFormatting sqref="T65:U65">
    <cfRule type="containsText" dxfId="215" priority="287" operator="containsText" text=" ">
      <formula>NOT(ISERROR(SEARCH(" ",T65)))</formula>
    </cfRule>
  </conditionalFormatting>
  <conditionalFormatting sqref="V65:W65">
    <cfRule type="containsText" dxfId="214" priority="267" operator="containsText" text=" ">
      <formula>NOT(ISERROR(SEARCH(" ",V65)))</formula>
    </cfRule>
  </conditionalFormatting>
  <conditionalFormatting sqref="X65">
    <cfRule type="containsText" dxfId="213" priority="157" operator="containsText" text=" ">
      <formula>NOT(ISERROR(SEARCH(" ",X65)))</formula>
    </cfRule>
  </conditionalFormatting>
  <conditionalFormatting sqref="Y65">
    <cfRule type="containsText" dxfId="212" priority="167" operator="containsText" text=" ">
      <formula>NOT(ISERROR(SEARCH(" ",Y65)))</formula>
    </cfRule>
  </conditionalFormatting>
  <conditionalFormatting sqref="Z65">
    <cfRule type="containsText" dxfId="211" priority="187" operator="containsText" text=" ">
      <formula>NOT(ISERROR(SEARCH(" ",Z65)))</formula>
    </cfRule>
  </conditionalFormatting>
  <conditionalFormatting sqref="AB65">
    <cfRule type="containsText" dxfId="210" priority="177" operator="containsText" text=" ">
      <formula>NOT(ISERROR(SEARCH(" ",AB65)))</formula>
    </cfRule>
  </conditionalFormatting>
  <conditionalFormatting sqref="E66">
    <cfRule type="containsText" dxfId="209" priority="145" operator="containsText" text=" ">
      <formula>NOT(ISERROR(SEARCH(" ",E66)))</formula>
    </cfRule>
  </conditionalFormatting>
  <conditionalFormatting sqref="F66">
    <cfRule type="containsText" dxfId="208" priority="226" operator="containsText" text=" ">
      <formula>NOT(ISERROR(SEARCH(" ",F66)))</formula>
    </cfRule>
  </conditionalFormatting>
  <conditionalFormatting sqref="M66">
    <cfRule type="containsText" dxfId="207" priority="147" operator="containsText" text=" ">
      <formula>NOT(ISERROR(SEARCH(" ",M66)))</formula>
    </cfRule>
  </conditionalFormatting>
  <conditionalFormatting sqref="P66">
    <cfRule type="containsText" dxfId="206" priority="216" operator="containsText" text=" ">
      <formula>NOT(ISERROR(SEARCH(" ",P66)))</formula>
    </cfRule>
  </conditionalFormatting>
  <conditionalFormatting sqref="Q66">
    <cfRule type="containsText" dxfId="205" priority="206" operator="containsText" text=" ">
      <formula>NOT(ISERROR(SEARCH(" ",Q66)))</formula>
    </cfRule>
  </conditionalFormatting>
  <conditionalFormatting sqref="R66">
    <cfRule type="containsText" dxfId="204" priority="196" operator="containsText" text=" ">
      <formula>NOT(ISERROR(SEARCH(" ",R66)))</formula>
    </cfRule>
  </conditionalFormatting>
  <conditionalFormatting sqref="S66">
    <cfRule type="containsText" dxfId="203" priority="276" operator="containsText" text=" ">
      <formula>NOT(ISERROR(SEARCH(" ",S66)))</formula>
    </cfRule>
  </conditionalFormatting>
  <conditionalFormatting sqref="T66:U66">
    <cfRule type="containsText" dxfId="202" priority="286" operator="containsText" text=" ">
      <formula>NOT(ISERROR(SEARCH(" ",T66)))</formula>
    </cfRule>
  </conditionalFormatting>
  <conditionalFormatting sqref="V66:W66">
    <cfRule type="containsText" dxfId="201" priority="266" operator="containsText" text=" ">
      <formula>NOT(ISERROR(SEARCH(" ",V66)))</formula>
    </cfRule>
  </conditionalFormatting>
  <conditionalFormatting sqref="X66">
    <cfRule type="containsText" dxfId="200" priority="156" operator="containsText" text=" ">
      <formula>NOT(ISERROR(SEARCH(" ",X66)))</formula>
    </cfRule>
  </conditionalFormatting>
  <conditionalFormatting sqref="Y66">
    <cfRule type="containsText" dxfId="199" priority="166" operator="containsText" text=" ">
      <formula>NOT(ISERROR(SEARCH(" ",Y66)))</formula>
    </cfRule>
  </conditionalFormatting>
  <conditionalFormatting sqref="Z66">
    <cfRule type="containsText" dxfId="198" priority="186" operator="containsText" text=" ">
      <formula>NOT(ISERROR(SEARCH(" ",Z66)))</formula>
    </cfRule>
  </conditionalFormatting>
  <conditionalFormatting sqref="AB66">
    <cfRule type="containsText" dxfId="197" priority="176" operator="containsText" text=" ">
      <formula>NOT(ISERROR(SEARCH(" ",AB66)))</formula>
    </cfRule>
  </conditionalFormatting>
  <conditionalFormatting sqref="E67">
    <cfRule type="containsText" dxfId="196" priority="144" operator="containsText" text=" ">
      <formula>NOT(ISERROR(SEARCH(" ",E67)))</formula>
    </cfRule>
  </conditionalFormatting>
  <conditionalFormatting sqref="F67">
    <cfRule type="containsText" dxfId="195" priority="225" operator="containsText" text=" ">
      <formula>NOT(ISERROR(SEARCH(" ",F67)))</formula>
    </cfRule>
  </conditionalFormatting>
  <conditionalFormatting sqref="M67">
    <cfRule type="containsText" dxfId="194" priority="146" operator="containsText" text=" ">
      <formula>NOT(ISERROR(SEARCH(" ",M67)))</formula>
    </cfRule>
  </conditionalFormatting>
  <conditionalFormatting sqref="P67">
    <cfRule type="containsText" dxfId="193" priority="215" operator="containsText" text=" ">
      <formula>NOT(ISERROR(SEARCH(" ",P67)))</formula>
    </cfRule>
  </conditionalFormatting>
  <conditionalFormatting sqref="Q67">
    <cfRule type="containsText" dxfId="192" priority="205" operator="containsText" text=" ">
      <formula>NOT(ISERROR(SEARCH(" ",Q67)))</formula>
    </cfRule>
  </conditionalFormatting>
  <conditionalFormatting sqref="R67">
    <cfRule type="containsText" dxfId="191" priority="195" operator="containsText" text=" ">
      <formula>NOT(ISERROR(SEARCH(" ",R67)))</formula>
    </cfRule>
  </conditionalFormatting>
  <conditionalFormatting sqref="S67">
    <cfRule type="containsText" dxfId="190" priority="275" operator="containsText" text=" ">
      <formula>NOT(ISERROR(SEARCH(" ",S67)))</formula>
    </cfRule>
  </conditionalFormatting>
  <conditionalFormatting sqref="T67:U67">
    <cfRule type="containsText" dxfId="189" priority="285" operator="containsText" text=" ">
      <formula>NOT(ISERROR(SEARCH(" ",T67)))</formula>
    </cfRule>
  </conditionalFormatting>
  <conditionalFormatting sqref="V67:W67">
    <cfRule type="containsText" dxfId="188" priority="265" operator="containsText" text=" ">
      <formula>NOT(ISERROR(SEARCH(" ",V67)))</formula>
    </cfRule>
  </conditionalFormatting>
  <conditionalFormatting sqref="X67">
    <cfRule type="containsText" dxfId="187" priority="155" operator="containsText" text=" ">
      <formula>NOT(ISERROR(SEARCH(" ",X67)))</formula>
    </cfRule>
  </conditionalFormatting>
  <conditionalFormatting sqref="Y67">
    <cfRule type="containsText" dxfId="186" priority="165" operator="containsText" text=" ">
      <formula>NOT(ISERROR(SEARCH(" ",Y67)))</formula>
    </cfRule>
  </conditionalFormatting>
  <conditionalFormatting sqref="Z67">
    <cfRule type="containsText" dxfId="185" priority="185" operator="containsText" text=" ">
      <formula>NOT(ISERROR(SEARCH(" ",Z67)))</formula>
    </cfRule>
  </conditionalFormatting>
  <conditionalFormatting sqref="AB67">
    <cfRule type="containsText" dxfId="184" priority="175" operator="containsText" text=" ">
      <formula>NOT(ISERROR(SEARCH(" ",AB67)))</formula>
    </cfRule>
  </conditionalFormatting>
  <conditionalFormatting sqref="A68">
    <cfRule type="duplicateValues" dxfId="183" priority="92"/>
  </conditionalFormatting>
  <conditionalFormatting sqref="B68">
    <cfRule type="containsText" dxfId="182" priority="91" operator="containsText" text=" ">
      <formula>NOT(ISERROR(SEARCH(" ",B68)))</formula>
    </cfRule>
  </conditionalFormatting>
  <conditionalFormatting sqref="F68">
    <cfRule type="containsText" dxfId="181" priority="97" operator="containsText" text=" ">
      <formula>NOT(ISERROR(SEARCH(" ",F68)))</formula>
    </cfRule>
  </conditionalFormatting>
  <conditionalFormatting sqref="G68">
    <cfRule type="containsText" dxfId="180" priority="90" operator="containsText" text=" ">
      <formula>NOT(ISERROR(SEARCH(" ",G68)))</formula>
    </cfRule>
  </conditionalFormatting>
  <conditionalFormatting sqref="K68:L68">
    <cfRule type="containsText" dxfId="179" priority="89" operator="containsText" text=" ">
      <formula>NOT(ISERROR(SEARCH(" ",K68)))</formula>
    </cfRule>
  </conditionalFormatting>
  <conditionalFormatting sqref="Q68">
    <cfRule type="containsText" dxfId="178" priority="94" operator="containsText" text=" ">
      <formula>NOT(ISERROR(SEARCH(" ",Q68)))</formula>
    </cfRule>
  </conditionalFormatting>
  <conditionalFormatting sqref="T68:U68">
    <cfRule type="containsText" dxfId="177" priority="96" operator="containsText" text=" ">
      <formula>NOT(ISERROR(SEARCH(" ",T68)))</formula>
    </cfRule>
  </conditionalFormatting>
  <conditionalFormatting sqref="AA68">
    <cfRule type="containsText" dxfId="176" priority="99" operator="containsText" text=" ">
      <formula>NOT(ISERROR(SEARCH(" ",AA68)))</formula>
    </cfRule>
  </conditionalFormatting>
  <conditionalFormatting sqref="B69">
    <cfRule type="containsText" dxfId="175" priority="135" operator="containsText" text=" ">
      <formula>NOT(ISERROR(SEARCH(" ",B69)))</formula>
    </cfRule>
  </conditionalFormatting>
  <conditionalFormatting sqref="F69">
    <cfRule type="containsText" dxfId="174" priority="141" operator="containsText" text=" ">
      <formula>NOT(ISERROR(SEARCH(" ",F69)))</formula>
    </cfRule>
  </conditionalFormatting>
  <conditionalFormatting sqref="G69">
    <cfRule type="containsText" dxfId="173" priority="134" operator="containsText" text=" ">
      <formula>NOT(ISERROR(SEARCH(" ",G69)))</formula>
    </cfRule>
  </conditionalFormatting>
  <conditionalFormatting sqref="K69:L69">
    <cfRule type="containsText" dxfId="172" priority="133" operator="containsText" text=" ">
      <formula>NOT(ISERROR(SEARCH(" ",K69)))</formula>
    </cfRule>
  </conditionalFormatting>
  <conditionalFormatting sqref="Q69">
    <cfRule type="containsText" dxfId="171" priority="138" operator="containsText" text=" ">
      <formula>NOT(ISERROR(SEARCH(" ",Q69)))</formula>
    </cfRule>
  </conditionalFormatting>
  <conditionalFormatting sqref="T69:U69">
    <cfRule type="containsText" dxfId="170" priority="140" operator="containsText" text=" ">
      <formula>NOT(ISERROR(SEARCH(" ",T69)))</formula>
    </cfRule>
  </conditionalFormatting>
  <conditionalFormatting sqref="AA69">
    <cfRule type="containsText" dxfId="169" priority="143" operator="containsText" text=" ">
      <formula>NOT(ISERROR(SEARCH(" ",AA69)))</formula>
    </cfRule>
  </conditionalFormatting>
  <conditionalFormatting sqref="B70">
    <cfRule type="containsText" dxfId="168" priority="124" operator="containsText" text=" ">
      <formula>NOT(ISERROR(SEARCH(" ",B70)))</formula>
    </cfRule>
  </conditionalFormatting>
  <conditionalFormatting sqref="F70">
    <cfRule type="containsText" dxfId="167" priority="130" operator="containsText" text=" ">
      <formula>NOT(ISERROR(SEARCH(" ",F70)))</formula>
    </cfRule>
  </conditionalFormatting>
  <conditionalFormatting sqref="G70">
    <cfRule type="containsText" dxfId="166" priority="123" operator="containsText" text=" ">
      <formula>NOT(ISERROR(SEARCH(" ",G70)))</formula>
    </cfRule>
  </conditionalFormatting>
  <conditionalFormatting sqref="K70:L70">
    <cfRule type="containsText" dxfId="165" priority="122" operator="containsText" text=" ">
      <formula>NOT(ISERROR(SEARCH(" ",K70)))</formula>
    </cfRule>
  </conditionalFormatting>
  <conditionalFormatting sqref="Q70">
    <cfRule type="containsText" dxfId="164" priority="127" operator="containsText" text=" ">
      <formula>NOT(ISERROR(SEARCH(" ",Q70)))</formula>
    </cfRule>
  </conditionalFormatting>
  <conditionalFormatting sqref="T70:U70">
    <cfRule type="containsText" dxfId="163" priority="129" operator="containsText" text=" ">
      <formula>NOT(ISERROR(SEARCH(" ",T70)))</formula>
    </cfRule>
  </conditionalFormatting>
  <conditionalFormatting sqref="AA70">
    <cfRule type="containsText" dxfId="162" priority="132" operator="containsText" text=" ">
      <formula>NOT(ISERROR(SEARCH(" ",AA70)))</formula>
    </cfRule>
  </conditionalFormatting>
  <conditionalFormatting sqref="B71">
    <cfRule type="containsText" dxfId="161" priority="113" operator="containsText" text=" ">
      <formula>NOT(ISERROR(SEARCH(" ",B71)))</formula>
    </cfRule>
  </conditionalFormatting>
  <conditionalFormatting sqref="F71">
    <cfRule type="containsText" dxfId="160" priority="119" operator="containsText" text=" ">
      <formula>NOT(ISERROR(SEARCH(" ",F71)))</formula>
    </cfRule>
  </conditionalFormatting>
  <conditionalFormatting sqref="G71">
    <cfRule type="containsText" dxfId="159" priority="112" operator="containsText" text=" ">
      <formula>NOT(ISERROR(SEARCH(" ",G71)))</formula>
    </cfRule>
  </conditionalFormatting>
  <conditionalFormatting sqref="K71:L71">
    <cfRule type="containsText" dxfId="158" priority="111" operator="containsText" text=" ">
      <formula>NOT(ISERROR(SEARCH(" ",K71)))</formula>
    </cfRule>
  </conditionalFormatting>
  <conditionalFormatting sqref="Q71">
    <cfRule type="containsText" dxfId="157" priority="116" operator="containsText" text=" ">
      <formula>NOT(ISERROR(SEARCH(" ",Q71)))</formula>
    </cfRule>
  </conditionalFormatting>
  <conditionalFormatting sqref="T71:U71">
    <cfRule type="containsText" dxfId="156" priority="118" operator="containsText" text=" ">
      <formula>NOT(ISERROR(SEARCH(" ",T71)))</formula>
    </cfRule>
  </conditionalFormatting>
  <conditionalFormatting sqref="AA71">
    <cfRule type="containsText" dxfId="155" priority="121" operator="containsText" text=" ">
      <formula>NOT(ISERROR(SEARCH(" ",AA71)))</formula>
    </cfRule>
  </conditionalFormatting>
  <conditionalFormatting sqref="B72">
    <cfRule type="containsText" dxfId="154" priority="102" operator="containsText" text=" ">
      <formula>NOT(ISERROR(SEARCH(" ",B72)))</formula>
    </cfRule>
  </conditionalFormatting>
  <conditionalFormatting sqref="F72">
    <cfRule type="containsText" dxfId="153" priority="108" operator="containsText" text=" ">
      <formula>NOT(ISERROR(SEARCH(" ",F72)))</formula>
    </cfRule>
  </conditionalFormatting>
  <conditionalFormatting sqref="G72">
    <cfRule type="containsText" dxfId="152" priority="101" operator="containsText" text=" ">
      <formula>NOT(ISERROR(SEARCH(" ",G72)))</formula>
    </cfRule>
  </conditionalFormatting>
  <conditionalFormatting sqref="K72:L72">
    <cfRule type="containsText" dxfId="151" priority="100" operator="containsText" text=" ">
      <formula>NOT(ISERROR(SEARCH(" ",K72)))</formula>
    </cfRule>
  </conditionalFormatting>
  <conditionalFormatting sqref="Q72">
    <cfRule type="containsText" dxfId="150" priority="105" operator="containsText" text=" ">
      <formula>NOT(ISERROR(SEARCH(" ",Q72)))</formula>
    </cfRule>
  </conditionalFormatting>
  <conditionalFormatting sqref="T72:U72">
    <cfRule type="containsText" dxfId="149" priority="107" operator="containsText" text=" ">
      <formula>NOT(ISERROR(SEARCH(" ",T72)))</formula>
    </cfRule>
  </conditionalFormatting>
  <conditionalFormatting sqref="AA72">
    <cfRule type="containsText" dxfId="148" priority="110" operator="containsText" text=" ">
      <formula>NOT(ISERROR(SEARCH(" ",AA72)))</formula>
    </cfRule>
  </conditionalFormatting>
  <conditionalFormatting sqref="A57:A67">
    <cfRule type="duplicateValues" dxfId="147" priority="325"/>
  </conditionalFormatting>
  <conditionalFormatting sqref="A69:A72">
    <cfRule type="duplicateValues" dxfId="146" priority="136"/>
  </conditionalFormatting>
  <conditionalFormatting sqref="B28:B33">
    <cfRule type="containsText" dxfId="145" priority="582" operator="containsText" text=" ">
      <formula>NOT(ISERROR(SEARCH(" ",B28)))</formula>
    </cfRule>
  </conditionalFormatting>
  <conditionalFormatting sqref="B45:B48">
    <cfRule type="containsText" dxfId="144" priority="512" operator="containsText" text=" ">
      <formula>NOT(ISERROR(SEARCH(" ",B45)))</formula>
    </cfRule>
  </conditionalFormatting>
  <conditionalFormatting sqref="B49:B52">
    <cfRule type="containsText" dxfId="143" priority="507" operator="containsText" text=" ">
      <formula>NOT(ISERROR(SEARCH(" ",B49)))</formula>
    </cfRule>
  </conditionalFormatting>
  <conditionalFormatting sqref="B57:B67">
    <cfRule type="containsText" dxfId="142" priority="323" operator="containsText" text=" ">
      <formula>NOT(ISERROR(SEARCH(" ",B57)))</formula>
    </cfRule>
  </conditionalFormatting>
  <conditionalFormatting sqref="C29:C30">
    <cfRule type="containsText" dxfId="141" priority="683" operator="containsText" text=" ">
      <formula>NOT(ISERROR(SEARCH(" ",C29)))</formula>
    </cfRule>
  </conditionalFormatting>
  <conditionalFormatting sqref="C32:C33">
    <cfRule type="containsText" dxfId="140" priority="668" operator="containsText" text=" ">
      <formula>NOT(ISERROR(SEARCH(" ",C32)))</formula>
    </cfRule>
  </conditionalFormatting>
  <conditionalFormatting sqref="E28:E30">
    <cfRule type="containsText" dxfId="139" priority="557" operator="containsText" text=" ">
      <formula>NOT(ISERROR(SEARCH(" ",E28)))</formula>
    </cfRule>
  </conditionalFormatting>
  <conditionalFormatting sqref="F7:F10">
    <cfRule type="containsText" dxfId="138" priority="511" operator="containsText" text=" ">
      <formula>NOT(ISERROR(SEARCH(" ",F7)))</formula>
    </cfRule>
  </conditionalFormatting>
  <conditionalFormatting sqref="I29:I30">
    <cfRule type="containsText" dxfId="137" priority="682" operator="containsText" text=" ">
      <formula>NOT(ISERROR(SEARCH(" ",I29)))</formula>
    </cfRule>
  </conditionalFormatting>
  <conditionalFormatting sqref="I32:I33">
    <cfRule type="containsText" dxfId="136" priority="672" operator="containsText" text=" ">
      <formula>NOT(ISERROR(SEARCH(" ",I32)))</formula>
    </cfRule>
  </conditionalFormatting>
  <conditionalFormatting sqref="N1:N2">
    <cfRule type="containsText" dxfId="135" priority="509" operator="containsText" text=" ">
      <formula>NOT(ISERROR(SEARCH(" ",N1)))</formula>
    </cfRule>
  </conditionalFormatting>
  <conditionalFormatting sqref="Q36:Q37">
    <cfRule type="containsText" dxfId="134" priority="622" operator="containsText" text=" ">
      <formula>NOT(ISERROR(SEARCH(" ",Q36)))</formula>
    </cfRule>
  </conditionalFormatting>
  <conditionalFormatting sqref="U1:U3">
    <cfRule type="containsText" dxfId="133" priority="531" operator="containsText" text=" ">
      <formula>NOT(ISERROR(SEARCH(" ",U1)))</formula>
    </cfRule>
  </conditionalFormatting>
  <conditionalFormatting sqref="X36:X37">
    <cfRule type="containsText" dxfId="132" priority="616" operator="containsText" text=" ">
      <formula>NOT(ISERROR(SEARCH(" ",X36)))</formula>
    </cfRule>
  </conditionalFormatting>
  <conditionalFormatting sqref="X49:X52">
    <cfRule type="containsText" dxfId="131" priority="456" operator="containsText" text=" ">
      <formula>NOT(ISERROR(SEARCH(" ",X49)))</formula>
    </cfRule>
  </conditionalFormatting>
  <conditionalFormatting sqref="Y32:Y33">
    <cfRule type="containsText" dxfId="130" priority="642" operator="containsText" text=" ">
      <formula>NOT(ISERROR(SEARCH(" ",Y32)))</formula>
    </cfRule>
  </conditionalFormatting>
  <conditionalFormatting sqref="Y36:Y37">
    <cfRule type="containsText" dxfId="129" priority="615" operator="containsText" text=" ">
      <formula>NOT(ISERROR(SEARCH(" ",Y36)))</formula>
    </cfRule>
  </conditionalFormatting>
  <conditionalFormatting sqref="Y49:Y52">
    <cfRule type="containsText" dxfId="128" priority="457" operator="containsText" text=" ">
      <formula>NOT(ISERROR(SEARCH(" ",Y49)))</formula>
    </cfRule>
  </conditionalFormatting>
  <conditionalFormatting sqref="AB29:AB30">
    <cfRule type="containsText" dxfId="127" priority="641" operator="containsText" text=" ">
      <formula>NOT(ISERROR(SEARCH(" ",AB29)))</formula>
    </cfRule>
  </conditionalFormatting>
  <conditionalFormatting sqref="AB32:AB33">
    <cfRule type="containsText" dxfId="126" priority="640" operator="containsText" text=" ">
      <formula>NOT(ISERROR(SEARCH(" ",AB32)))</formula>
    </cfRule>
  </conditionalFormatting>
  <conditionalFormatting sqref="AB40:AB42">
    <cfRule type="containsText" dxfId="125" priority="392" operator="containsText" text=" ">
      <formula>NOT(ISERROR(SEARCH(" ",AB40)))</formula>
    </cfRule>
  </conditionalFormatting>
  <conditionalFormatting sqref="A1:C4 C5:C6 A5:A8 C8 T6:U10 V1:W3 AB6:XFD8 Z6:Z8 AA6:AA10 Z1:XFD5 V6:W8 N4:W5 N6:S8 O1:T3 C36:C37 Z73:XFD1048576 A73:G1048576 AA36:AA39 T36:U37 AA13:AA22 AA26 T26:U26 AC49:XFD49 G49 C49:E49 A49:A52 A36:A38 T22:U22 AA43 AA45:AA52 AC43:XFD43 AC38:XFD38 I36:I37 A43 V13:W16">
    <cfRule type="containsText" dxfId="124" priority="692" operator="containsText" text=" ">
      <formula>NOT(ISERROR(SEARCH(" ",A1)))</formula>
    </cfRule>
  </conditionalFormatting>
  <conditionalFormatting sqref="A1:A11 A13:A22 A28:A38 A73:A1048576 A45:A52 A43 A26">
    <cfRule type="duplicateValues" dxfId="123" priority="513"/>
  </conditionalFormatting>
  <conditionalFormatting sqref="D1:D6 D8 E4:G4">
    <cfRule type="containsText" dxfId="122" priority="563" operator="containsText" text=" ">
      <formula>NOT(ISERROR(SEARCH(" ",D1)))</formula>
    </cfRule>
  </conditionalFormatting>
  <conditionalFormatting sqref="E1:G3">
    <cfRule type="containsText" dxfId="121" priority="559" operator="containsText" text=" ">
      <formula>NOT(ISERROR(SEARCH(" ",E1)))</formula>
    </cfRule>
  </conditionalFormatting>
  <conditionalFormatting sqref="N3 K1:M2 K3:L3 K4:M8 K9:S10 I1:J3 K11:W11 I4 I5:J11 I13:J16 H1:H11 H13:H22 K13:O17 J17 I18:S22 H73:W1048576 K36:N36 J36:J37 H36:H37 H26:J26 K49:O53 K26:P27 K45:L48 K43:P44 K37:O42">
    <cfRule type="containsText" dxfId="120" priority="508" operator="containsText" text=" ">
      <formula>NOT(ISERROR(SEARCH(" ",H1)))</formula>
    </cfRule>
  </conditionalFormatting>
  <conditionalFormatting sqref="X1:X2 X5:X9 X73:X1048576">
    <cfRule type="containsText" dxfId="119" priority="677" operator="containsText" text=" ">
      <formula>NOT(ISERROR(SEARCH(" ",X1)))</formula>
    </cfRule>
  </conditionalFormatting>
  <conditionalFormatting sqref="Y1:Y9 Y73:Y1048576">
    <cfRule type="containsText" dxfId="118" priority="676" operator="containsText" text=" ">
      <formula>NOT(ISERROR(SEARCH(" ",Y1)))</formula>
    </cfRule>
  </conditionalFormatting>
  <conditionalFormatting sqref="X3 A32:A33 Q32:Q33 X29:Y30 Q29:Q30">
    <cfRule type="containsText" dxfId="117" priority="675" operator="containsText" text=" ">
      <formula>NOT(ISERROR(SEARCH(" ",A3)))</formula>
    </cfRule>
  </conditionalFormatting>
  <conditionalFormatting sqref="M3 AC36:XFD37">
    <cfRule type="containsText" dxfId="116" priority="691" operator="containsText" text=" ">
      <formula>NOT(ISERROR(SEARCH(" ",M3)))</formula>
    </cfRule>
  </conditionalFormatting>
  <conditionalFormatting sqref="B5:B6 B36:B37">
    <cfRule type="containsText" dxfId="115" priority="586" operator="containsText" text=" ">
      <formula>NOT(ISERROR(SEARCH(" ",B5)))</formula>
    </cfRule>
  </conditionalFormatting>
  <conditionalFormatting sqref="E5:G6 E7:E10 G7:G10">
    <cfRule type="containsText" dxfId="114" priority="558" operator="containsText" text=" ">
      <formula>NOT(ISERROR(SEARCH(" ",E5)))</formula>
    </cfRule>
  </conditionalFormatting>
  <conditionalFormatting sqref="B7 F17:F22 F26 F36:F38 Q13:Q16 X28:Y28 AB18:XFD22 V18:Z22 AB13:XFD16 X13:Z16 Q28 F45:F48 F43 A18:E22 A13:G13 D36:E37 A14:F16 G14:G17">
    <cfRule type="containsText" dxfId="113" priority="584" operator="containsText" text=" ">
      <formula>NOT(ISERROR(SEARCH(" ",A7)))</formula>
    </cfRule>
  </conditionalFormatting>
  <conditionalFormatting sqref="C7 H38:J53 F35:P35 F28:P28 F29:H34 D28:D35 T28:U35 AA28:AA35 J29:N34 H27:J27">
    <cfRule type="containsText" dxfId="112" priority="689" operator="containsText" text=" ">
      <formula>NOT(ISERROR(SEARCH(" ",C7)))</formula>
    </cfRule>
  </conditionalFormatting>
  <conditionalFormatting sqref="C9 A9 V9:W9 AB9:XFD9 Z9 R13:S16 P13:P16">
    <cfRule type="containsText" dxfId="111" priority="687" operator="containsText" text=" ">
      <formula>NOT(ISERROR(SEARCH(" ",A9)))</formula>
    </cfRule>
  </conditionalFormatting>
  <conditionalFormatting sqref="C10 A10 V10:W10 Z10 AB10:XFD10">
    <cfRule type="containsText" dxfId="110" priority="667" operator="containsText" text=" ">
      <formula>NOT(ISERROR(SEARCH(" ",A10)))</formula>
    </cfRule>
  </conditionalFormatting>
  <conditionalFormatting sqref="A11 AC11:XFD11">
    <cfRule type="containsText" dxfId="109" priority="550" operator="containsText" text=" ">
      <formula>NOT(ISERROR(SEARCH(" ",A11)))</formula>
    </cfRule>
  </conditionalFormatting>
  <conditionalFormatting sqref="C11 Z11:AB11">
    <cfRule type="containsText" dxfId="108" priority="391" operator="containsText" text=" ">
      <formula>NOT(ISERROR(SEARCH(" ",C11)))</formula>
    </cfRule>
  </conditionalFormatting>
  <conditionalFormatting sqref="A12 AC12:XFD12">
    <cfRule type="containsText" dxfId="107" priority="9" operator="containsText" text=" ">
      <formula>NOT(ISERROR(SEARCH(" ",A12)))</formula>
    </cfRule>
  </conditionalFormatting>
  <conditionalFormatting sqref="C12 Z12:AB12">
    <cfRule type="containsText" dxfId="106" priority="5" operator="containsText" text=" ">
      <formula>NOT(ISERROR(SEARCH(" ",C12)))</formula>
    </cfRule>
  </conditionalFormatting>
  <conditionalFormatting sqref="K12:W12 I12:J12 H12">
    <cfRule type="containsText" dxfId="105" priority="6" operator="containsText" text=" ">
      <formula>NOT(ISERROR(SEARCH(" ",H12)))</formula>
    </cfRule>
  </conditionalFormatting>
  <conditionalFormatting sqref="T13:U21">
    <cfRule type="containsText" dxfId="104" priority="530" operator="containsText" text=" ">
      <formula>NOT(ISERROR(SEARCH(" ",T13)))</formula>
    </cfRule>
  </conditionalFormatting>
  <conditionalFormatting sqref="A17:E17 AB17:XFD17 X17:Z17 Q17">
    <cfRule type="containsText" dxfId="103" priority="533" operator="containsText" text=" ">
      <formula>NOT(ISERROR(SEARCH(" ",A17)))</formula>
    </cfRule>
  </conditionalFormatting>
  <conditionalFormatting sqref="G18:G22 G26 G36:G38 G45:G48 G43">
    <cfRule type="containsText" dxfId="102" priority="510" operator="containsText" text=" ">
      <formula>NOT(ISERROR(SEARCH(" ",G18)))</formula>
    </cfRule>
  </conditionalFormatting>
  <conditionalFormatting sqref="C23 AB23:XFD23 Z23 R23:S23 V23:W23 A23">
    <cfRule type="containsText" dxfId="101" priority="357" operator="containsText" text=" ">
      <formula>NOT(ISERROR(SEARCH(" ",A23)))</formula>
    </cfRule>
  </conditionalFormatting>
  <conditionalFormatting sqref="AA23 T23:U23">
    <cfRule type="containsText" dxfId="100" priority="359" operator="containsText" text=" ">
      <formula>NOT(ISERROR(SEARCH(" ",T23)))</formula>
    </cfRule>
  </conditionalFormatting>
  <conditionalFormatting sqref="C24 AB24:XFD24 Z24 R24:S24 V24:W24 A24">
    <cfRule type="containsText" dxfId="99" priority="86" operator="containsText" text=" ">
      <formula>NOT(ISERROR(SEARCH(" ",A24)))</formula>
    </cfRule>
  </conditionalFormatting>
  <conditionalFormatting sqref="AA24 T24:U24">
    <cfRule type="containsText" dxfId="98" priority="88" operator="containsText" text=" ">
      <formula>NOT(ISERROR(SEARCH(" ",T24)))</formula>
    </cfRule>
  </conditionalFormatting>
  <conditionalFormatting sqref="C25 AB25:XFD25 Z25 R25:S25 V25:W25 A25">
    <cfRule type="containsText" dxfId="97" priority="74" operator="containsText" text=" ">
      <formula>NOT(ISERROR(SEARCH(" ",A25)))</formula>
    </cfRule>
  </conditionalFormatting>
  <conditionalFormatting sqref="AA25 T25:U25">
    <cfRule type="containsText" dxfId="96" priority="76" operator="containsText" text=" ">
      <formula>NOT(ISERROR(SEARCH(" ",T25)))</formula>
    </cfRule>
  </conditionalFormatting>
  <conditionalFormatting sqref="C26 AB26:XFD26 Z26 R26:S26 V26:W26 A26">
    <cfRule type="containsText" dxfId="95" priority="542" operator="containsText" text=" ">
      <formula>NOT(ISERROR(SEARCH(" ",A26)))</formula>
    </cfRule>
  </conditionalFormatting>
  <conditionalFormatting sqref="C27 A27 V27:W27 R27:S27 Z27 AB27:XFD27">
    <cfRule type="containsText" dxfId="94" priority="440" operator="containsText" text=" ">
      <formula>NOT(ISERROR(SEARCH(" ",A27)))</formula>
    </cfRule>
  </conditionalFormatting>
  <conditionalFormatting sqref="T27:U27 AA27">
    <cfRule type="containsText" dxfId="93" priority="442" operator="containsText" text=" ">
      <formula>NOT(ISERROR(SEARCH(" ",T27)))</formula>
    </cfRule>
  </conditionalFormatting>
  <conditionalFormatting sqref="A28:A30 AC29:XFD30 Z28:Z30 R28:S30 AB28:XFD28 P29:P30 V28:W30 C28">
    <cfRule type="containsText" dxfId="92" priority="685" operator="containsText" text=" ">
      <formula>NOT(ISERROR(SEARCH(" ",A28)))</formula>
    </cfRule>
  </conditionalFormatting>
  <conditionalFormatting sqref="A31 AC31:XFD31 P31 Z31 V31:W31 R31:S31">
    <cfRule type="containsText" dxfId="91" priority="601" operator="containsText" text=" ">
      <formula>NOT(ISERROR(SEARCH(" ",A31)))</formula>
    </cfRule>
  </conditionalFormatting>
  <conditionalFormatting sqref="Z32:Z33 AC32:XFD33 P32:P33 R32:S33 V32:W33">
    <cfRule type="containsText" dxfId="90" priority="674" operator="containsText" text=" ">
      <formula>NOT(ISERROR(SEARCH(" ",P32)))</formula>
    </cfRule>
  </conditionalFormatting>
  <conditionalFormatting sqref="A34 AC34:XFD34 P34 Z34 V34:W34 R34:S34">
    <cfRule type="containsText" dxfId="89" priority="638" operator="containsText" text=" ">
      <formula>NOT(ISERROR(SEARCH(" ",A34)))</formula>
    </cfRule>
  </conditionalFormatting>
  <conditionalFormatting sqref="A35 AB35:XFD35 Z35 R35:S35 V35:W35 C35">
    <cfRule type="containsText" dxfId="88" priority="593" operator="containsText" text=" ">
      <formula>NOT(ISERROR(SEARCH(" ",A35)))</formula>
    </cfRule>
  </conditionalFormatting>
  <conditionalFormatting sqref="P36 R36:S36 AB36 Z36 V36:W36">
    <cfRule type="containsText" dxfId="87" priority="621" operator="containsText" text=" ">
      <formula>NOT(ISERROR(SEARCH(" ",P36)))</formula>
    </cfRule>
  </conditionalFormatting>
  <conditionalFormatting sqref="V37:W37 AB37 Z37">
    <cfRule type="containsText" dxfId="86" priority="617" operator="containsText" text=" ">
      <formula>NOT(ISERROR(SEARCH(" ",V37)))</formula>
    </cfRule>
  </conditionalFormatting>
  <conditionalFormatting sqref="B38:E38 Q38 X38:Z38">
    <cfRule type="containsText" dxfId="85" priority="527" operator="containsText" text=" ">
      <formula>NOT(ISERROR(SEARCH(" ",B38)))</formula>
    </cfRule>
  </conditionalFormatting>
  <conditionalFormatting sqref="R38:S38 P38">
    <cfRule type="containsText" dxfId="84" priority="528" operator="containsText" text=" ">
      <formula>NOT(ISERROR(SEARCH(" ",P38)))</formula>
    </cfRule>
  </conditionalFormatting>
  <conditionalFormatting sqref="A39 AC39:XFD39">
    <cfRule type="containsText" dxfId="83" priority="452" operator="containsText" text=" ">
      <formula>NOT(ISERROR(SEARCH(" ",A39)))</formula>
    </cfRule>
  </conditionalFormatting>
  <conditionalFormatting sqref="B39:E39 Q39 X39:Z39">
    <cfRule type="containsText" dxfId="82" priority="448" operator="containsText" text=" ">
      <formula>NOT(ISERROR(SEARCH(" ",B39)))</formula>
    </cfRule>
  </conditionalFormatting>
  <conditionalFormatting sqref="R39:S39 P39">
    <cfRule type="containsText" dxfId="81" priority="449" operator="containsText" text=" ">
      <formula>NOT(ISERROR(SEARCH(" ",P39)))</formula>
    </cfRule>
  </conditionalFormatting>
  <conditionalFormatting sqref="A40 AA40 AC40:XFD40">
    <cfRule type="containsText" dxfId="80" priority="431" operator="containsText" text=" ">
      <formula>NOT(ISERROR(SEARCH(" ",A40)))</formula>
    </cfRule>
  </conditionalFormatting>
  <conditionalFormatting sqref="B40:E40 Q40 X40:Z40">
    <cfRule type="containsText" dxfId="79" priority="427" operator="containsText" text=" ">
      <formula>NOT(ISERROR(SEARCH(" ",B40)))</formula>
    </cfRule>
  </conditionalFormatting>
  <conditionalFormatting sqref="R40:S40 P40">
    <cfRule type="containsText" dxfId="78" priority="428" operator="containsText" text=" ">
      <formula>NOT(ISERROR(SEARCH(" ",P40)))</formula>
    </cfRule>
  </conditionalFormatting>
  <conditionalFormatting sqref="A41 AA41 AC41:XFD41">
    <cfRule type="containsText" dxfId="77" priority="422" operator="containsText" text=" ">
      <formula>NOT(ISERROR(SEARCH(" ",A41)))</formula>
    </cfRule>
  </conditionalFormatting>
  <conditionalFormatting sqref="B41:E41 Q41 X41:Z41">
    <cfRule type="containsText" dxfId="76" priority="418" operator="containsText" text=" ">
      <formula>NOT(ISERROR(SEARCH(" ",B41)))</formula>
    </cfRule>
  </conditionalFormatting>
  <conditionalFormatting sqref="R41:S41 P41">
    <cfRule type="containsText" dxfId="75" priority="419" operator="containsText" text=" ">
      <formula>NOT(ISERROR(SEARCH(" ",P41)))</formula>
    </cfRule>
  </conditionalFormatting>
  <conditionalFormatting sqref="A42 AA42 AC42:XFD42">
    <cfRule type="containsText" dxfId="74" priority="413" operator="containsText" text=" ">
      <formula>NOT(ISERROR(SEARCH(" ",A42)))</formula>
    </cfRule>
  </conditionalFormatting>
  <conditionalFormatting sqref="B42:E42 Q42 X42:Z42">
    <cfRule type="containsText" dxfId="73" priority="409" operator="containsText" text=" ">
      <formula>NOT(ISERROR(SEARCH(" ",B42)))</formula>
    </cfRule>
  </conditionalFormatting>
  <conditionalFormatting sqref="R42:S42 P42">
    <cfRule type="containsText" dxfId="72" priority="410" operator="containsText" text=" ">
      <formula>NOT(ISERROR(SEARCH(" ",P42)))</formula>
    </cfRule>
  </conditionalFormatting>
  <conditionalFormatting sqref="C43 S49 P45:P48 V43:W43 R45:S48 R43:S43 AB43 Z45:Z48 Z43">
    <cfRule type="containsText" dxfId="71" priority="523" operator="containsText" text=" ">
      <formula>NOT(ISERROR(SEARCH(" ",C43)))</formula>
    </cfRule>
  </conditionalFormatting>
  <conditionalFormatting sqref="Q43 Q45:Q48">
    <cfRule type="containsText" dxfId="70" priority="522" operator="containsText" text=" ">
      <formula>NOT(ISERROR(SEARCH(" ",Q43)))</formula>
    </cfRule>
  </conditionalFormatting>
  <conditionalFormatting sqref="T43:U43 T45:U49">
    <cfRule type="containsText" dxfId="69" priority="524" operator="containsText" text=" ">
      <formula>NOT(ISERROR(SEARCH(" ",T43)))</formula>
    </cfRule>
  </conditionalFormatting>
  <conditionalFormatting sqref="AA44 A44 AC44:XFD44">
    <cfRule type="containsText" dxfId="68" priority="404" operator="containsText" text=" ">
      <formula>NOT(ISERROR(SEARCH(" ",A44)))</formula>
    </cfRule>
  </conditionalFormatting>
  <conditionalFormatting sqref="C44 V44:W44 R44:S44 AB44 Z44">
    <cfRule type="containsText" dxfId="67" priority="401" operator="containsText" text=" ">
      <formula>NOT(ISERROR(SEARCH(" ",C44)))</formula>
    </cfRule>
  </conditionalFormatting>
  <conditionalFormatting sqref="A45:A48 V45:Y48 V49:W49 AB45:XFD48 C45:E48 O45:O48">
    <cfRule type="containsText" dxfId="66" priority="515" operator="containsText" text=" ">
      <formula>NOT(ISERROR(SEARCH(" ",A45)))</formula>
    </cfRule>
  </conditionalFormatting>
  <conditionalFormatting sqref="C50:E50 G50 AC50:XFD50">
    <cfRule type="containsText" dxfId="65" priority="499" operator="containsText" text=" ">
      <formula>NOT(ISERROR(SEARCH(" ",C50)))</formula>
    </cfRule>
  </conditionalFormatting>
  <conditionalFormatting sqref="C51:E51 G51 AC51:XFD51">
    <cfRule type="containsText" dxfId="64" priority="485" operator="containsText" text=" ">
      <formula>NOT(ISERROR(SEARCH(" ",C51)))</formula>
    </cfRule>
  </conditionalFormatting>
  <conditionalFormatting sqref="C52:E52 G52 AC52:XFD52">
    <cfRule type="containsText" dxfId="63" priority="471" operator="containsText" text=" ">
      <formula>NOT(ISERROR(SEARCH(" ",C52)))</formula>
    </cfRule>
  </conditionalFormatting>
  <conditionalFormatting sqref="AA53 A53">
    <cfRule type="containsText" dxfId="62" priority="386" operator="containsText" text=" ">
      <formula>NOT(ISERROR(SEARCH(" ",A53)))</formula>
    </cfRule>
  </conditionalFormatting>
  <conditionalFormatting sqref="C53:E53 G53 AC53:XFD53">
    <cfRule type="containsText" dxfId="61" priority="383" operator="containsText" text=" ">
      <formula>NOT(ISERROR(SEARCH(" ",C53)))</formula>
    </cfRule>
  </conditionalFormatting>
  <conditionalFormatting sqref="AA54 A54">
    <cfRule type="containsText" dxfId="60" priority="62" operator="containsText" text=" ">
      <formula>NOT(ISERROR(SEARCH(" ",A54)))</formula>
    </cfRule>
  </conditionalFormatting>
  <conditionalFormatting sqref="C54:E54 G54 AC54:XFD54">
    <cfRule type="containsText" dxfId="59" priority="59" operator="containsText" text=" ">
      <formula>NOT(ISERROR(SEARCH(" ",C54)))</formula>
    </cfRule>
  </conditionalFormatting>
  <conditionalFormatting sqref="K54:M54 O54">
    <cfRule type="containsText" dxfId="58" priority="63" operator="containsText" text=" ">
      <formula>NOT(ISERROR(SEARCH(" ",K54)))</formula>
    </cfRule>
  </conditionalFormatting>
  <conditionalFormatting sqref="AA55 A55">
    <cfRule type="containsText" dxfId="57" priority="44" operator="containsText" text=" ">
      <formula>NOT(ISERROR(SEARCH(" ",A55)))</formula>
    </cfRule>
  </conditionalFormatting>
  <conditionalFormatting sqref="C55 E55 G55 AC55:XFD55">
    <cfRule type="containsText" dxfId="56" priority="41" operator="containsText" text=" ">
      <formula>NOT(ISERROR(SEARCH(" ",C55)))</formula>
    </cfRule>
  </conditionalFormatting>
  <conditionalFormatting sqref="K55:M55 O55">
    <cfRule type="containsText" dxfId="55" priority="45" operator="containsText" text=" ">
      <formula>NOT(ISERROR(SEARCH(" ",K55)))</formula>
    </cfRule>
  </conditionalFormatting>
  <conditionalFormatting sqref="AA56 A56">
    <cfRule type="containsText" dxfId="54" priority="25" operator="containsText" text=" ">
      <formula>NOT(ISERROR(SEARCH(" ",A56)))</formula>
    </cfRule>
  </conditionalFormatting>
  <conditionalFormatting sqref="C56:E56 G56 AC56:XFD56">
    <cfRule type="containsText" dxfId="53" priority="22" operator="containsText" text=" ">
      <formula>NOT(ISERROR(SEARCH(" ",C56)))</formula>
    </cfRule>
  </conditionalFormatting>
  <conditionalFormatting sqref="K56:M56 O56">
    <cfRule type="containsText" dxfId="52" priority="26" operator="containsText" text=" ">
      <formula>NOT(ISERROR(SEARCH(" ",K56)))</formula>
    </cfRule>
  </conditionalFormatting>
  <conditionalFormatting sqref="AA57 E65 E63 E61 E59 C58:D67 AC57:XFD57 G57 C57:E57 A57:A67">
    <cfRule type="containsText" dxfId="51" priority="330" operator="containsText" text=" ">
      <formula>NOT(ISERROR(SEARCH(" ",A57)))</formula>
    </cfRule>
  </conditionalFormatting>
  <conditionalFormatting sqref="H57:J57 I58:I67">
    <cfRule type="containsText" dxfId="50" priority="329" operator="containsText" text=" ">
      <formula>NOT(ISERROR(SEARCH(" ",H57)))</formula>
    </cfRule>
  </conditionalFormatting>
  <conditionalFormatting sqref="K57:O57 O58:O67">
    <cfRule type="containsText" dxfId="49" priority="324" operator="containsText" text=" ">
      <formula>NOT(ISERROR(SEARCH(" ",K57)))</formula>
    </cfRule>
  </conditionalFormatting>
  <conditionalFormatting sqref="AA58 E64 E62 E60 AC58:XFD58 G58 E58">
    <cfRule type="containsText" dxfId="48" priority="314" operator="containsText" text=" ">
      <formula>NOT(ISERROR(SEARCH(" ",E58)))</formula>
    </cfRule>
  </conditionalFormatting>
  <conditionalFormatting sqref="H58 J58">
    <cfRule type="containsText" dxfId="47" priority="304" operator="containsText" text=" ">
      <formula>NOT(ISERROR(SEARCH(" ",H58)))</formula>
    </cfRule>
  </conditionalFormatting>
  <conditionalFormatting sqref="AA59 AC59:XFD59 G59">
    <cfRule type="containsText" dxfId="46" priority="313" operator="containsText" text=" ">
      <formula>NOT(ISERROR(SEARCH(" ",G59)))</formula>
    </cfRule>
  </conditionalFormatting>
  <conditionalFormatting sqref="H59 J59">
    <cfRule type="containsText" dxfId="45" priority="303" operator="containsText" text=" ">
      <formula>NOT(ISERROR(SEARCH(" ",H59)))</formula>
    </cfRule>
  </conditionalFormatting>
  <conditionalFormatting sqref="K59:L59 N59">
    <cfRule type="containsText" dxfId="44" priority="253" operator="containsText" text=" ">
      <formula>NOT(ISERROR(SEARCH(" ",K59)))</formula>
    </cfRule>
  </conditionalFormatting>
  <conditionalFormatting sqref="AA60 AC60:XFD60 G60">
    <cfRule type="containsText" dxfId="43" priority="312" operator="containsText" text=" ">
      <formula>NOT(ISERROR(SEARCH(" ",G60)))</formula>
    </cfRule>
  </conditionalFormatting>
  <conditionalFormatting sqref="H60 J60">
    <cfRule type="containsText" dxfId="42" priority="302" operator="containsText" text=" ">
      <formula>NOT(ISERROR(SEARCH(" ",H60)))</formula>
    </cfRule>
  </conditionalFormatting>
  <conditionalFormatting sqref="K60:L60 N60">
    <cfRule type="containsText" dxfId="41" priority="252" operator="containsText" text=" ">
      <formula>NOT(ISERROR(SEARCH(" ",K60)))</formula>
    </cfRule>
  </conditionalFormatting>
  <conditionalFormatting sqref="AA61 AC61:XFD61 G61">
    <cfRule type="containsText" dxfId="40" priority="311" operator="containsText" text=" ">
      <formula>NOT(ISERROR(SEARCH(" ",G61)))</formula>
    </cfRule>
  </conditionalFormatting>
  <conditionalFormatting sqref="H61 J61">
    <cfRule type="containsText" dxfId="39" priority="301" operator="containsText" text=" ">
      <formula>NOT(ISERROR(SEARCH(" ",H61)))</formula>
    </cfRule>
  </conditionalFormatting>
  <conditionalFormatting sqref="K61:L61 N61">
    <cfRule type="containsText" dxfId="38" priority="251" operator="containsText" text=" ">
      <formula>NOT(ISERROR(SEARCH(" ",K61)))</formula>
    </cfRule>
  </conditionalFormatting>
  <conditionalFormatting sqref="AA62 AC62:XFD62 G62">
    <cfRule type="containsText" dxfId="37" priority="310" operator="containsText" text=" ">
      <formula>NOT(ISERROR(SEARCH(" ",G62)))</formula>
    </cfRule>
  </conditionalFormatting>
  <conditionalFormatting sqref="H62 J62">
    <cfRule type="containsText" dxfId="36" priority="300" operator="containsText" text=" ">
      <formula>NOT(ISERROR(SEARCH(" ",H62)))</formula>
    </cfRule>
  </conditionalFormatting>
  <conditionalFormatting sqref="K62:L62 N62">
    <cfRule type="containsText" dxfId="35" priority="250" operator="containsText" text=" ">
      <formula>NOT(ISERROR(SEARCH(" ",K62)))</formula>
    </cfRule>
  </conditionalFormatting>
  <conditionalFormatting sqref="AA63 AC63:XFD63 G63">
    <cfRule type="containsText" dxfId="34" priority="309" operator="containsText" text=" ">
      <formula>NOT(ISERROR(SEARCH(" ",G63)))</formula>
    </cfRule>
  </conditionalFormatting>
  <conditionalFormatting sqref="H63 J63">
    <cfRule type="containsText" dxfId="33" priority="299" operator="containsText" text=" ">
      <formula>NOT(ISERROR(SEARCH(" ",H63)))</formula>
    </cfRule>
  </conditionalFormatting>
  <conditionalFormatting sqref="K63:L63 N63">
    <cfRule type="containsText" dxfId="32" priority="249" operator="containsText" text=" ">
      <formula>NOT(ISERROR(SEARCH(" ",K63)))</formula>
    </cfRule>
  </conditionalFormatting>
  <conditionalFormatting sqref="AA64 AC64:XFD64 G64">
    <cfRule type="containsText" dxfId="31" priority="308" operator="containsText" text=" ">
      <formula>NOT(ISERROR(SEARCH(" ",G64)))</formula>
    </cfRule>
  </conditionalFormatting>
  <conditionalFormatting sqref="H64 J64">
    <cfRule type="containsText" dxfId="30" priority="298" operator="containsText" text=" ">
      <formula>NOT(ISERROR(SEARCH(" ",H64)))</formula>
    </cfRule>
  </conditionalFormatting>
  <conditionalFormatting sqref="K64:L64 N64">
    <cfRule type="containsText" dxfId="29" priority="248" operator="containsText" text=" ">
      <formula>NOT(ISERROR(SEARCH(" ",K64)))</formula>
    </cfRule>
  </conditionalFormatting>
  <conditionalFormatting sqref="AA65 AC65:XFD65 G65">
    <cfRule type="containsText" dxfId="28" priority="307" operator="containsText" text=" ">
      <formula>NOT(ISERROR(SEARCH(" ",G65)))</formula>
    </cfRule>
  </conditionalFormatting>
  <conditionalFormatting sqref="H65 J65">
    <cfRule type="containsText" dxfId="27" priority="297" operator="containsText" text=" ">
      <formula>NOT(ISERROR(SEARCH(" ",H65)))</formula>
    </cfRule>
  </conditionalFormatting>
  <conditionalFormatting sqref="K65:L65 N65">
    <cfRule type="containsText" dxfId="26" priority="247" operator="containsText" text=" ">
      <formula>NOT(ISERROR(SEARCH(" ",K65)))</formula>
    </cfRule>
  </conditionalFormatting>
  <conditionalFormatting sqref="AA66 AC66:XFD66 G66">
    <cfRule type="containsText" dxfId="25" priority="306" operator="containsText" text=" ">
      <formula>NOT(ISERROR(SEARCH(" ",G66)))</formula>
    </cfRule>
  </conditionalFormatting>
  <conditionalFormatting sqref="H66 J66">
    <cfRule type="containsText" dxfId="24" priority="296" operator="containsText" text=" ">
      <formula>NOT(ISERROR(SEARCH(" ",H66)))</formula>
    </cfRule>
  </conditionalFormatting>
  <conditionalFormatting sqref="K66:L66 N66">
    <cfRule type="containsText" dxfId="23" priority="246" operator="containsText" text=" ">
      <formula>NOT(ISERROR(SEARCH(" ",K66)))</formula>
    </cfRule>
  </conditionalFormatting>
  <conditionalFormatting sqref="AA67 AC67:XFD67 G67">
    <cfRule type="containsText" dxfId="22" priority="305" operator="containsText" text=" ">
      <formula>NOT(ISERROR(SEARCH(" ",G67)))</formula>
    </cfRule>
  </conditionalFormatting>
  <conditionalFormatting sqref="H67 J67">
    <cfRule type="containsText" dxfId="21" priority="295" operator="containsText" text=" ">
      <formula>NOT(ISERROR(SEARCH(" ",H67)))</formula>
    </cfRule>
  </conditionalFormatting>
  <conditionalFormatting sqref="K67:L67 N67">
    <cfRule type="containsText" dxfId="20" priority="245" operator="containsText" text=" ">
      <formula>NOT(ISERROR(SEARCH(" ",K67)))</formula>
    </cfRule>
  </conditionalFormatting>
  <conditionalFormatting sqref="O68 AB72 AB70 E69:E72 A68 V68:Y68 AB68:XFD68 C68:E68">
    <cfRule type="containsText" dxfId="19" priority="93" operator="containsText" text=" ">
      <formula>NOT(ISERROR(SEARCH(" ",A68)))</formula>
    </cfRule>
  </conditionalFormatting>
  <conditionalFormatting sqref="H68:J68 I69:I72">
    <cfRule type="containsText" dxfId="18" priority="98" operator="containsText" text=" ">
      <formula>NOT(ISERROR(SEARCH(" ",H68)))</formula>
    </cfRule>
  </conditionalFormatting>
  <conditionalFormatting sqref="Z68 P68 R68:S68">
    <cfRule type="containsText" dxfId="17" priority="95" operator="containsText" text=" ">
      <formula>NOT(ISERROR(SEARCH(" ",P68)))</formula>
    </cfRule>
  </conditionalFormatting>
  <conditionalFormatting sqref="O69 AB71 A69:A72 V69:Y69 AB69:XFD69 C69:D69">
    <cfRule type="containsText" dxfId="16" priority="137" operator="containsText" text=" ">
      <formula>NOT(ISERROR(SEARCH(" ",A69)))</formula>
    </cfRule>
  </conditionalFormatting>
  <conditionalFormatting sqref="H69 J69">
    <cfRule type="containsText" dxfId="15" priority="142" operator="containsText" text=" ">
      <formula>NOT(ISERROR(SEARCH(" ",H69)))</formula>
    </cfRule>
  </conditionalFormatting>
  <conditionalFormatting sqref="Z69 P69 R69:S69">
    <cfRule type="containsText" dxfId="14" priority="139" operator="containsText" text=" ">
      <formula>NOT(ISERROR(SEARCH(" ",P69)))</formula>
    </cfRule>
  </conditionalFormatting>
  <conditionalFormatting sqref="O70 V70:Y70 AC70:XFD70 C70:D70">
    <cfRule type="containsText" dxfId="13" priority="126" operator="containsText" text=" ">
      <formula>NOT(ISERROR(SEARCH(" ",C70)))</formula>
    </cfRule>
  </conditionalFormatting>
  <conditionalFormatting sqref="H70 J70">
    <cfRule type="containsText" dxfId="12" priority="131" operator="containsText" text=" ">
      <formula>NOT(ISERROR(SEARCH(" ",H70)))</formula>
    </cfRule>
  </conditionalFormatting>
  <conditionalFormatting sqref="Z70 P70 R70:S70">
    <cfRule type="containsText" dxfId="11" priority="128" operator="containsText" text=" ">
      <formula>NOT(ISERROR(SEARCH(" ",P70)))</formula>
    </cfRule>
  </conditionalFormatting>
  <conditionalFormatting sqref="O71 V71:Y71 AC71:XFD71 C71:D71">
    <cfRule type="containsText" dxfId="10" priority="115" operator="containsText" text=" ">
      <formula>NOT(ISERROR(SEARCH(" ",C71)))</formula>
    </cfRule>
  </conditionalFormatting>
  <conditionalFormatting sqref="H71 J71">
    <cfRule type="containsText" dxfId="9" priority="120" operator="containsText" text=" ">
      <formula>NOT(ISERROR(SEARCH(" ",H71)))</formula>
    </cfRule>
  </conditionalFormatting>
  <conditionalFormatting sqref="Z71 P71 R71:S71">
    <cfRule type="containsText" dxfId="8" priority="117" operator="containsText" text=" ">
      <formula>NOT(ISERROR(SEARCH(" ",P71)))</formula>
    </cfRule>
  </conditionalFormatting>
  <conditionalFormatting sqref="O72 V72:Y72 AC72:XFD72 C72:D72">
    <cfRule type="containsText" dxfId="7" priority="104" operator="containsText" text=" ">
      <formula>NOT(ISERROR(SEARCH(" ",C72)))</formula>
    </cfRule>
  </conditionalFormatting>
  <conditionalFormatting sqref="H72 J72">
    <cfRule type="containsText" dxfId="6" priority="109" operator="containsText" text=" ">
      <formula>NOT(ISERROR(SEARCH(" ",H72)))</formula>
    </cfRule>
  </conditionalFormatting>
  <conditionalFormatting sqref="Z72 P72 R72:S72">
    <cfRule type="containsText" dxfId="5" priority="106" operator="containsText" text=" ">
      <formula>NOT(ISERROR(SEARCH(" ",P72)))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5"/>
  <sheetViews>
    <sheetView workbookViewId="0">
      <selection activeCell="E5" sqref="E5"/>
    </sheetView>
  </sheetViews>
  <sheetFormatPr defaultColWidth="9" defaultRowHeight="15.6" x14ac:dyDescent="0.25"/>
  <cols>
    <col min="1" max="1" width="9.88671875" style="2" customWidth="1"/>
    <col min="2" max="2" width="25.21875" style="2" customWidth="1"/>
    <col min="3" max="3" width="20.77734375" style="2" customWidth="1"/>
    <col min="4" max="4" width="26.44140625" style="2" customWidth="1"/>
    <col min="5" max="5" width="17.44140625" style="2" customWidth="1"/>
    <col min="6" max="6" width="20.44140625" style="2" customWidth="1"/>
    <col min="7" max="7" width="11.88671875" style="2" customWidth="1"/>
    <col min="8" max="8" width="13.44140625" style="2" customWidth="1"/>
    <col min="9" max="9" width="10.44140625" style="2" customWidth="1"/>
    <col min="10" max="10" width="14.6640625" style="2" customWidth="1"/>
    <col min="11" max="11" width="9" style="2"/>
    <col min="12" max="12" width="14" style="2" customWidth="1"/>
    <col min="13" max="13" width="19.88671875" style="2" customWidth="1"/>
    <col min="14" max="14" width="14" style="2" customWidth="1"/>
    <col min="15" max="15" width="11.21875" style="2" customWidth="1"/>
    <col min="16" max="16" width="12" style="2" customWidth="1"/>
    <col min="17" max="16384" width="9" style="2"/>
  </cols>
  <sheetData>
    <row r="1" spans="1:17" x14ac:dyDescent="0.35">
      <c r="A1" s="3" t="s">
        <v>0</v>
      </c>
      <c r="B1" s="3" t="s">
        <v>1248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 t="s">
        <v>0</v>
      </c>
      <c r="I1" s="4" t="s">
        <v>0</v>
      </c>
      <c r="J1" s="4" t="s">
        <v>0</v>
      </c>
      <c r="K1" s="8" t="s">
        <v>0</v>
      </c>
      <c r="L1" s="8" t="s">
        <v>0</v>
      </c>
      <c r="M1" s="9" t="s">
        <v>0</v>
      </c>
      <c r="N1" s="9" t="s">
        <v>0</v>
      </c>
      <c r="O1" s="3" t="s">
        <v>0</v>
      </c>
      <c r="P1" s="3" t="s">
        <v>0</v>
      </c>
    </row>
    <row r="2" spans="1:17" x14ac:dyDescent="0.35">
      <c r="A2" s="3" t="s">
        <v>11</v>
      </c>
      <c r="B2" s="3" t="s">
        <v>12</v>
      </c>
      <c r="C2" s="3" t="s">
        <v>14</v>
      </c>
      <c r="D2" s="3" t="s">
        <v>14</v>
      </c>
      <c r="E2" s="3" t="s">
        <v>11</v>
      </c>
      <c r="F2" s="3" t="s">
        <v>11</v>
      </c>
      <c r="G2" s="3" t="s">
        <v>14</v>
      </c>
      <c r="H2" s="4" t="s">
        <v>11</v>
      </c>
      <c r="I2" s="4" t="s">
        <v>11</v>
      </c>
      <c r="J2" s="4" t="s">
        <v>11</v>
      </c>
      <c r="K2" s="8" t="s">
        <v>11</v>
      </c>
      <c r="L2" s="8" t="s">
        <v>11</v>
      </c>
      <c r="M2" s="9" t="s">
        <v>14</v>
      </c>
      <c r="N2" s="9" t="s">
        <v>11</v>
      </c>
      <c r="O2" s="3" t="s">
        <v>11</v>
      </c>
      <c r="P2" s="3" t="s">
        <v>11</v>
      </c>
      <c r="Q2" s="2" t="s">
        <v>1487</v>
      </c>
    </row>
    <row r="3" spans="1:17" x14ac:dyDescent="0.35">
      <c r="A3" s="3" t="s">
        <v>1488</v>
      </c>
      <c r="B3" s="3" t="s">
        <v>1489</v>
      </c>
      <c r="C3" s="3" t="s">
        <v>1490</v>
      </c>
      <c r="D3" s="3" t="s">
        <v>1496</v>
      </c>
      <c r="E3" s="3" t="s">
        <v>1497</v>
      </c>
      <c r="F3" s="3" t="s">
        <v>1500</v>
      </c>
      <c r="G3" s="3" t="s">
        <v>1502</v>
      </c>
      <c r="H3" s="4" t="s">
        <v>1503</v>
      </c>
      <c r="I3" s="4" t="s">
        <v>1505</v>
      </c>
      <c r="J3" s="4" t="s">
        <v>1506</v>
      </c>
      <c r="K3" s="8" t="s">
        <v>1509</v>
      </c>
      <c r="L3" s="8" t="s">
        <v>1510</v>
      </c>
      <c r="M3" s="9" t="s">
        <v>1511</v>
      </c>
      <c r="N3" s="9" t="s">
        <v>1512</v>
      </c>
      <c r="O3" s="3" t="s">
        <v>1513</v>
      </c>
      <c r="P3" s="3" t="s">
        <v>1515</v>
      </c>
    </row>
    <row r="4" spans="1:17" s="1" customFormat="1" ht="92.4" x14ac:dyDescent="0.25">
      <c r="A4" s="5" t="s">
        <v>1793</v>
      </c>
      <c r="B4" s="6" t="s">
        <v>1794</v>
      </c>
      <c r="C4" s="5" t="s">
        <v>1518</v>
      </c>
      <c r="D4" s="5" t="s">
        <v>1523</v>
      </c>
      <c r="E4" s="5" t="s">
        <v>1795</v>
      </c>
      <c r="F4" s="5" t="s">
        <v>1796</v>
      </c>
      <c r="G4" s="6" t="s">
        <v>1797</v>
      </c>
      <c r="H4" s="7" t="s">
        <v>1798</v>
      </c>
      <c r="I4" s="7" t="s">
        <v>1532</v>
      </c>
      <c r="J4" s="7" t="s">
        <v>1533</v>
      </c>
      <c r="K4" s="10" t="s">
        <v>1536</v>
      </c>
      <c r="L4" s="10" t="s">
        <v>1537</v>
      </c>
      <c r="M4" s="11" t="s">
        <v>1538</v>
      </c>
      <c r="N4" s="11" t="s">
        <v>1539</v>
      </c>
      <c r="O4" s="5" t="s">
        <v>1540</v>
      </c>
      <c r="P4" s="5" t="s">
        <v>1542</v>
      </c>
      <c r="Q4" s="12" t="s">
        <v>1543</v>
      </c>
    </row>
    <row r="5" spans="1:17" x14ac:dyDescent="0.25">
      <c r="A5" s="2">
        <v>1204</v>
      </c>
      <c r="B5" s="2" t="s">
        <v>1799</v>
      </c>
      <c r="C5" s="2" t="s">
        <v>1800</v>
      </c>
      <c r="D5" s="2" t="s">
        <v>1801</v>
      </c>
      <c r="E5" s="2">
        <f>'道具|Item'!J28</f>
        <v>0</v>
      </c>
      <c r="F5" s="2">
        <f>'道具|Item'!M28</f>
        <v>0</v>
      </c>
      <c r="G5" s="2">
        <f>'道具|Item'!O28</f>
        <v>6</v>
      </c>
      <c r="H5" s="2">
        <f>'道具|Item'!P28</f>
        <v>-1</v>
      </c>
      <c r="I5" s="2">
        <f>'道具|Item'!R28</f>
        <v>0</v>
      </c>
      <c r="J5" s="2">
        <f>'道具|Item'!S28</f>
        <v>-1</v>
      </c>
      <c r="K5" s="2">
        <f>'道具|Item'!V28</f>
        <v>0</v>
      </c>
      <c r="L5" s="2">
        <f>'道具|Item'!W28</f>
        <v>-1</v>
      </c>
      <c r="M5" s="2">
        <f>'道具|Item'!X28</f>
        <v>0</v>
      </c>
      <c r="N5" s="2">
        <f>'道具|Item'!Y28</f>
        <v>-1</v>
      </c>
      <c r="O5" s="2">
        <f>'道具|Item'!Z28</f>
        <v>0</v>
      </c>
      <c r="P5" s="2">
        <f>'道具|Item'!AB28</f>
        <v>-1</v>
      </c>
    </row>
  </sheetData>
  <phoneticPr fontId="55" type="noConversion"/>
  <conditionalFormatting sqref="M3">
    <cfRule type="containsText" dxfId="4" priority="6" operator="containsText" text=" ">
      <formula>NOT(ISERROR(SEARCH(" ",M3)))</formula>
    </cfRule>
  </conditionalFormatting>
  <conditionalFormatting sqref="A5:XFD5">
    <cfRule type="containsText" dxfId="3" priority="16" operator="containsText" text=" ">
      <formula>NOT(ISERROR(SEARCH(" ",A5)))</formula>
    </cfRule>
  </conditionalFormatting>
  <conditionalFormatting sqref="M1:M2">
    <cfRule type="containsText" dxfId="2" priority="8" operator="containsText" text=" ">
      <formula>NOT(ISERROR(SEARCH(" ",M1)))</formula>
    </cfRule>
  </conditionalFormatting>
  <conditionalFormatting sqref="A3:E3 I7:K7 A6:D7 H6:K6 A8:L1048576 G3:L3 A4:L4 L6:L7 A1:L2 O1:XFD4 O6:XFD1048576">
    <cfRule type="containsText" dxfId="1" priority="23" operator="containsText" text=" ">
      <formula>NOT(ISERROR(SEARCH(" ",A1)))</formula>
    </cfRule>
  </conditionalFormatting>
  <conditionalFormatting sqref="F3 N1:N4 M6:N1048576">
    <cfRule type="containsText" dxfId="0" priority="22" operator="containsText" text=" ">
      <formula>NOT(ISERROR(SEARCH(" ",F1)))</formula>
    </cfRule>
  </conditionalFormatting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炮解锁|CannonUnlock</vt:lpstr>
      <vt:lpstr>全局参数|GlobalPar</vt:lpstr>
      <vt:lpstr>VIP升级|VIPUp</vt:lpstr>
      <vt:lpstr>弹头价值|Dantou</vt:lpstr>
      <vt:lpstr>道具|Item</vt:lpstr>
      <vt:lpstr>道具|Item-f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jianlong wo</cp:lastModifiedBy>
  <dcterms:created xsi:type="dcterms:W3CDTF">2006-09-20T08:00:00Z</dcterms:created>
  <dcterms:modified xsi:type="dcterms:W3CDTF">2021-09-09T10:00:36Z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C39484ADD382432388F0FE6BCCA455DF</vt:lpwstr>
  </property>
</Properties>
</file>